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6.xml" ContentType="application/vnd.openxmlformats-officedocument.spreadsheetml.comments+xml"/>
  <Override PartName="/xl/drawings/drawing3.xml" ContentType="application/vnd.openxmlformats-officedocument.drawing+xml"/>
  <Override PartName="/xl/comments7.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omments8.xml" ContentType="application/vnd.openxmlformats-officedocument.spreadsheetml.comments+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omments9.xml" ContentType="application/vnd.openxmlformats-officedocument.spreadsheetml.comments+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omments10.xml" ContentType="application/vnd.openxmlformats-officedocument.spreadsheetml.comments+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omments11.xml" ContentType="application/vnd.openxmlformats-officedocument.spreadsheetml.comment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omments12.xml" ContentType="application/vnd.openxmlformats-officedocument.spreadsheetml.comments+xml"/>
  <Override PartName="/xl/drawings/drawing8.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omments13.xml" ContentType="application/vnd.openxmlformats-officedocument.spreadsheetml.comments+xml"/>
  <Override PartName="/xl/drawings/drawing9.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omments14.xml" ContentType="application/vnd.openxmlformats-officedocument.spreadsheetml.comments+xml"/>
  <Override PartName="/xl/drawings/drawing10.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omments15.xml" ContentType="application/vnd.openxmlformats-officedocument.spreadsheetml.comments+xml"/>
  <Override PartName="/xl/drawings/drawing11.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omments16.xml" ContentType="application/vnd.openxmlformats-officedocument.spreadsheetml.comments+xml"/>
  <Override PartName="/xl/drawings/drawing12.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omments17.xml" ContentType="application/vnd.openxmlformats-officedocument.spreadsheetml.comments+xml"/>
  <Override PartName="/xl/drawings/drawing13.xml" ContentType="application/vnd.openxmlformats-officedocument.drawing+xml"/>
  <Override PartName="/xl/charts/chart23.xml" ContentType="application/vnd.openxmlformats-officedocument.drawingml.chart+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680" yWindow="300" windowWidth="14880" windowHeight="7815" firstSheet="4" activeTab="6"/>
  </bookViews>
  <sheets>
    <sheet name="RecienPromocionados" sheetId="95" r:id="rId1"/>
    <sheet name="Resistencia" sheetId="37" r:id="rId2"/>
    <sheet name="CA_Calculator" sheetId="83" r:id="rId3"/>
    <sheet name="TL_Tactica" sheetId="102" r:id="rId4"/>
    <sheet name="CAPITAN" sheetId="76" r:id="rId5"/>
    <sheet name="ENTRENADOR" sheetId="85" r:id="rId6"/>
    <sheet name="PLANTILLA" sheetId="32" r:id="rId7"/>
    <sheet name="Evaluacion" sheetId="94" r:id="rId8"/>
    <sheet name="Eva_sinFORMA" sheetId="113" r:id="rId9"/>
    <sheet name="ENTRENAMIENTO_Rendimiento" sheetId="86" r:id="rId10"/>
    <sheet name="Resumen_Rend" sheetId="96" r:id="rId11"/>
    <sheet name="352" sheetId="105" r:id="rId12"/>
    <sheet name="541" sheetId="106" r:id="rId13"/>
    <sheet name="DEF" sheetId="108" r:id="rId14"/>
    <sheet name="JUG" sheetId="107" r:id="rId15"/>
    <sheet name="PAS" sheetId="110" r:id="rId16"/>
    <sheet name="LAT" sheetId="111" r:id="rId17"/>
    <sheet name="Hall_of_Fame" sheetId="49" r:id="rId18"/>
    <sheet name="Estadio" sheetId="3" r:id="rId19"/>
    <sheet name="EconomiaT40" sheetId="9" r:id="rId20"/>
    <sheet name="A-P_T40" sheetId="10" r:id="rId21"/>
    <sheet name="EconomiaT41" sheetId="39" r:id="rId22"/>
    <sheet name="A-P_T41" sheetId="40" r:id="rId23"/>
    <sheet name="EconomiaT42" sheetId="42" r:id="rId24"/>
    <sheet name="A-P_T42" sheetId="43" r:id="rId25"/>
    <sheet name="EconomiaT43" sheetId="46" r:id="rId26"/>
    <sheet name="A-P_T43" sheetId="47" r:id="rId27"/>
    <sheet name="EconomiaT44" sheetId="69" r:id="rId28"/>
    <sheet name="A-P_T44" sheetId="70" r:id="rId29"/>
    <sheet name="EconomiaT45" sheetId="78" r:id="rId30"/>
    <sheet name="A-P_T45" sheetId="79" r:id="rId31"/>
    <sheet name="EconomiaT46" sheetId="81" r:id="rId32"/>
    <sheet name="A-P_T46" sheetId="82" r:id="rId33"/>
    <sheet name="EconomiaT47" sheetId="88" r:id="rId34"/>
    <sheet name="A-P_T47" sheetId="89" r:id="rId35"/>
    <sheet name="EconomiaT48" sheetId="91" r:id="rId36"/>
    <sheet name="A-P_T48" sheetId="92" r:id="rId37"/>
    <sheet name="EconomiaT49" sheetId="100" r:id="rId38"/>
    <sheet name="A-P_T49" sheetId="101" r:id="rId39"/>
    <sheet name="EconomiaT50" sheetId="103" r:id="rId40"/>
    <sheet name="A-P_T50" sheetId="104" r:id="rId41"/>
    <sheet name="TablasEntreno" sheetId="99" r:id="rId42"/>
    <sheet name="TSI-Sueldos" sheetId="38" r:id="rId43"/>
    <sheet name="Entrenamientos" sheetId="12" r:id="rId44"/>
    <sheet name="NUEVOENTRENADOR" sheetId="41" r:id="rId45"/>
    <sheet name="RiscLesió" sheetId="48" r:id="rId46"/>
    <sheet name="EMPLEADOS" sheetId="93" r:id="rId47"/>
  </sheets>
  <externalReferences>
    <externalReference r:id="rId48"/>
  </externalReferences>
  <definedNames>
    <definedName name="_xlnm._FilterDatabase" localSheetId="20" hidden="1">'A-P_T40'!$I$3:$T$49</definedName>
    <definedName name="_xlnm._FilterDatabase" localSheetId="22" hidden="1">'A-P_T41'!$I$3:$T$49</definedName>
    <definedName name="_xlnm._FilterDatabase" localSheetId="24" hidden="1">'A-P_T42'!$I$3:$T$48</definedName>
    <definedName name="_xlnm._FilterDatabase" localSheetId="26" hidden="1">'A-P_T43'!$I$3:$T$4</definedName>
    <definedName name="_xlnm._FilterDatabase" localSheetId="28" hidden="1">'A-P_T44'!$I$3:$T$4</definedName>
    <definedName name="_xlnm._FilterDatabase" localSheetId="30" hidden="1">'A-P_T45'!$I$3:$T$4</definedName>
    <definedName name="_xlnm._FilterDatabase" localSheetId="32" hidden="1">'A-P_T46'!$I$3:$T$3</definedName>
    <definedName name="_xlnm._FilterDatabase" localSheetId="34" hidden="1">'A-P_T47'!$I$3:$T$3</definedName>
    <definedName name="_xlnm._FilterDatabase" localSheetId="9" hidden="1">ENTRENAMIENTO_Rendimiento!$S$3:$Z$24</definedName>
    <definedName name="_xlnm._FilterDatabase" localSheetId="6" hidden="1">PLANTILLA!$A$4:$AN$25</definedName>
    <definedName name="_xlnm._FilterDatabase" localSheetId="0" hidden="1">RecienPromocionados!$A$4:$D$22</definedName>
  </definedNames>
  <calcPr calcId="152511"/>
</workbook>
</file>

<file path=xl/calcChain.xml><?xml version="1.0" encoding="utf-8"?>
<calcChain xmlns="http://schemas.openxmlformats.org/spreadsheetml/2006/main">
  <c r="AD21" i="32" l="1"/>
  <c r="AD19" i="32"/>
  <c r="AD18" i="32"/>
  <c r="AD16" i="32"/>
  <c r="AD12" i="32"/>
  <c r="AD17" i="32"/>
  <c r="AD9" i="32"/>
  <c r="AD5" i="32"/>
  <c r="AD15" i="32" l="1"/>
  <c r="AD11" i="32"/>
  <c r="AD8" i="32"/>
  <c r="D25" i="83" l="1"/>
  <c r="D26" i="83"/>
  <c r="D27" i="83"/>
  <c r="D28" i="83"/>
  <c r="D24" i="83"/>
  <c r="AC8" i="32" l="1"/>
  <c r="Z20" i="32" l="1"/>
  <c r="Z22" i="32"/>
  <c r="Z23" i="32"/>
  <c r="Z18" i="32"/>
  <c r="Z16" i="32"/>
  <c r="Z13" i="32"/>
  <c r="Z14" i="32"/>
  <c r="Z12" i="32"/>
  <c r="Z11" i="32"/>
  <c r="Z8" i="32"/>
  <c r="Z7" i="32"/>
  <c r="Z9" i="32"/>
  <c r="Z5" i="32"/>
  <c r="AA20" i="32" l="1"/>
  <c r="AA22" i="32"/>
  <c r="AA23" i="32"/>
  <c r="AA21" i="32"/>
  <c r="AA15" i="32"/>
  <c r="AA13" i="32"/>
  <c r="AA14" i="32"/>
  <c r="AA12" i="32"/>
  <c r="AA11" i="32"/>
  <c r="AA17" i="32"/>
  <c r="AA7" i="32"/>
  <c r="AA10" i="32"/>
  <c r="AA9" i="32"/>
  <c r="AA5" i="32"/>
  <c r="R33" i="49" l="1"/>
  <c r="Y22" i="32" l="1"/>
  <c r="Y23" i="32"/>
  <c r="Y21" i="32"/>
  <c r="Y15" i="32"/>
  <c r="Y18" i="32"/>
  <c r="Y16" i="32"/>
  <c r="Y13" i="32"/>
  <c r="Y14" i="32"/>
  <c r="Y12" i="32"/>
  <c r="Y11" i="32"/>
  <c r="Y17" i="32"/>
  <c r="Y8" i="32"/>
  <c r="Y7" i="32"/>
  <c r="Y9" i="32"/>
  <c r="Y5" i="32"/>
  <c r="Y19" i="32" l="1"/>
  <c r="B21" i="3" l="1"/>
  <c r="B20" i="3"/>
  <c r="B19" i="3"/>
  <c r="B18" i="3"/>
  <c r="C16" i="3"/>
  <c r="C18" i="3" s="1"/>
  <c r="D16" i="3" l="1"/>
  <c r="C21" i="3"/>
  <c r="C19" i="3"/>
  <c r="C20" i="3"/>
  <c r="AA18" i="32"/>
  <c r="E16" i="3" l="1"/>
  <c r="D18" i="3"/>
  <c r="D20" i="3"/>
  <c r="D21" i="3"/>
  <c r="D19" i="3"/>
  <c r="P22" i="32"/>
  <c r="P20" i="32"/>
  <c r="P7" i="32"/>
  <c r="P5" i="32"/>
  <c r="F16" i="3" l="1"/>
  <c r="E18" i="3"/>
  <c r="E20" i="3"/>
  <c r="E21" i="3"/>
  <c r="E19" i="3"/>
  <c r="AM20" i="32"/>
  <c r="AN20" i="32"/>
  <c r="G16" i="3" l="1"/>
  <c r="F21" i="3"/>
  <c r="F18" i="3"/>
  <c r="F20" i="3"/>
  <c r="F19" i="3"/>
  <c r="A19" i="76"/>
  <c r="B19" i="76"/>
  <c r="C19" i="76"/>
  <c r="G19" i="76" s="1"/>
  <c r="H19" i="76" s="1"/>
  <c r="D19" i="76"/>
  <c r="E19" i="76" s="1"/>
  <c r="A18" i="76"/>
  <c r="B18" i="76"/>
  <c r="C18" i="76"/>
  <c r="G18" i="76" s="1"/>
  <c r="D18" i="76"/>
  <c r="E18" i="76" s="1"/>
  <c r="F18" i="76" s="1"/>
  <c r="H16" i="3" l="1"/>
  <c r="G19" i="3"/>
  <c r="G21" i="3"/>
  <c r="G18" i="3"/>
  <c r="G20" i="3"/>
  <c r="I18" i="76"/>
  <c r="H18" i="76"/>
  <c r="J18" i="76" s="1"/>
  <c r="I19" i="76"/>
  <c r="F19" i="76"/>
  <c r="J19" i="76" s="1"/>
  <c r="L12" i="111"/>
  <c r="R12" i="111" s="1"/>
  <c r="A12" i="111"/>
  <c r="B12" i="111"/>
  <c r="C12" i="111"/>
  <c r="E12" i="111"/>
  <c r="F12" i="111"/>
  <c r="G12" i="111"/>
  <c r="H12" i="111"/>
  <c r="I12" i="111"/>
  <c r="J12" i="111"/>
  <c r="K12" i="111"/>
  <c r="N12" i="111"/>
  <c r="S12" i="111"/>
  <c r="U12" i="111"/>
  <c r="Z12" i="111" s="1"/>
  <c r="W12" i="111"/>
  <c r="X12" i="111"/>
  <c r="L7" i="110"/>
  <c r="U7" i="110" s="1"/>
  <c r="N23" i="110"/>
  <c r="T23" i="110"/>
  <c r="U23" i="110"/>
  <c r="V23" i="110"/>
  <c r="W23" i="110"/>
  <c r="X23" i="110"/>
  <c r="N7" i="110"/>
  <c r="T7" i="110"/>
  <c r="W7" i="110"/>
  <c r="Z7" i="110" s="1"/>
  <c r="X7" i="110"/>
  <c r="A7" i="110"/>
  <c r="B7" i="110"/>
  <c r="C7" i="110"/>
  <c r="E7" i="110"/>
  <c r="F7" i="110"/>
  <c r="G7" i="110"/>
  <c r="H7" i="110"/>
  <c r="I7" i="110"/>
  <c r="J7" i="110"/>
  <c r="K7" i="110"/>
  <c r="L7" i="107"/>
  <c r="M23" i="107"/>
  <c r="N23" i="107"/>
  <c r="P23" i="107"/>
  <c r="Q23" i="107"/>
  <c r="R23" i="107"/>
  <c r="S23" i="107"/>
  <c r="T23" i="107"/>
  <c r="U23" i="107"/>
  <c r="V23" i="107"/>
  <c r="W23" i="107"/>
  <c r="X23" i="107"/>
  <c r="M7" i="107"/>
  <c r="N7" i="107"/>
  <c r="P7" i="107"/>
  <c r="Q7" i="107"/>
  <c r="R7" i="107"/>
  <c r="S7" i="107"/>
  <c r="T7" i="107"/>
  <c r="U7" i="107"/>
  <c r="Z7" i="107" s="1"/>
  <c r="V7" i="107"/>
  <c r="W7" i="107"/>
  <c r="X7" i="107"/>
  <c r="A7" i="107"/>
  <c r="B7" i="107"/>
  <c r="C7" i="107"/>
  <c r="E7" i="107"/>
  <c r="F7" i="107"/>
  <c r="G7" i="107"/>
  <c r="H7" i="107"/>
  <c r="I7" i="107"/>
  <c r="J7" i="107"/>
  <c r="K7" i="107"/>
  <c r="L9" i="108"/>
  <c r="P9" i="108" s="1"/>
  <c r="A9" i="108"/>
  <c r="B9" i="108"/>
  <c r="C9" i="108"/>
  <c r="E9" i="108"/>
  <c r="F9" i="108"/>
  <c r="G9" i="108"/>
  <c r="H9" i="108"/>
  <c r="I9" i="108"/>
  <c r="J9" i="108"/>
  <c r="K9" i="108"/>
  <c r="N9" i="108"/>
  <c r="O9" i="108"/>
  <c r="Q9" i="108"/>
  <c r="R9" i="108"/>
  <c r="S9" i="108"/>
  <c r="T9" i="108"/>
  <c r="U9" i="108"/>
  <c r="Z9" i="108" s="1"/>
  <c r="V9" i="108"/>
  <c r="A19" i="113"/>
  <c r="C19" i="113"/>
  <c r="E19" i="113"/>
  <c r="H19" i="113"/>
  <c r="BR19" i="113" s="1"/>
  <c r="J19" i="113"/>
  <c r="K19" i="113"/>
  <c r="L19" i="113"/>
  <c r="M19" i="113"/>
  <c r="N19" i="113"/>
  <c r="Q19" i="113" s="1"/>
  <c r="O19" i="113"/>
  <c r="P19" i="113"/>
  <c r="AN19" i="113" l="1"/>
  <c r="M12" i="111"/>
  <c r="V12" i="111"/>
  <c r="I16" i="3"/>
  <c r="H19" i="3"/>
  <c r="H21" i="3"/>
  <c r="H18" i="3"/>
  <c r="H20" i="3"/>
  <c r="BF19" i="113"/>
  <c r="AW19" i="113"/>
  <c r="R19" i="113"/>
  <c r="AA12" i="111"/>
  <c r="Y12" i="111"/>
  <c r="Y7" i="110"/>
  <c r="AA7" i="110" s="1"/>
  <c r="V7" i="110"/>
  <c r="AA7" i="107"/>
  <c r="Y7" i="107"/>
  <c r="Y9" i="108"/>
  <c r="AA9" i="108" s="1"/>
  <c r="BM19" i="113"/>
  <c r="BT19" i="113"/>
  <c r="CD19" i="113"/>
  <c r="BZ19" i="113"/>
  <c r="BH19" i="113"/>
  <c r="AK19" i="113"/>
  <c r="AR19" i="113"/>
  <c r="BV19" i="113"/>
  <c r="BD19" i="113"/>
  <c r="AC19" i="113"/>
  <c r="AE19" i="113" s="1"/>
  <c r="CC19" i="113"/>
  <c r="CE19" i="113" s="1"/>
  <c r="BY19" i="113"/>
  <c r="BU19" i="113"/>
  <c r="BQ19" i="113"/>
  <c r="BL19" i="113"/>
  <c r="BG19" i="113"/>
  <c r="BC19" i="113"/>
  <c r="AV19" i="113"/>
  <c r="AX19" i="113" s="1"/>
  <c r="AP19" i="113"/>
  <c r="AJ19" i="113"/>
  <c r="AB19" i="113"/>
  <c r="CG19" i="113"/>
  <c r="CB19" i="113"/>
  <c r="BX19" i="113"/>
  <c r="BP19" i="113"/>
  <c r="BK19" i="113"/>
  <c r="BA19" i="113"/>
  <c r="AT19" i="113"/>
  <c r="AO19" i="113"/>
  <c r="AQ19" i="113" s="1"/>
  <c r="AG19" i="113"/>
  <c r="Y19" i="113"/>
  <c r="AA19" i="113" s="1"/>
  <c r="U19" i="113"/>
  <c r="BJ19" i="113"/>
  <c r="CF19" i="113"/>
  <c r="CH19" i="113" s="1"/>
  <c r="CA19" i="113"/>
  <c r="BW19" i="113"/>
  <c r="BS19" i="113"/>
  <c r="BN19" i="113"/>
  <c r="BI19" i="113"/>
  <c r="BE19" i="113"/>
  <c r="AZ19" i="113"/>
  <c r="BB19" i="113" s="1"/>
  <c r="AS19" i="113"/>
  <c r="AU19" i="113" s="1"/>
  <c r="AF19" i="113"/>
  <c r="T19" i="113"/>
  <c r="CI19" i="113"/>
  <c r="BO19" i="113"/>
  <c r="AY19" i="113"/>
  <c r="AM19" i="113"/>
  <c r="AI19" i="113"/>
  <c r="W19" i="113"/>
  <c r="S19" i="113"/>
  <c r="AL19" i="113"/>
  <c r="AH19" i="113"/>
  <c r="AD19" i="113"/>
  <c r="Z19" i="113"/>
  <c r="V19" i="113"/>
  <c r="X19" i="113" s="1"/>
  <c r="AQ20" i="32"/>
  <c r="W20" i="32"/>
  <c r="U20" i="32"/>
  <c r="R20" i="32"/>
  <c r="S20" i="32"/>
  <c r="N20" i="32"/>
  <c r="J20" i="32"/>
  <c r="K20" i="32"/>
  <c r="L20" i="32"/>
  <c r="AT20" i="32"/>
  <c r="L13" i="111"/>
  <c r="L12" i="110"/>
  <c r="L15" i="107"/>
  <c r="L19" i="108"/>
  <c r="L15" i="111"/>
  <c r="L15" i="110"/>
  <c r="L17" i="107"/>
  <c r="L10" i="108"/>
  <c r="L17" i="111"/>
  <c r="L13" i="110"/>
  <c r="L18" i="107"/>
  <c r="L18" i="108"/>
  <c r="L19" i="111"/>
  <c r="L18" i="110"/>
  <c r="L16" i="107"/>
  <c r="L4" i="108"/>
  <c r="L9" i="111"/>
  <c r="L9" i="110"/>
  <c r="L8" i="107"/>
  <c r="L13" i="108"/>
  <c r="L6" i="111"/>
  <c r="L10" i="110"/>
  <c r="L10" i="107"/>
  <c r="L14" i="108"/>
  <c r="L16" i="111"/>
  <c r="L4" i="110"/>
  <c r="L6" i="107"/>
  <c r="L17" i="108"/>
  <c r="L4" i="111"/>
  <c r="L16" i="110"/>
  <c r="L12" i="107"/>
  <c r="L6" i="108"/>
  <c r="L8" i="111"/>
  <c r="L11" i="110"/>
  <c r="L11" i="107"/>
  <c r="L5" i="108"/>
  <c r="L7" i="108"/>
  <c r="L8" i="108"/>
  <c r="L11" i="111"/>
  <c r="L6" i="110"/>
  <c r="L4" i="107"/>
  <c r="L15" i="108"/>
  <c r="Y14" i="111"/>
  <c r="L14" i="111"/>
  <c r="L5" i="110"/>
  <c r="L5" i="107"/>
  <c r="Z12" i="108"/>
  <c r="L12" i="108"/>
  <c r="L10" i="111"/>
  <c r="L8" i="110"/>
  <c r="L9" i="107"/>
  <c r="L16" i="108"/>
  <c r="L5" i="111"/>
  <c r="Z19" i="110"/>
  <c r="L19" i="110"/>
  <c r="L13" i="107"/>
  <c r="L7" i="111"/>
  <c r="Z17" i="110"/>
  <c r="Y17" i="110"/>
  <c r="L17" i="110"/>
  <c r="L14" i="107"/>
  <c r="L11" i="108"/>
  <c r="L18" i="111"/>
  <c r="Y18" i="111" s="1"/>
  <c r="Z14" i="110"/>
  <c r="Y14" i="110"/>
  <c r="Z19" i="107"/>
  <c r="Y19" i="107"/>
  <c r="M23" i="111"/>
  <c r="N23" i="111"/>
  <c r="R23" i="111"/>
  <c r="S23" i="111"/>
  <c r="U23" i="111"/>
  <c r="V23" i="111"/>
  <c r="W23" i="111"/>
  <c r="X23" i="111"/>
  <c r="A20" i="111"/>
  <c r="B20" i="111"/>
  <c r="C20" i="111"/>
  <c r="A15" i="111"/>
  <c r="B15" i="111"/>
  <c r="C15" i="111"/>
  <c r="A4" i="111"/>
  <c r="B4" i="111"/>
  <c r="C4" i="111"/>
  <c r="A7" i="111"/>
  <c r="B7" i="111"/>
  <c r="C7" i="111"/>
  <c r="A5" i="111"/>
  <c r="B5" i="111"/>
  <c r="C5" i="111"/>
  <c r="A21" i="111"/>
  <c r="B21" i="111"/>
  <c r="C21" i="111"/>
  <c r="A8" i="111"/>
  <c r="B8" i="111"/>
  <c r="C8" i="111"/>
  <c r="A9" i="111"/>
  <c r="B9" i="111"/>
  <c r="C9" i="111"/>
  <c r="A6" i="111"/>
  <c r="B6" i="111"/>
  <c r="C6" i="111"/>
  <c r="A11" i="111"/>
  <c r="B11" i="111"/>
  <c r="C11" i="111"/>
  <c r="A10" i="111"/>
  <c r="B10" i="111"/>
  <c r="C10" i="111"/>
  <c r="A19" i="111"/>
  <c r="B19" i="111"/>
  <c r="C19" i="111"/>
  <c r="A14" i="111"/>
  <c r="B14" i="111"/>
  <c r="C14" i="111"/>
  <c r="A22" i="111"/>
  <c r="B22" i="111"/>
  <c r="C22" i="111"/>
  <c r="A23" i="111"/>
  <c r="B23" i="111"/>
  <c r="C23" i="111"/>
  <c r="A16" i="111"/>
  <c r="B16" i="111"/>
  <c r="C16" i="111"/>
  <c r="A13" i="111"/>
  <c r="B13" i="111"/>
  <c r="C13" i="111"/>
  <c r="A17" i="111"/>
  <c r="B17" i="111"/>
  <c r="C17" i="111"/>
  <c r="E20" i="111"/>
  <c r="G20" i="111"/>
  <c r="H20" i="111"/>
  <c r="J20" i="111"/>
  <c r="E15" i="111"/>
  <c r="G15" i="111"/>
  <c r="E4" i="111"/>
  <c r="F4" i="111"/>
  <c r="G4" i="111"/>
  <c r="H4" i="111"/>
  <c r="E7" i="111"/>
  <c r="G7" i="111"/>
  <c r="E5" i="111"/>
  <c r="G5" i="111"/>
  <c r="H5" i="111"/>
  <c r="E21" i="111"/>
  <c r="G21" i="111"/>
  <c r="E8" i="111"/>
  <c r="F8" i="111"/>
  <c r="G8" i="111"/>
  <c r="H8" i="111"/>
  <c r="E9" i="111"/>
  <c r="G9" i="111"/>
  <c r="E6" i="111"/>
  <c r="G6" i="111"/>
  <c r="E11" i="111"/>
  <c r="F11" i="111"/>
  <c r="G11" i="111"/>
  <c r="E10" i="111"/>
  <c r="G10" i="111"/>
  <c r="H10" i="111"/>
  <c r="E19" i="111"/>
  <c r="F19" i="111"/>
  <c r="G19" i="111"/>
  <c r="J19" i="111"/>
  <c r="E14" i="111"/>
  <c r="G14" i="111"/>
  <c r="E22" i="111"/>
  <c r="G22" i="111"/>
  <c r="E23" i="111"/>
  <c r="G23" i="111"/>
  <c r="H23" i="111"/>
  <c r="E16" i="111"/>
  <c r="G16" i="111"/>
  <c r="E13" i="111"/>
  <c r="F13" i="111"/>
  <c r="G13" i="111"/>
  <c r="H13" i="111"/>
  <c r="J13" i="111"/>
  <c r="E17" i="111"/>
  <c r="F17" i="111"/>
  <c r="G17" i="111"/>
  <c r="F18" i="111"/>
  <c r="G18" i="111"/>
  <c r="C18" i="111"/>
  <c r="B18" i="111"/>
  <c r="A18" i="111"/>
  <c r="E3" i="111"/>
  <c r="D3" i="111"/>
  <c r="C3" i="111"/>
  <c r="B3" i="111"/>
  <c r="A20" i="110"/>
  <c r="B20" i="110"/>
  <c r="C20" i="110"/>
  <c r="E20" i="110"/>
  <c r="G20" i="110"/>
  <c r="H20" i="110"/>
  <c r="J20" i="110"/>
  <c r="A15" i="110"/>
  <c r="B15" i="110"/>
  <c r="C15" i="110"/>
  <c r="E15" i="110"/>
  <c r="G15" i="110"/>
  <c r="A16" i="110"/>
  <c r="B16" i="110"/>
  <c r="C16" i="110"/>
  <c r="E16" i="110"/>
  <c r="F16" i="110"/>
  <c r="G16" i="110"/>
  <c r="H16" i="110"/>
  <c r="A17" i="110"/>
  <c r="B17" i="110"/>
  <c r="C17" i="110"/>
  <c r="E17" i="110"/>
  <c r="G17" i="110"/>
  <c r="A19" i="110"/>
  <c r="B19" i="110"/>
  <c r="C19" i="110"/>
  <c r="E19" i="110"/>
  <c r="G19" i="110"/>
  <c r="H19" i="110"/>
  <c r="A21" i="110"/>
  <c r="B21" i="110"/>
  <c r="C21" i="110"/>
  <c r="E21" i="110"/>
  <c r="G21" i="110"/>
  <c r="A11" i="110"/>
  <c r="B11" i="110"/>
  <c r="C11" i="110"/>
  <c r="E11" i="110"/>
  <c r="F11" i="110"/>
  <c r="G11" i="110"/>
  <c r="H11" i="110"/>
  <c r="A9" i="110"/>
  <c r="B9" i="110"/>
  <c r="C9" i="110"/>
  <c r="E9" i="110"/>
  <c r="G9" i="110"/>
  <c r="A10" i="110"/>
  <c r="B10" i="110"/>
  <c r="C10" i="110"/>
  <c r="E10" i="110"/>
  <c r="G10" i="110"/>
  <c r="A6" i="110"/>
  <c r="B6" i="110"/>
  <c r="C6" i="110"/>
  <c r="E6" i="110"/>
  <c r="F6" i="110"/>
  <c r="G6" i="110"/>
  <c r="A8" i="110"/>
  <c r="B8" i="110"/>
  <c r="C8" i="110"/>
  <c r="E8" i="110"/>
  <c r="G8" i="110"/>
  <c r="H8" i="110"/>
  <c r="A18" i="110"/>
  <c r="B18" i="110"/>
  <c r="C18" i="110"/>
  <c r="E18" i="110"/>
  <c r="F18" i="110"/>
  <c r="G18" i="110"/>
  <c r="J18" i="110"/>
  <c r="A5" i="110"/>
  <c r="B5" i="110"/>
  <c r="C5" i="110"/>
  <c r="E5" i="110"/>
  <c r="G5" i="110"/>
  <c r="A22" i="110"/>
  <c r="B22" i="110"/>
  <c r="C22" i="110"/>
  <c r="E22" i="110"/>
  <c r="G22" i="110"/>
  <c r="A23" i="110"/>
  <c r="B23" i="110"/>
  <c r="C23" i="110"/>
  <c r="E23" i="110"/>
  <c r="G23" i="110"/>
  <c r="H23" i="110"/>
  <c r="A4" i="110"/>
  <c r="B4" i="110"/>
  <c r="C4" i="110"/>
  <c r="E4" i="110"/>
  <c r="G4" i="110"/>
  <c r="A12" i="110"/>
  <c r="B12" i="110"/>
  <c r="C12" i="110"/>
  <c r="E12" i="110"/>
  <c r="F12" i="110"/>
  <c r="G12" i="110"/>
  <c r="H12" i="110"/>
  <c r="J12" i="110"/>
  <c r="A13" i="110"/>
  <c r="B13" i="110"/>
  <c r="C13" i="110"/>
  <c r="E13" i="110"/>
  <c r="F13" i="110"/>
  <c r="G13" i="110"/>
  <c r="F14" i="110"/>
  <c r="G14" i="110"/>
  <c r="C14" i="110"/>
  <c r="B14" i="110"/>
  <c r="A14" i="110"/>
  <c r="E3" i="110"/>
  <c r="D3" i="110"/>
  <c r="C3" i="110"/>
  <c r="B3" i="110"/>
  <c r="E20" i="107"/>
  <c r="G20" i="107"/>
  <c r="H20" i="107"/>
  <c r="J20" i="107"/>
  <c r="E17" i="107"/>
  <c r="G17" i="107"/>
  <c r="E12" i="107"/>
  <c r="F12" i="107"/>
  <c r="G12" i="107"/>
  <c r="H12" i="107"/>
  <c r="E14" i="107"/>
  <c r="G14" i="107"/>
  <c r="E13" i="107"/>
  <c r="G13" i="107"/>
  <c r="H13" i="107"/>
  <c r="E21" i="107"/>
  <c r="G21" i="107"/>
  <c r="E11" i="107"/>
  <c r="F11" i="107"/>
  <c r="G11" i="107"/>
  <c r="H11" i="107"/>
  <c r="E8" i="107"/>
  <c r="G8" i="107"/>
  <c r="E10" i="107"/>
  <c r="G10" i="107"/>
  <c r="E4" i="107"/>
  <c r="F4" i="107"/>
  <c r="G4" i="107"/>
  <c r="E9" i="107"/>
  <c r="G9" i="107"/>
  <c r="H9" i="107"/>
  <c r="E16" i="107"/>
  <c r="F16" i="107"/>
  <c r="G16" i="107"/>
  <c r="J16" i="107"/>
  <c r="E5" i="107"/>
  <c r="G5" i="107"/>
  <c r="E22" i="107"/>
  <c r="G22" i="107"/>
  <c r="E23" i="107"/>
  <c r="G23" i="107"/>
  <c r="H23" i="107"/>
  <c r="E6" i="107"/>
  <c r="G6" i="107"/>
  <c r="E15" i="107"/>
  <c r="F15" i="107"/>
  <c r="G15" i="107"/>
  <c r="H15" i="107"/>
  <c r="J15" i="107"/>
  <c r="E18" i="107"/>
  <c r="F18" i="107"/>
  <c r="G18" i="107"/>
  <c r="F19" i="107"/>
  <c r="G19" i="107"/>
  <c r="A15" i="107"/>
  <c r="A18" i="107"/>
  <c r="B18" i="107"/>
  <c r="C18" i="107"/>
  <c r="B20" i="107"/>
  <c r="C20" i="107"/>
  <c r="B17" i="107"/>
  <c r="C17" i="107"/>
  <c r="B12" i="107"/>
  <c r="C12" i="107"/>
  <c r="B14" i="107"/>
  <c r="C14" i="107"/>
  <c r="B13" i="107"/>
  <c r="C13" i="107"/>
  <c r="B21" i="107"/>
  <c r="C21" i="107"/>
  <c r="B11" i="107"/>
  <c r="C11" i="107"/>
  <c r="B8" i="107"/>
  <c r="C8" i="107"/>
  <c r="B10" i="107"/>
  <c r="C10" i="107"/>
  <c r="B4" i="107"/>
  <c r="C4" i="107"/>
  <c r="B9" i="107"/>
  <c r="C9" i="107"/>
  <c r="B16" i="107"/>
  <c r="C16" i="107"/>
  <c r="B5" i="107"/>
  <c r="C5" i="107"/>
  <c r="B22" i="107"/>
  <c r="C22" i="107"/>
  <c r="B23" i="107"/>
  <c r="C23" i="107"/>
  <c r="B6" i="107"/>
  <c r="C6" i="107"/>
  <c r="B15" i="107"/>
  <c r="C15" i="107"/>
  <c r="C19" i="107"/>
  <c r="B19" i="107"/>
  <c r="A20" i="107"/>
  <c r="A17" i="107"/>
  <c r="A12" i="107"/>
  <c r="A14" i="107"/>
  <c r="A13" i="107"/>
  <c r="A21" i="107"/>
  <c r="A11" i="107"/>
  <c r="A8" i="107"/>
  <c r="A10" i="107"/>
  <c r="A4" i="107"/>
  <c r="A9" i="107"/>
  <c r="A16" i="107"/>
  <c r="A5" i="107"/>
  <c r="A22" i="107"/>
  <c r="A23" i="107"/>
  <c r="A6" i="107"/>
  <c r="A19" i="107"/>
  <c r="N7" i="108"/>
  <c r="N5" i="108"/>
  <c r="N16" i="108"/>
  <c r="N12" i="108"/>
  <c r="N15" i="108"/>
  <c r="N8" i="108"/>
  <c r="N6" i="108"/>
  <c r="N17" i="108"/>
  <c r="N14" i="108"/>
  <c r="N13" i="108"/>
  <c r="N4" i="108"/>
  <c r="N20" i="108"/>
  <c r="N21" i="108"/>
  <c r="N18" i="108"/>
  <c r="N22" i="108"/>
  <c r="N10" i="108"/>
  <c r="N19" i="108"/>
  <c r="N23" i="108"/>
  <c r="A19" i="108"/>
  <c r="A23" i="108"/>
  <c r="A22" i="108"/>
  <c r="A18" i="108"/>
  <c r="A17" i="108"/>
  <c r="A21" i="108"/>
  <c r="A20" i="108"/>
  <c r="A16" i="108"/>
  <c r="A15" i="108"/>
  <c r="A13" i="108"/>
  <c r="A14" i="108"/>
  <c r="A11" i="108"/>
  <c r="A12" i="108"/>
  <c r="A10" i="108"/>
  <c r="A8" i="108"/>
  <c r="A5" i="108"/>
  <c r="A6" i="108"/>
  <c r="A7" i="108"/>
  <c r="A4" i="108"/>
  <c r="J16" i="3" l="1"/>
  <c r="I19" i="3"/>
  <c r="I21" i="3"/>
  <c r="I20" i="3"/>
  <c r="I18" i="3"/>
  <c r="AF20" i="32"/>
  <c r="AL20" i="32"/>
  <c r="AI20" i="32"/>
  <c r="AH20" i="32"/>
  <c r="AK20" i="32"/>
  <c r="AG20" i="32"/>
  <c r="AJ20" i="32"/>
  <c r="Z18" i="111"/>
  <c r="Q24" i="113"/>
  <c r="AN24" i="113" s="1"/>
  <c r="R24" i="113"/>
  <c r="S24" i="113"/>
  <c r="T24" i="113"/>
  <c r="U24" i="113"/>
  <c r="V24" i="113"/>
  <c r="X24" i="113" s="1"/>
  <c r="W24" i="113"/>
  <c r="Y24" i="113"/>
  <c r="AA24" i="113" s="1"/>
  <c r="Z24" i="113"/>
  <c r="AB24" i="113"/>
  <c r="AC24" i="113"/>
  <c r="AE24" i="113" s="1"/>
  <c r="AD24" i="113"/>
  <c r="AF24" i="113"/>
  <c r="AG24" i="113"/>
  <c r="AH24" i="113"/>
  <c r="AI24" i="113"/>
  <c r="AJ24" i="113"/>
  <c r="AK24" i="113"/>
  <c r="AL24" i="113"/>
  <c r="AM24" i="113"/>
  <c r="AO24" i="113"/>
  <c r="AQ24" i="113" s="1"/>
  <c r="AP24" i="113"/>
  <c r="AR24" i="113"/>
  <c r="AS24" i="113"/>
  <c r="AU24" i="113" s="1"/>
  <c r="AT24" i="113"/>
  <c r="AV24" i="113"/>
  <c r="AX24" i="113" s="1"/>
  <c r="AW24" i="113"/>
  <c r="AY24" i="113"/>
  <c r="AZ24" i="113"/>
  <c r="BB24" i="113" s="1"/>
  <c r="BA24" i="113"/>
  <c r="BC24" i="113"/>
  <c r="BD24" i="113"/>
  <c r="BE24" i="113"/>
  <c r="BF24" i="113"/>
  <c r="BG24" i="113"/>
  <c r="BH24" i="113"/>
  <c r="BI24" i="113"/>
  <c r="BJ24" i="113"/>
  <c r="BK24" i="113"/>
  <c r="BL24" i="113"/>
  <c r="BM24" i="113"/>
  <c r="BN24" i="113"/>
  <c r="BO24" i="113"/>
  <c r="BP24" i="113"/>
  <c r="BQ24" i="113"/>
  <c r="BR24" i="113"/>
  <c r="BS24" i="113"/>
  <c r="BT24" i="113"/>
  <c r="BU24" i="113"/>
  <c r="BV24" i="113"/>
  <c r="CB24" i="113"/>
  <c r="CC24" i="113"/>
  <c r="CE24" i="113" s="1"/>
  <c r="CD24" i="113"/>
  <c r="CF24" i="113"/>
  <c r="CH24" i="113" s="1"/>
  <c r="CG24" i="113"/>
  <c r="CI24" i="113"/>
  <c r="Q25" i="113"/>
  <c r="AN25" i="113" s="1"/>
  <c r="R25" i="113"/>
  <c r="S25" i="113"/>
  <c r="T25" i="113"/>
  <c r="U25" i="113"/>
  <c r="V25" i="113"/>
  <c r="X25" i="113" s="1"/>
  <c r="W25" i="113"/>
  <c r="Y25" i="113"/>
  <c r="AA25" i="113" s="1"/>
  <c r="Z25" i="113"/>
  <c r="AB25" i="113"/>
  <c r="AC25" i="113"/>
  <c r="AE25" i="113" s="1"/>
  <c r="AD25" i="113"/>
  <c r="AF25" i="113"/>
  <c r="AG25" i="113"/>
  <c r="AH25" i="113"/>
  <c r="AI25" i="113"/>
  <c r="AJ25" i="113"/>
  <c r="AK25" i="113"/>
  <c r="AL25" i="113"/>
  <c r="AM25" i="113"/>
  <c r="AO25" i="113"/>
  <c r="AQ25" i="113" s="1"/>
  <c r="AP25" i="113"/>
  <c r="AR25" i="113"/>
  <c r="AS25" i="113"/>
  <c r="AU25" i="113" s="1"/>
  <c r="AT25" i="113"/>
  <c r="AV25" i="113"/>
  <c r="AW25" i="113"/>
  <c r="AX25" i="113"/>
  <c r="AY25" i="113"/>
  <c r="AZ25" i="113"/>
  <c r="BA25" i="113"/>
  <c r="BB25" i="113"/>
  <c r="BC25" i="113"/>
  <c r="BD25" i="113"/>
  <c r="BE25" i="113"/>
  <c r="BF25" i="113"/>
  <c r="BG25" i="113"/>
  <c r="BH25" i="113"/>
  <c r="BI25" i="113"/>
  <c r="BJ25" i="113"/>
  <c r="BK25" i="113"/>
  <c r="BL25" i="113"/>
  <c r="BM25" i="113"/>
  <c r="BN25" i="113"/>
  <c r="BO25" i="113"/>
  <c r="BP25" i="113"/>
  <c r="BQ25" i="113"/>
  <c r="BR25" i="113"/>
  <c r="BS25" i="113"/>
  <c r="BT25" i="113"/>
  <c r="BU25" i="113"/>
  <c r="BV25" i="113"/>
  <c r="CB25" i="113"/>
  <c r="CC25" i="113"/>
  <c r="CE25" i="113" s="1"/>
  <c r="CD25" i="113"/>
  <c r="CF25" i="113"/>
  <c r="CH25" i="113" s="1"/>
  <c r="CG25" i="113"/>
  <c r="CI25" i="113"/>
  <c r="Q26" i="113"/>
  <c r="AN26" i="113" s="1"/>
  <c r="R26" i="113"/>
  <c r="S26" i="113"/>
  <c r="T26" i="113"/>
  <c r="U26" i="113"/>
  <c r="V26" i="113"/>
  <c r="X26" i="113" s="1"/>
  <c r="W26" i="113"/>
  <c r="Y26" i="113"/>
  <c r="AA26" i="113" s="1"/>
  <c r="Z26" i="113"/>
  <c r="AB26" i="113"/>
  <c r="AC26" i="113"/>
  <c r="AE26" i="113" s="1"/>
  <c r="AD26" i="113"/>
  <c r="AF26" i="113"/>
  <c r="AG26" i="113"/>
  <c r="AH26" i="113"/>
  <c r="AI26" i="113"/>
  <c r="AJ26" i="113"/>
  <c r="AK26" i="113"/>
  <c r="AL26" i="113"/>
  <c r="AM26" i="113"/>
  <c r="AO26" i="113"/>
  <c r="AQ26" i="113" s="1"/>
  <c r="AP26" i="113"/>
  <c r="AR26" i="113"/>
  <c r="AS26" i="113"/>
  <c r="AU26" i="113" s="1"/>
  <c r="AT26" i="113"/>
  <c r="AV26" i="113"/>
  <c r="AX26" i="113" s="1"/>
  <c r="AW26" i="113"/>
  <c r="AY26" i="113"/>
  <c r="AZ26" i="113"/>
  <c r="BB26" i="113" s="1"/>
  <c r="BA26" i="113"/>
  <c r="BC26" i="113"/>
  <c r="BD26" i="113"/>
  <c r="BE26" i="113"/>
  <c r="BF26" i="113"/>
  <c r="BG26" i="113"/>
  <c r="BH26" i="113"/>
  <c r="BI26" i="113"/>
  <c r="BJ26" i="113"/>
  <c r="BK26" i="113"/>
  <c r="BL26" i="113"/>
  <c r="BM26" i="113"/>
  <c r="BN26" i="113"/>
  <c r="BO26" i="113"/>
  <c r="BP26" i="113"/>
  <c r="BQ26" i="113"/>
  <c r="BR26" i="113"/>
  <c r="BS26" i="113"/>
  <c r="BT26" i="113"/>
  <c r="BU26" i="113"/>
  <c r="BV26" i="113"/>
  <c r="CB26" i="113"/>
  <c r="CC26" i="113"/>
  <c r="CE26" i="113" s="1"/>
  <c r="CD26" i="113"/>
  <c r="CF26" i="113"/>
  <c r="CH26" i="113" s="1"/>
  <c r="CG26" i="113"/>
  <c r="CI26" i="113"/>
  <c r="Q27" i="113"/>
  <c r="AN27" i="113" s="1"/>
  <c r="R27" i="113"/>
  <c r="S27" i="113"/>
  <c r="T27" i="113"/>
  <c r="U27" i="113"/>
  <c r="V27" i="113"/>
  <c r="X27" i="113" s="1"/>
  <c r="W27" i="113"/>
  <c r="Y27" i="113"/>
  <c r="AA27" i="113" s="1"/>
  <c r="Z27" i="113"/>
  <c r="AB27" i="113"/>
  <c r="AC27" i="113"/>
  <c r="AE27" i="113" s="1"/>
  <c r="AD27" i="113"/>
  <c r="AF27" i="113"/>
  <c r="AG27" i="113"/>
  <c r="AH27" i="113"/>
  <c r="AI27" i="113"/>
  <c r="AJ27" i="113"/>
  <c r="AK27" i="113"/>
  <c r="AL27" i="113"/>
  <c r="AM27" i="113"/>
  <c r="AO27" i="113"/>
  <c r="AQ27" i="113" s="1"/>
  <c r="AP27" i="113"/>
  <c r="AR27" i="113"/>
  <c r="AS27" i="113"/>
  <c r="AU27" i="113" s="1"/>
  <c r="AT27" i="113"/>
  <c r="AV27" i="113"/>
  <c r="AX27" i="113" s="1"/>
  <c r="AW27" i="113"/>
  <c r="AY27" i="113"/>
  <c r="AZ27" i="113"/>
  <c r="BB27" i="113" s="1"/>
  <c r="BA27" i="113"/>
  <c r="BC27" i="113"/>
  <c r="BD27" i="113"/>
  <c r="BE27" i="113"/>
  <c r="BF27" i="113"/>
  <c r="BG27" i="113"/>
  <c r="BH27" i="113"/>
  <c r="BI27" i="113"/>
  <c r="BJ27" i="113"/>
  <c r="BK27" i="113"/>
  <c r="BL27" i="113"/>
  <c r="BM27" i="113"/>
  <c r="BN27" i="113"/>
  <c r="BO27" i="113"/>
  <c r="BP27" i="113"/>
  <c r="BQ27" i="113"/>
  <c r="BR27" i="113"/>
  <c r="BS27" i="113"/>
  <c r="BT27" i="113"/>
  <c r="BU27" i="113"/>
  <c r="BV27" i="113"/>
  <c r="CB27" i="113"/>
  <c r="CC27" i="113"/>
  <c r="CE27" i="113" s="1"/>
  <c r="CD27" i="113"/>
  <c r="CF27" i="113"/>
  <c r="CH27" i="113" s="1"/>
  <c r="CG27" i="113"/>
  <c r="CI27" i="113"/>
  <c r="Q28" i="113"/>
  <c r="AN28" i="113" s="1"/>
  <c r="R28" i="113"/>
  <c r="S28" i="113"/>
  <c r="T28" i="113"/>
  <c r="U28" i="113"/>
  <c r="V28" i="113"/>
  <c r="X28" i="113" s="1"/>
  <c r="W28" i="113"/>
  <c r="Y28" i="113"/>
  <c r="AA28" i="113" s="1"/>
  <c r="Z28" i="113"/>
  <c r="AB28" i="113"/>
  <c r="AC28" i="113"/>
  <c r="AE28" i="113" s="1"/>
  <c r="AD28" i="113"/>
  <c r="AF28" i="113"/>
  <c r="AG28" i="113"/>
  <c r="AH28" i="113"/>
  <c r="AI28" i="113"/>
  <c r="AJ28" i="113"/>
  <c r="AK28" i="113"/>
  <c r="AL28" i="113"/>
  <c r="AM28" i="113"/>
  <c r="AO28" i="113"/>
  <c r="AQ28" i="113" s="1"/>
  <c r="AP28" i="113"/>
  <c r="AR28" i="113"/>
  <c r="AS28" i="113"/>
  <c r="AU28" i="113" s="1"/>
  <c r="AT28" i="113"/>
  <c r="AV28" i="113"/>
  <c r="AX28" i="113" s="1"/>
  <c r="AW28" i="113"/>
  <c r="AY28" i="113"/>
  <c r="AZ28" i="113"/>
  <c r="BB28" i="113" s="1"/>
  <c r="BA28" i="113"/>
  <c r="BC28" i="113"/>
  <c r="BD28" i="113"/>
  <c r="BE28" i="113"/>
  <c r="BF28" i="113"/>
  <c r="BG28" i="113"/>
  <c r="BH28" i="113"/>
  <c r="BI28" i="113"/>
  <c r="BJ28" i="113"/>
  <c r="BK28" i="113"/>
  <c r="BL28" i="113"/>
  <c r="BM28" i="113"/>
  <c r="BN28" i="113"/>
  <c r="BO28" i="113"/>
  <c r="BP28" i="113"/>
  <c r="BQ28" i="113"/>
  <c r="BR28" i="113"/>
  <c r="BS28" i="113"/>
  <c r="BT28" i="113"/>
  <c r="BU28" i="113"/>
  <c r="BV28" i="113"/>
  <c r="CB28" i="113"/>
  <c r="CC28" i="113"/>
  <c r="CE28" i="113" s="1"/>
  <c r="CD28" i="113"/>
  <c r="CF28" i="113"/>
  <c r="CH28" i="113" s="1"/>
  <c r="CG28" i="113"/>
  <c r="CI28" i="113"/>
  <c r="Q29" i="113"/>
  <c r="AN29" i="113" s="1"/>
  <c r="R29" i="113"/>
  <c r="S29" i="113"/>
  <c r="T29" i="113"/>
  <c r="U29" i="113"/>
  <c r="V29" i="113"/>
  <c r="X29" i="113" s="1"/>
  <c r="W29" i="113"/>
  <c r="Y29" i="113"/>
  <c r="Z29" i="113"/>
  <c r="AA29" i="113"/>
  <c r="AB29" i="113"/>
  <c r="AC29" i="113"/>
  <c r="AD29" i="113"/>
  <c r="AE29" i="113"/>
  <c r="AF29" i="113"/>
  <c r="AG29" i="113"/>
  <c r="AH29" i="113"/>
  <c r="AI29" i="113"/>
  <c r="AJ29" i="113"/>
  <c r="AK29" i="113"/>
  <c r="AL29" i="113"/>
  <c r="AM29" i="113"/>
  <c r="AO29" i="113"/>
  <c r="AQ29" i="113" s="1"/>
  <c r="AP29" i="113"/>
  <c r="AR29" i="113"/>
  <c r="AS29" i="113"/>
  <c r="AU29" i="113" s="1"/>
  <c r="AT29" i="113"/>
  <c r="AV29" i="113"/>
  <c r="AX29" i="113" s="1"/>
  <c r="AW29" i="113"/>
  <c r="AY29" i="113"/>
  <c r="AZ29" i="113"/>
  <c r="BB29" i="113" s="1"/>
  <c r="BA29" i="113"/>
  <c r="BC29" i="113"/>
  <c r="BD29" i="113"/>
  <c r="BE29" i="113"/>
  <c r="BF29" i="113"/>
  <c r="BG29" i="113"/>
  <c r="BH29" i="113"/>
  <c r="BI29" i="113"/>
  <c r="BJ29" i="113"/>
  <c r="BK29" i="113"/>
  <c r="BL29" i="113"/>
  <c r="BM29" i="113"/>
  <c r="BN29" i="113"/>
  <c r="BO29" i="113"/>
  <c r="BP29" i="113"/>
  <c r="BQ29" i="113"/>
  <c r="BR29" i="113"/>
  <c r="BS29" i="113"/>
  <c r="BT29" i="113"/>
  <c r="BU29" i="113"/>
  <c r="BV29" i="113"/>
  <c r="CB29" i="113"/>
  <c r="CC29" i="113"/>
  <c r="CE29" i="113" s="1"/>
  <c r="CD29" i="113"/>
  <c r="CF29" i="113"/>
  <c r="CH29" i="113" s="1"/>
  <c r="CG29" i="113"/>
  <c r="CI29" i="113"/>
  <c r="Q30" i="113"/>
  <c r="R30" i="113"/>
  <c r="S30" i="113"/>
  <c r="T30" i="113"/>
  <c r="U30" i="113"/>
  <c r="V30" i="113"/>
  <c r="X30" i="113" s="1"/>
  <c r="W30" i="113"/>
  <c r="Y30" i="113"/>
  <c r="AA30" i="113" s="1"/>
  <c r="Z30" i="113"/>
  <c r="AB30" i="113"/>
  <c r="AC30" i="113"/>
  <c r="AE30" i="113" s="1"/>
  <c r="AD30" i="113"/>
  <c r="AF30" i="113"/>
  <c r="AG30" i="113"/>
  <c r="AH30" i="113"/>
  <c r="AI30" i="113"/>
  <c r="AJ30" i="113"/>
  <c r="AK30" i="113"/>
  <c r="AL30" i="113"/>
  <c r="AM30" i="113"/>
  <c r="AN30" i="113"/>
  <c r="AO30" i="113"/>
  <c r="AQ30" i="113" s="1"/>
  <c r="AP30" i="113"/>
  <c r="AR30" i="113"/>
  <c r="AS30" i="113"/>
  <c r="AU30" i="113" s="1"/>
  <c r="AT30" i="113"/>
  <c r="AV30" i="113"/>
  <c r="AX30" i="113" s="1"/>
  <c r="AW30" i="113"/>
  <c r="AY30" i="113"/>
  <c r="AZ30" i="113"/>
  <c r="BB30" i="113" s="1"/>
  <c r="BA30" i="113"/>
  <c r="BC30" i="113"/>
  <c r="BD30" i="113"/>
  <c r="BE30" i="113"/>
  <c r="BF30" i="113"/>
  <c r="BG30" i="113"/>
  <c r="BH30" i="113"/>
  <c r="BI30" i="113"/>
  <c r="BJ30" i="113"/>
  <c r="BK30" i="113"/>
  <c r="BL30" i="113"/>
  <c r="BM30" i="113"/>
  <c r="BN30" i="113"/>
  <c r="BO30" i="113"/>
  <c r="BP30" i="113"/>
  <c r="BQ30" i="113"/>
  <c r="BR30" i="113"/>
  <c r="BS30" i="113"/>
  <c r="BT30" i="113"/>
  <c r="BU30" i="113"/>
  <c r="BV30" i="113"/>
  <c r="CB30" i="113"/>
  <c r="CC30" i="113"/>
  <c r="CE30" i="113" s="1"/>
  <c r="CD30" i="113"/>
  <c r="CF30" i="113"/>
  <c r="CH30" i="113" s="1"/>
  <c r="CG30" i="113"/>
  <c r="CI30" i="113"/>
  <c r="Q31" i="113"/>
  <c r="AN31" i="113" s="1"/>
  <c r="R31" i="113"/>
  <c r="S31" i="113"/>
  <c r="T31" i="113"/>
  <c r="U31" i="113"/>
  <c r="V31" i="113"/>
  <c r="X31" i="113" s="1"/>
  <c r="W31" i="113"/>
  <c r="Y31" i="113"/>
  <c r="AA31" i="113" s="1"/>
  <c r="Z31" i="113"/>
  <c r="AB31" i="113"/>
  <c r="AC31" i="113"/>
  <c r="AE31" i="113" s="1"/>
  <c r="AD31" i="113"/>
  <c r="AF31" i="113"/>
  <c r="AG31" i="113"/>
  <c r="AH31" i="113"/>
  <c r="AI31" i="113"/>
  <c r="AJ31" i="113"/>
  <c r="AK31" i="113"/>
  <c r="AL31" i="113"/>
  <c r="AM31" i="113"/>
  <c r="AO31" i="113"/>
  <c r="AQ31" i="113" s="1"/>
  <c r="AP31" i="113"/>
  <c r="AR31" i="113"/>
  <c r="AS31" i="113"/>
  <c r="AU31" i="113" s="1"/>
  <c r="AT31" i="113"/>
  <c r="AV31" i="113"/>
  <c r="AX31" i="113" s="1"/>
  <c r="AW31" i="113"/>
  <c r="AY31" i="113"/>
  <c r="AZ31" i="113"/>
  <c r="BB31" i="113" s="1"/>
  <c r="BA31" i="113"/>
  <c r="BC31" i="113"/>
  <c r="BD31" i="113"/>
  <c r="BE31" i="113"/>
  <c r="BF31" i="113"/>
  <c r="BG31" i="113"/>
  <c r="BH31" i="113"/>
  <c r="BI31" i="113"/>
  <c r="BJ31" i="113"/>
  <c r="BK31" i="113"/>
  <c r="BL31" i="113"/>
  <c r="BM31" i="113"/>
  <c r="BN31" i="113"/>
  <c r="BO31" i="113"/>
  <c r="BP31" i="113"/>
  <c r="BQ31" i="113"/>
  <c r="BR31" i="113"/>
  <c r="BS31" i="113"/>
  <c r="BT31" i="113"/>
  <c r="BU31" i="113"/>
  <c r="BV31" i="113"/>
  <c r="CB31" i="113"/>
  <c r="CC31" i="113"/>
  <c r="CE31" i="113" s="1"/>
  <c r="CD31" i="113"/>
  <c r="CF31" i="113"/>
  <c r="CH31" i="113" s="1"/>
  <c r="CG31" i="113"/>
  <c r="CI31" i="113"/>
  <c r="Q32" i="113"/>
  <c r="AN32" i="113" s="1"/>
  <c r="R32" i="113"/>
  <c r="S32" i="113"/>
  <c r="T32" i="113"/>
  <c r="U32" i="113"/>
  <c r="V32" i="113"/>
  <c r="X32" i="113" s="1"/>
  <c r="W32" i="113"/>
  <c r="Y32" i="113"/>
  <c r="AA32" i="113" s="1"/>
  <c r="Z32" i="113"/>
  <c r="AB32" i="113"/>
  <c r="AC32" i="113"/>
  <c r="AE32" i="113" s="1"/>
  <c r="AD32" i="113"/>
  <c r="AF32" i="113"/>
  <c r="AG32" i="113"/>
  <c r="AH32" i="113"/>
  <c r="AI32" i="113"/>
  <c r="AJ32" i="113"/>
  <c r="AK32" i="113"/>
  <c r="AL32" i="113"/>
  <c r="AM32" i="113"/>
  <c r="AO32" i="113"/>
  <c r="AQ32" i="113" s="1"/>
  <c r="AP32" i="113"/>
  <c r="AR32" i="113"/>
  <c r="AS32" i="113"/>
  <c r="AU32" i="113" s="1"/>
  <c r="AT32" i="113"/>
  <c r="AV32" i="113"/>
  <c r="AX32" i="113" s="1"/>
  <c r="AW32" i="113"/>
  <c r="AY32" i="113"/>
  <c r="AZ32" i="113"/>
  <c r="BB32" i="113" s="1"/>
  <c r="BA32" i="113"/>
  <c r="BC32" i="113"/>
  <c r="BD32" i="113"/>
  <c r="BE32" i="113"/>
  <c r="BF32" i="113"/>
  <c r="BG32" i="113"/>
  <c r="BH32" i="113"/>
  <c r="BI32" i="113"/>
  <c r="BJ32" i="113"/>
  <c r="BK32" i="113"/>
  <c r="BL32" i="113"/>
  <c r="BM32" i="113"/>
  <c r="BN32" i="113"/>
  <c r="BO32" i="113"/>
  <c r="BP32" i="113"/>
  <c r="BQ32" i="113"/>
  <c r="BR32" i="113"/>
  <c r="BS32" i="113"/>
  <c r="BT32" i="113"/>
  <c r="BU32" i="113"/>
  <c r="BV32" i="113"/>
  <c r="CB32" i="113"/>
  <c r="CC32" i="113"/>
  <c r="CE32" i="113" s="1"/>
  <c r="CD32" i="113"/>
  <c r="CF32" i="113"/>
  <c r="CH32" i="113" s="1"/>
  <c r="CG32" i="113"/>
  <c r="CI32" i="113"/>
  <c r="Q33" i="113"/>
  <c r="AN33" i="113" s="1"/>
  <c r="R33" i="113"/>
  <c r="S33" i="113"/>
  <c r="T33" i="113"/>
  <c r="U33" i="113"/>
  <c r="V33" i="113"/>
  <c r="X33" i="113" s="1"/>
  <c r="W33" i="113"/>
  <c r="Y33" i="113"/>
  <c r="AA33" i="113" s="1"/>
  <c r="Z33" i="113"/>
  <c r="AB33" i="113"/>
  <c r="AC33" i="113"/>
  <c r="AE33" i="113" s="1"/>
  <c r="AD33" i="113"/>
  <c r="AF33" i="113"/>
  <c r="AG33" i="113"/>
  <c r="AH33" i="113"/>
  <c r="AI33" i="113"/>
  <c r="AJ33" i="113"/>
  <c r="AK33" i="113"/>
  <c r="AL33" i="113"/>
  <c r="AM33" i="113"/>
  <c r="AO33" i="113"/>
  <c r="AQ33" i="113" s="1"/>
  <c r="AP33" i="113"/>
  <c r="AR33" i="113"/>
  <c r="AS33" i="113"/>
  <c r="AU33" i="113" s="1"/>
  <c r="AT33" i="113"/>
  <c r="AV33" i="113"/>
  <c r="AX33" i="113" s="1"/>
  <c r="AW33" i="113"/>
  <c r="AY33" i="113"/>
  <c r="AZ33" i="113"/>
  <c r="BB33" i="113" s="1"/>
  <c r="BA33" i="113"/>
  <c r="BC33" i="113"/>
  <c r="BD33" i="113"/>
  <c r="BE33" i="113"/>
  <c r="BF33" i="113"/>
  <c r="BG33" i="113"/>
  <c r="BH33" i="113"/>
  <c r="BI33" i="113"/>
  <c r="BJ33" i="113"/>
  <c r="BK33" i="113"/>
  <c r="BL33" i="113"/>
  <c r="BM33" i="113"/>
  <c r="BN33" i="113"/>
  <c r="BO33" i="113"/>
  <c r="BP33" i="113"/>
  <c r="BQ33" i="113"/>
  <c r="BR33" i="113"/>
  <c r="BS33" i="113"/>
  <c r="BT33" i="113"/>
  <c r="BU33" i="113"/>
  <c r="BV33" i="113"/>
  <c r="CB33" i="113"/>
  <c r="CC33" i="113"/>
  <c r="CE33" i="113" s="1"/>
  <c r="CD33" i="113"/>
  <c r="CF33" i="113"/>
  <c r="CH33" i="113" s="1"/>
  <c r="CG33" i="113"/>
  <c r="CI33" i="113"/>
  <c r="Q34" i="113"/>
  <c r="AN34" i="113" s="1"/>
  <c r="R34" i="113"/>
  <c r="S34" i="113"/>
  <c r="T34" i="113"/>
  <c r="U34" i="113"/>
  <c r="V34" i="113"/>
  <c r="X34" i="113" s="1"/>
  <c r="W34" i="113"/>
  <c r="Y34" i="113"/>
  <c r="AA34" i="113" s="1"/>
  <c r="Z34" i="113"/>
  <c r="AB34" i="113"/>
  <c r="AC34" i="113"/>
  <c r="AE34" i="113" s="1"/>
  <c r="AD34" i="113"/>
  <c r="AF34" i="113"/>
  <c r="AG34" i="113"/>
  <c r="AH34" i="113"/>
  <c r="AI34" i="113"/>
  <c r="AJ34" i="113"/>
  <c r="AK34" i="113"/>
  <c r="AL34" i="113"/>
  <c r="AM34" i="113"/>
  <c r="AO34" i="113"/>
  <c r="AQ34" i="113" s="1"/>
  <c r="AP34" i="113"/>
  <c r="AR34" i="113"/>
  <c r="AS34" i="113"/>
  <c r="AU34" i="113" s="1"/>
  <c r="AT34" i="113"/>
  <c r="AV34" i="113"/>
  <c r="AX34" i="113" s="1"/>
  <c r="AW34" i="113"/>
  <c r="AY34" i="113"/>
  <c r="AZ34" i="113"/>
  <c r="BB34" i="113" s="1"/>
  <c r="BA34" i="113"/>
  <c r="BC34" i="113"/>
  <c r="BD34" i="113"/>
  <c r="BE34" i="113"/>
  <c r="BF34" i="113"/>
  <c r="BG34" i="113"/>
  <c r="BH34" i="113"/>
  <c r="BI34" i="113"/>
  <c r="BJ34" i="113"/>
  <c r="BK34" i="113"/>
  <c r="BL34" i="113"/>
  <c r="BM34" i="113"/>
  <c r="BN34" i="113"/>
  <c r="BO34" i="113"/>
  <c r="BP34" i="113"/>
  <c r="BQ34" i="113"/>
  <c r="BR34" i="113"/>
  <c r="BS34" i="113"/>
  <c r="BT34" i="113"/>
  <c r="BU34" i="113"/>
  <c r="BV34" i="113"/>
  <c r="CB34" i="113"/>
  <c r="CC34" i="113"/>
  <c r="CE34" i="113" s="1"/>
  <c r="CD34" i="113"/>
  <c r="CF34" i="113"/>
  <c r="CH34" i="113" s="1"/>
  <c r="CG34" i="113"/>
  <c r="CI34" i="113"/>
  <c r="K16" i="3" l="1"/>
  <c r="J20" i="3"/>
  <c r="J19" i="3"/>
  <c r="J21" i="3"/>
  <c r="J18" i="3"/>
  <c r="AB22" i="32"/>
  <c r="AB19" i="32"/>
  <c r="AB18" i="32"/>
  <c r="AB13" i="32"/>
  <c r="AB17" i="32"/>
  <c r="AB7" i="32"/>
  <c r="AB9" i="32"/>
  <c r="AB5" i="32"/>
  <c r="L16" i="3" l="1"/>
  <c r="K18" i="3"/>
  <c r="K20" i="3"/>
  <c r="K19" i="3"/>
  <c r="K21" i="3"/>
  <c r="I6" i="110"/>
  <c r="I11" i="111"/>
  <c r="I4" i="107"/>
  <c r="I22" i="110"/>
  <c r="I22" i="111"/>
  <c r="I22" i="107"/>
  <c r="I14" i="107"/>
  <c r="I7" i="111"/>
  <c r="I17" i="110"/>
  <c r="I15" i="111"/>
  <c r="I17" i="107"/>
  <c r="I15" i="110"/>
  <c r="I10" i="111"/>
  <c r="I8" i="110"/>
  <c r="I9" i="107"/>
  <c r="I6" i="107"/>
  <c r="I16" i="111"/>
  <c r="I4" i="110"/>
  <c r="I18" i="111"/>
  <c r="I14" i="110"/>
  <c r="I19" i="107"/>
  <c r="I8" i="111"/>
  <c r="I11" i="110"/>
  <c r="I11" i="107"/>
  <c r="I8" i="107"/>
  <c r="I9" i="111"/>
  <c r="I9" i="110"/>
  <c r="I18" i="110"/>
  <c r="I16" i="107"/>
  <c r="I19" i="111"/>
  <c r="I5" i="107"/>
  <c r="I5" i="110"/>
  <c r="I14" i="111"/>
  <c r="I15" i="107"/>
  <c r="I12" i="110"/>
  <c r="I13" i="111"/>
  <c r="M16" i="3" l="1"/>
  <c r="L18" i="3"/>
  <c r="L20" i="3"/>
  <c r="L19" i="3"/>
  <c r="L21" i="3"/>
  <c r="I13" i="107"/>
  <c r="I19" i="110"/>
  <c r="I5" i="111"/>
  <c r="AB14" i="32"/>
  <c r="N16" i="3" l="1"/>
  <c r="M20" i="3"/>
  <c r="M18" i="3"/>
  <c r="M19" i="3"/>
  <c r="M21" i="3"/>
  <c r="I23" i="111"/>
  <c r="I23" i="110"/>
  <c r="I23" i="107"/>
  <c r="I10" i="107"/>
  <c r="I10" i="110"/>
  <c r="I6" i="111"/>
  <c r="AD23" i="32"/>
  <c r="O16" i="3" l="1"/>
  <c r="N19" i="3"/>
  <c r="N18" i="3"/>
  <c r="N20" i="3"/>
  <c r="N21" i="3"/>
  <c r="AM16" i="32"/>
  <c r="AN16" i="32"/>
  <c r="AM12" i="32"/>
  <c r="AN12" i="32"/>
  <c r="AN22" i="32"/>
  <c r="AM22" i="32"/>
  <c r="AM17" i="32"/>
  <c r="AN17" i="32"/>
  <c r="AM10" i="32"/>
  <c r="AN10" i="32"/>
  <c r="AM18" i="32"/>
  <c r="AN18" i="32"/>
  <c r="AM7" i="32"/>
  <c r="AN7" i="32"/>
  <c r="AM14" i="32"/>
  <c r="AN14" i="32"/>
  <c r="AM15" i="32"/>
  <c r="AN15" i="32"/>
  <c r="AM9" i="32"/>
  <c r="AN9" i="32"/>
  <c r="AM23" i="32"/>
  <c r="AN23" i="32"/>
  <c r="AN5" i="32"/>
  <c r="AM5" i="32"/>
  <c r="AM8" i="32"/>
  <c r="AN8" i="32"/>
  <c r="AM13" i="32"/>
  <c r="AN13" i="32"/>
  <c r="AN21" i="32"/>
  <c r="AM21" i="32"/>
  <c r="K13" i="110"/>
  <c r="K18" i="107"/>
  <c r="K17" i="111"/>
  <c r="K5" i="111"/>
  <c r="K19" i="110"/>
  <c r="K13" i="107"/>
  <c r="K14" i="111"/>
  <c r="K5" i="107"/>
  <c r="K5" i="110"/>
  <c r="K13" i="111"/>
  <c r="K15" i="107"/>
  <c r="K12" i="110"/>
  <c r="K14" i="107"/>
  <c r="K7" i="111"/>
  <c r="K17" i="110"/>
  <c r="K9" i="107"/>
  <c r="K8" i="110"/>
  <c r="K10" i="111"/>
  <c r="K11" i="107"/>
  <c r="K11" i="110"/>
  <c r="K8" i="111"/>
  <c r="K15" i="110"/>
  <c r="K17" i="107"/>
  <c r="K15" i="111"/>
  <c r="K6" i="111"/>
  <c r="K10" i="110"/>
  <c r="K10" i="107"/>
  <c r="K6" i="110"/>
  <c r="K4" i="107"/>
  <c r="K11" i="111"/>
  <c r="K19" i="111"/>
  <c r="K18" i="110"/>
  <c r="K16" i="107"/>
  <c r="K14" i="110"/>
  <c r="K18" i="111"/>
  <c r="K19" i="107"/>
  <c r="K12" i="107"/>
  <c r="K4" i="111"/>
  <c r="K16" i="110"/>
  <c r="K8" i="107"/>
  <c r="K9" i="111"/>
  <c r="K9" i="110"/>
  <c r="K16" i="111"/>
  <c r="K4" i="110"/>
  <c r="K6" i="107"/>
  <c r="P16" i="3" l="1"/>
  <c r="O19" i="3"/>
  <c r="O21" i="3"/>
  <c r="O18" i="3"/>
  <c r="O20" i="3"/>
  <c r="G22" i="49"/>
  <c r="O25" i="49" s="1"/>
  <c r="AT23" i="32"/>
  <c r="AT6" i="32"/>
  <c r="AT7" i="32"/>
  <c r="AT8" i="32"/>
  <c r="AT9" i="32"/>
  <c r="AT10" i="32"/>
  <c r="AT11" i="32"/>
  <c r="AT12" i="32"/>
  <c r="AT13" i="32"/>
  <c r="AT14" i="32"/>
  <c r="AT15" i="32"/>
  <c r="AT16" i="32"/>
  <c r="AT17" i="32"/>
  <c r="AT18" i="32"/>
  <c r="AT19" i="32"/>
  <c r="AT21" i="32"/>
  <c r="AT22" i="32"/>
  <c r="AT5" i="32"/>
  <c r="Q16" i="3" l="1"/>
  <c r="P19" i="3"/>
  <c r="P21" i="3"/>
  <c r="P18" i="3"/>
  <c r="P20" i="3"/>
  <c r="A18" i="85"/>
  <c r="AB8" i="32"/>
  <c r="R16" i="3" l="1"/>
  <c r="Q19" i="3"/>
  <c r="Q21" i="3"/>
  <c r="Q18" i="3"/>
  <c r="Q20" i="3"/>
  <c r="I4" i="111"/>
  <c r="I16" i="110"/>
  <c r="I12" i="107"/>
  <c r="I17" i="111"/>
  <c r="I13" i="110"/>
  <c r="I18" i="107"/>
  <c r="O13" i="85"/>
  <c r="S16" i="3" l="1"/>
  <c r="R19" i="3"/>
  <c r="R21" i="3"/>
  <c r="R18" i="3"/>
  <c r="R20" i="3"/>
  <c r="A4" i="76"/>
  <c r="B4" i="76"/>
  <c r="C4" i="76"/>
  <c r="G4" i="76" s="1"/>
  <c r="D4" i="76"/>
  <c r="E4" i="76" s="1"/>
  <c r="F4" i="76" s="1"/>
  <c r="A5" i="76"/>
  <c r="O6" i="76" s="1"/>
  <c r="V6" i="76" s="1"/>
  <c r="B5" i="76"/>
  <c r="C5" i="76"/>
  <c r="G5" i="76" s="1"/>
  <c r="D5" i="76"/>
  <c r="E5" i="76" s="1"/>
  <c r="P6" i="76" s="1"/>
  <c r="W6" i="76" s="1"/>
  <c r="A6" i="76"/>
  <c r="B6" i="76"/>
  <c r="C6" i="76"/>
  <c r="G6" i="76" s="1"/>
  <c r="H6" i="76" s="1"/>
  <c r="D6" i="76"/>
  <c r="E6" i="76" s="1"/>
  <c r="F6" i="76" s="1"/>
  <c r="A7" i="76"/>
  <c r="O4" i="76" s="1"/>
  <c r="V4" i="76" s="1"/>
  <c r="B7" i="76"/>
  <c r="C7" i="76"/>
  <c r="G7" i="76" s="1"/>
  <c r="D7" i="76"/>
  <c r="E7" i="76" s="1"/>
  <c r="P4" i="76" s="1"/>
  <c r="W4" i="76" s="1"/>
  <c r="A8" i="76"/>
  <c r="B8" i="76"/>
  <c r="C8" i="76"/>
  <c r="G8" i="76" s="1"/>
  <c r="D8" i="76"/>
  <c r="E8" i="76" s="1"/>
  <c r="F8" i="76" s="1"/>
  <c r="A9" i="76"/>
  <c r="B9" i="76"/>
  <c r="C9" i="76"/>
  <c r="G9" i="76" s="1"/>
  <c r="H9" i="76" s="1"/>
  <c r="D9" i="76"/>
  <c r="E9" i="76" s="1"/>
  <c r="A10" i="76"/>
  <c r="O7" i="76" s="1"/>
  <c r="V7" i="76" s="1"/>
  <c r="B10" i="76"/>
  <c r="C10" i="76"/>
  <c r="G10" i="76" s="1"/>
  <c r="D10" i="76"/>
  <c r="E10" i="76" s="1"/>
  <c r="A11" i="76"/>
  <c r="O11" i="76" s="1"/>
  <c r="V11" i="76" s="1"/>
  <c r="B11" i="76"/>
  <c r="C11" i="76"/>
  <c r="G11" i="76" s="1"/>
  <c r="D11" i="76"/>
  <c r="E11" i="76" s="1"/>
  <c r="P11" i="76" s="1"/>
  <c r="W11" i="76" s="1"/>
  <c r="A12" i="76"/>
  <c r="B12" i="76"/>
  <c r="C12" i="76"/>
  <c r="G12" i="76" s="1"/>
  <c r="H12" i="76" s="1"/>
  <c r="D12" i="76"/>
  <c r="E12" i="76" s="1"/>
  <c r="F12" i="76" s="1"/>
  <c r="A13" i="76"/>
  <c r="O8" i="76" s="1"/>
  <c r="V8" i="76" s="1"/>
  <c r="B13" i="76"/>
  <c r="C13" i="76"/>
  <c r="G13" i="76" s="1"/>
  <c r="D13" i="76"/>
  <c r="E13" i="76" s="1"/>
  <c r="A14" i="76"/>
  <c r="O10" i="76" s="1"/>
  <c r="V10" i="76" s="1"/>
  <c r="B14" i="76"/>
  <c r="C14" i="76"/>
  <c r="G14" i="76" s="1"/>
  <c r="R10" i="76" s="1"/>
  <c r="Y10" i="76" s="1"/>
  <c r="D14" i="76"/>
  <c r="E14" i="76" s="1"/>
  <c r="A15" i="76"/>
  <c r="O5" i="76" s="1"/>
  <c r="V5" i="76" s="1"/>
  <c r="B15" i="76"/>
  <c r="C15" i="76"/>
  <c r="G15" i="76" s="1"/>
  <c r="D15" i="76"/>
  <c r="E15" i="76" s="1"/>
  <c r="P5" i="76" s="1"/>
  <c r="W5" i="76" s="1"/>
  <c r="A16" i="76"/>
  <c r="O9" i="76" s="1"/>
  <c r="V9" i="76" s="1"/>
  <c r="B16" i="76"/>
  <c r="C16" i="76"/>
  <c r="G16" i="76" s="1"/>
  <c r="R9" i="76" s="1"/>
  <c r="Y9" i="76" s="1"/>
  <c r="D16" i="76"/>
  <c r="E16" i="76" s="1"/>
  <c r="A17" i="76"/>
  <c r="B17" i="76"/>
  <c r="C17" i="76"/>
  <c r="G17" i="76" s="1"/>
  <c r="H17" i="76" s="1"/>
  <c r="D17" i="76"/>
  <c r="E17" i="76" s="1"/>
  <c r="A20" i="76"/>
  <c r="O13" i="76" s="1"/>
  <c r="V13" i="76" s="1"/>
  <c r="B20" i="76"/>
  <c r="C20" i="76"/>
  <c r="G20" i="76" s="1"/>
  <c r="D20" i="76"/>
  <c r="E20" i="76" s="1"/>
  <c r="A21" i="76"/>
  <c r="O12" i="76" s="1"/>
  <c r="V12" i="76" s="1"/>
  <c r="B21" i="76"/>
  <c r="C21" i="76"/>
  <c r="G21" i="76" s="1"/>
  <c r="R12" i="76" s="1"/>
  <c r="Y12" i="76" s="1"/>
  <c r="D21" i="76"/>
  <c r="E21" i="76" s="1"/>
  <c r="A22" i="76"/>
  <c r="B22" i="76"/>
  <c r="C22" i="76"/>
  <c r="G22" i="76" s="1"/>
  <c r="H22" i="76" s="1"/>
  <c r="D22" i="76"/>
  <c r="E22" i="76" s="1"/>
  <c r="D3" i="76"/>
  <c r="C3" i="76"/>
  <c r="G3" i="76" s="1"/>
  <c r="R3" i="76" s="1"/>
  <c r="B3" i="76"/>
  <c r="A3" i="76"/>
  <c r="O3" i="76" s="1"/>
  <c r="V3" i="76" s="1"/>
  <c r="A12" i="102"/>
  <c r="C12" i="102"/>
  <c r="A20" i="102"/>
  <c r="D20" i="102"/>
  <c r="A14" i="102"/>
  <c r="D14" i="102"/>
  <c r="A13" i="102"/>
  <c r="D13" i="102"/>
  <c r="A11" i="102"/>
  <c r="D11" i="102"/>
  <c r="N11" i="102" s="1"/>
  <c r="A16" i="102"/>
  <c r="A3" i="102"/>
  <c r="D3" i="102"/>
  <c r="N3" i="102" s="1"/>
  <c r="A8" i="102"/>
  <c r="D8" i="102"/>
  <c r="N8" i="102" s="1"/>
  <c r="A7" i="102"/>
  <c r="D7" i="102"/>
  <c r="N7" i="102" s="1"/>
  <c r="A9" i="102"/>
  <c r="D9" i="102"/>
  <c r="N9" i="102" s="1"/>
  <c r="A10" i="102"/>
  <c r="D10" i="102"/>
  <c r="N10" i="102" s="1"/>
  <c r="A15" i="102"/>
  <c r="C15" i="102"/>
  <c r="D15" i="102"/>
  <c r="A5" i="102"/>
  <c r="D5" i="102"/>
  <c r="N5" i="102" s="1"/>
  <c r="A17" i="102"/>
  <c r="A19" i="102"/>
  <c r="A2" i="102"/>
  <c r="D2" i="102"/>
  <c r="N2" i="102" s="1"/>
  <c r="A4" i="102"/>
  <c r="C4" i="102"/>
  <c r="M4" i="102" s="1"/>
  <c r="D4" i="102"/>
  <c r="N4" i="102" s="1"/>
  <c r="A6" i="102"/>
  <c r="D6" i="102"/>
  <c r="N6" i="102" s="1"/>
  <c r="A15" i="83"/>
  <c r="A2" i="83"/>
  <c r="A5" i="83"/>
  <c r="A7" i="83"/>
  <c r="A12" i="83"/>
  <c r="H5" i="83" s="1"/>
  <c r="M5" i="83" s="1"/>
  <c r="A16" i="83"/>
  <c r="A4" i="83"/>
  <c r="M4" i="83" s="1"/>
  <c r="A9" i="83"/>
  <c r="A13" i="83"/>
  <c r="A14" i="83"/>
  <c r="A3" i="83"/>
  <c r="A6" i="83"/>
  <c r="H6" i="83" s="1"/>
  <c r="A17" i="83"/>
  <c r="A18" i="83"/>
  <c r="A19" i="83"/>
  <c r="A10" i="83"/>
  <c r="A11" i="83"/>
  <c r="A8" i="83"/>
  <c r="A20" i="83"/>
  <c r="T16" i="3" l="1"/>
  <c r="S18" i="3"/>
  <c r="S20" i="3"/>
  <c r="S19" i="3"/>
  <c r="S21" i="3"/>
  <c r="F7" i="111"/>
  <c r="F17" i="110"/>
  <c r="F14" i="107"/>
  <c r="F9" i="111"/>
  <c r="F9" i="110"/>
  <c r="F8" i="107"/>
  <c r="F10" i="107"/>
  <c r="F10" i="110"/>
  <c r="F6" i="111"/>
  <c r="H7" i="76"/>
  <c r="S4" i="76" s="1"/>
  <c r="Z4" i="76" s="1"/>
  <c r="R4" i="76"/>
  <c r="Y4" i="76" s="1"/>
  <c r="H15" i="76"/>
  <c r="S5" i="76" s="1"/>
  <c r="Z5" i="76" s="1"/>
  <c r="R5" i="76"/>
  <c r="Y5" i="76" s="1"/>
  <c r="H5" i="76"/>
  <c r="S6" i="76" s="1"/>
  <c r="Z6" i="76" s="1"/>
  <c r="R6" i="76"/>
  <c r="Y6" i="76" s="1"/>
  <c r="H20" i="76"/>
  <c r="S13" i="76" s="1"/>
  <c r="Z13" i="76" s="1"/>
  <c r="R13" i="76"/>
  <c r="Y13" i="76" s="1"/>
  <c r="H13" i="76"/>
  <c r="S8" i="76" s="1"/>
  <c r="Z8" i="76" s="1"/>
  <c r="R8" i="76"/>
  <c r="Y8" i="76" s="1"/>
  <c r="H11" i="76"/>
  <c r="S11" i="76" s="1"/>
  <c r="Z11" i="76" s="1"/>
  <c r="R11" i="76"/>
  <c r="Y11" i="76" s="1"/>
  <c r="H10" i="76"/>
  <c r="S7" i="76" s="1"/>
  <c r="Z7" i="76" s="1"/>
  <c r="R7" i="76"/>
  <c r="Y7" i="76" s="1"/>
  <c r="P18" i="76"/>
  <c r="Y3" i="76"/>
  <c r="F21" i="76"/>
  <c r="Q12" i="76" s="1"/>
  <c r="X12" i="76" s="1"/>
  <c r="P12" i="76"/>
  <c r="W12" i="76" s="1"/>
  <c r="F16" i="76"/>
  <c r="Q9" i="76" s="1"/>
  <c r="X9" i="76" s="1"/>
  <c r="P9" i="76"/>
  <c r="W9" i="76" s="1"/>
  <c r="F13" i="76"/>
  <c r="Q8" i="76" s="1"/>
  <c r="X8" i="76" s="1"/>
  <c r="P8" i="76"/>
  <c r="W8" i="76" s="1"/>
  <c r="F10" i="76"/>
  <c r="Q7" i="76" s="1"/>
  <c r="X7" i="76" s="1"/>
  <c r="P7" i="76"/>
  <c r="W7" i="76" s="1"/>
  <c r="F20" i="76"/>
  <c r="Q13" i="76" s="1"/>
  <c r="X13" i="76" s="1"/>
  <c r="P13" i="76"/>
  <c r="W13" i="76" s="1"/>
  <c r="F14" i="76"/>
  <c r="Q10" i="76" s="1"/>
  <c r="X10" i="76" s="1"/>
  <c r="P10" i="76"/>
  <c r="W10" i="76" s="1"/>
  <c r="I8" i="76"/>
  <c r="H8" i="76"/>
  <c r="J8" i="76" s="1"/>
  <c r="M3" i="83"/>
  <c r="H3" i="83"/>
  <c r="I15" i="76"/>
  <c r="I11" i="76"/>
  <c r="I9" i="76"/>
  <c r="F15" i="76"/>
  <c r="Q5" i="76" s="1"/>
  <c r="X5" i="76" s="1"/>
  <c r="I20" i="76"/>
  <c r="F11" i="76"/>
  <c r="J12" i="76"/>
  <c r="I5" i="76"/>
  <c r="F5" i="76"/>
  <c r="I7" i="76"/>
  <c r="F7" i="76"/>
  <c r="I22" i="76"/>
  <c r="F22" i="76"/>
  <c r="J22" i="76" s="1"/>
  <c r="I17" i="76"/>
  <c r="F17" i="76"/>
  <c r="J17" i="76" s="1"/>
  <c r="I13" i="76"/>
  <c r="I12" i="76"/>
  <c r="F9" i="76"/>
  <c r="J9" i="76" s="1"/>
  <c r="I21" i="76"/>
  <c r="H21" i="76"/>
  <c r="I16" i="76"/>
  <c r="H16" i="76"/>
  <c r="I4" i="76"/>
  <c r="H4" i="76"/>
  <c r="J4" i="76" s="1"/>
  <c r="J6" i="76"/>
  <c r="I14" i="76"/>
  <c r="H14" i="76"/>
  <c r="I10" i="76"/>
  <c r="I6" i="76"/>
  <c r="H4" i="83"/>
  <c r="U16" i="3" l="1"/>
  <c r="T18" i="3"/>
  <c r="T20" i="3"/>
  <c r="T21" i="3"/>
  <c r="T19" i="3"/>
  <c r="J20" i="76"/>
  <c r="J15" i="76"/>
  <c r="J5" i="76"/>
  <c r="Q6" i="76"/>
  <c r="X6" i="76" s="1"/>
  <c r="J14" i="76"/>
  <c r="S10" i="76"/>
  <c r="Z10" i="76" s="1"/>
  <c r="J21" i="76"/>
  <c r="S12" i="76"/>
  <c r="Z12" i="76" s="1"/>
  <c r="J16" i="76"/>
  <c r="S9" i="76"/>
  <c r="Z9" i="76" s="1"/>
  <c r="J10" i="76"/>
  <c r="J7" i="76"/>
  <c r="Q4" i="76"/>
  <c r="X4" i="76" s="1"/>
  <c r="J13" i="76"/>
  <c r="J11" i="76"/>
  <c r="Q11" i="76"/>
  <c r="X11" i="76" s="1"/>
  <c r="V24" i="32"/>
  <c r="V25" i="32" s="1"/>
  <c r="T24" i="32"/>
  <c r="AC9" i="32"/>
  <c r="V16" i="3" l="1"/>
  <c r="U18" i="3"/>
  <c r="U20" i="3"/>
  <c r="U21" i="3"/>
  <c r="U19" i="3"/>
  <c r="AM19" i="32"/>
  <c r="AN19" i="32"/>
  <c r="AM11" i="32"/>
  <c r="AN11" i="32"/>
  <c r="K22" i="110"/>
  <c r="K22" i="107"/>
  <c r="K22" i="111"/>
  <c r="D17" i="102"/>
  <c r="K21" i="110"/>
  <c r="K21" i="107"/>
  <c r="K21" i="111"/>
  <c r="D16" i="102"/>
  <c r="J7" i="111"/>
  <c r="J17" i="110"/>
  <c r="J14" i="107"/>
  <c r="C13" i="102"/>
  <c r="U12" i="49"/>
  <c r="W16" i="3" l="1"/>
  <c r="V21" i="3"/>
  <c r="V18" i="3"/>
  <c r="V20" i="3"/>
  <c r="V19" i="3"/>
  <c r="V4" i="49"/>
  <c r="V9" i="49"/>
  <c r="V14" i="49"/>
  <c r="V16" i="49"/>
  <c r="V17" i="49"/>
  <c r="V13" i="49"/>
  <c r="V22" i="49"/>
  <c r="V12" i="49"/>
  <c r="V5" i="49"/>
  <c r="V7" i="49"/>
  <c r="V11" i="49"/>
  <c r="V3" i="49"/>
  <c r="V6" i="49"/>
  <c r="V15" i="49"/>
  <c r="V8" i="49"/>
  <c r="V10" i="49"/>
  <c r="V20" i="49"/>
  <c r="X16" i="3" l="1"/>
  <c r="W19" i="3"/>
  <c r="W21" i="3"/>
  <c r="W18" i="3"/>
  <c r="W20" i="3"/>
  <c r="AB11" i="32"/>
  <c r="Y16" i="3" l="1"/>
  <c r="X19" i="3"/>
  <c r="X21" i="3"/>
  <c r="X18" i="3"/>
  <c r="X20" i="3"/>
  <c r="I20" i="107"/>
  <c r="I20" i="110"/>
  <c r="I20" i="111"/>
  <c r="I21" i="111"/>
  <c r="I21" i="110"/>
  <c r="I21" i="107"/>
  <c r="Z16" i="3" l="1"/>
  <c r="Y19" i="3"/>
  <c r="Y18" i="3"/>
  <c r="Y21" i="3"/>
  <c r="Y20" i="3"/>
  <c r="F20" i="107"/>
  <c r="F20" i="110"/>
  <c r="F20" i="111"/>
  <c r="F14" i="111"/>
  <c r="F5" i="107"/>
  <c r="F5" i="110"/>
  <c r="F23" i="111"/>
  <c r="F23" i="110"/>
  <c r="F23" i="107"/>
  <c r="F15" i="110"/>
  <c r="F17" i="107"/>
  <c r="F15" i="111"/>
  <c r="F9" i="107"/>
  <c r="F10" i="111"/>
  <c r="F8" i="110"/>
  <c r="F5" i="111"/>
  <c r="F13" i="107"/>
  <c r="F19" i="110"/>
  <c r="F22" i="110"/>
  <c r="F22" i="107"/>
  <c r="F22" i="111"/>
  <c r="F21" i="110"/>
  <c r="F21" i="107"/>
  <c r="F21" i="111"/>
  <c r="F16" i="111"/>
  <c r="F4" i="110"/>
  <c r="F6" i="107"/>
  <c r="X5" i="32"/>
  <c r="AA16" i="3" l="1"/>
  <c r="Z18" i="3"/>
  <c r="Z19" i="3"/>
  <c r="Z21" i="3"/>
  <c r="Z20" i="3"/>
  <c r="E14" i="110"/>
  <c r="E19" i="107"/>
  <c r="E18" i="111"/>
  <c r="H14" i="107"/>
  <c r="H7" i="111"/>
  <c r="H17" i="110"/>
  <c r="H6" i="107"/>
  <c r="H16" i="111"/>
  <c r="H4" i="110"/>
  <c r="N13" i="85"/>
  <c r="V2" i="85"/>
  <c r="AB16" i="3" l="1"/>
  <c r="AA18" i="3"/>
  <c r="AA20" i="3"/>
  <c r="AA19" i="3"/>
  <c r="AA21" i="3"/>
  <c r="AC23" i="32"/>
  <c r="AC21" i="32"/>
  <c r="AC14" i="32"/>
  <c r="AC12" i="32"/>
  <c r="AC7" i="32"/>
  <c r="AC5" i="32"/>
  <c r="AC16" i="3" l="1"/>
  <c r="AB21" i="3"/>
  <c r="AB18" i="3"/>
  <c r="AB20" i="3"/>
  <c r="AB19" i="3"/>
  <c r="J11" i="107"/>
  <c r="J8" i="111"/>
  <c r="J11" i="110"/>
  <c r="C3" i="102"/>
  <c r="M3" i="102" s="1"/>
  <c r="J13" i="107"/>
  <c r="J5" i="111"/>
  <c r="J19" i="110"/>
  <c r="C11" i="102"/>
  <c r="M11" i="102" s="1"/>
  <c r="J6" i="110"/>
  <c r="J4" i="107"/>
  <c r="J11" i="111"/>
  <c r="C9" i="102"/>
  <c r="M9" i="102" s="1"/>
  <c r="J9" i="111"/>
  <c r="J9" i="110"/>
  <c r="J8" i="107"/>
  <c r="C8" i="102"/>
  <c r="M8" i="102" s="1"/>
  <c r="J16" i="111"/>
  <c r="J4" i="110"/>
  <c r="J6" i="107"/>
  <c r="C2" i="102"/>
  <c r="M2" i="102" s="1"/>
  <c r="J18" i="111"/>
  <c r="J14" i="110"/>
  <c r="J19" i="107"/>
  <c r="J5" i="107"/>
  <c r="J5" i="110"/>
  <c r="J14" i="111"/>
  <c r="C5" i="102"/>
  <c r="M5" i="102" s="1"/>
  <c r="J6" i="111"/>
  <c r="J10" i="107"/>
  <c r="J10" i="110"/>
  <c r="C7" i="102"/>
  <c r="M7" i="102" s="1"/>
  <c r="J15" i="110"/>
  <c r="J17" i="107"/>
  <c r="J15" i="111"/>
  <c r="C20" i="102"/>
  <c r="J4" i="111"/>
  <c r="J16" i="110"/>
  <c r="J12" i="107"/>
  <c r="C14" i="102"/>
  <c r="J10" i="111"/>
  <c r="J9" i="107"/>
  <c r="J8" i="110"/>
  <c r="C10" i="102"/>
  <c r="M10" i="102" s="1"/>
  <c r="J13" i="110"/>
  <c r="J18" i="107"/>
  <c r="J17" i="111"/>
  <c r="C6" i="102"/>
  <c r="M6" i="102" s="1"/>
  <c r="AD16" i="3" l="1"/>
  <c r="AC18" i="3"/>
  <c r="AC20" i="3"/>
  <c r="AC19" i="3"/>
  <c r="AC21" i="3"/>
  <c r="H17" i="111"/>
  <c r="H13" i="110"/>
  <c r="H18" i="107"/>
  <c r="H15" i="111"/>
  <c r="H15" i="110"/>
  <c r="H17" i="107"/>
  <c r="H8" i="107"/>
  <c r="H9" i="111"/>
  <c r="H9" i="110"/>
  <c r="H16" i="107"/>
  <c r="H19" i="111"/>
  <c r="H18" i="110"/>
  <c r="H5" i="110"/>
  <c r="H14" i="111"/>
  <c r="H5" i="107"/>
  <c r="H14" i="110"/>
  <c r="H19" i="107"/>
  <c r="H18" i="111"/>
  <c r="H10" i="110"/>
  <c r="H6" i="111"/>
  <c r="H10" i="107"/>
  <c r="H21" i="111"/>
  <c r="H21" i="110"/>
  <c r="H21" i="107"/>
  <c r="H11" i="111"/>
  <c r="H6" i="110"/>
  <c r="H4" i="107"/>
  <c r="AD18" i="3" l="1"/>
  <c r="AD20" i="3"/>
  <c r="AD19" i="3"/>
  <c r="AD21" i="3"/>
  <c r="H22" i="111"/>
  <c r="H22" i="110"/>
  <c r="H22" i="107"/>
  <c r="J6" i="32"/>
  <c r="J7" i="32"/>
  <c r="J8" i="32"/>
  <c r="J9" i="32"/>
  <c r="J10" i="32"/>
  <c r="J11" i="32"/>
  <c r="J12" i="32"/>
  <c r="J13" i="32"/>
  <c r="J14" i="32"/>
  <c r="J15" i="32"/>
  <c r="J16" i="32"/>
  <c r="J17" i="32"/>
  <c r="J18" i="32"/>
  <c r="J19" i="32"/>
  <c r="J21" i="32"/>
  <c r="J22" i="32"/>
  <c r="J23" i="32"/>
  <c r="J5" i="32"/>
  <c r="AG19" i="32" l="1"/>
  <c r="AH19" i="32"/>
  <c r="AF19" i="32"/>
  <c r="AL19" i="32"/>
  <c r="AH11" i="32"/>
  <c r="AF11" i="32"/>
  <c r="AG11" i="32"/>
  <c r="AL11" i="32"/>
  <c r="AK23" i="32"/>
  <c r="AG23" i="32"/>
  <c r="AL23" i="32"/>
  <c r="AJ23" i="32"/>
  <c r="F6" i="102" s="1"/>
  <c r="AI23" i="32"/>
  <c r="AH23" i="32"/>
  <c r="AF23" i="32"/>
  <c r="AK21" i="32"/>
  <c r="AG21" i="32"/>
  <c r="AJ21" i="32"/>
  <c r="F2" i="102" s="1"/>
  <c r="AH21" i="32"/>
  <c r="AI21" i="32"/>
  <c r="E2" i="102" s="1"/>
  <c r="AL21" i="32"/>
  <c r="AF21" i="32"/>
  <c r="AH15" i="32"/>
  <c r="AF15" i="32"/>
  <c r="AL15" i="32"/>
  <c r="AJ15" i="32"/>
  <c r="F9" i="102" s="1"/>
  <c r="AI15" i="32"/>
  <c r="AG15" i="32"/>
  <c r="AK15" i="32"/>
  <c r="AJ16" i="32"/>
  <c r="F10" i="102" s="1"/>
  <c r="AG16" i="32"/>
  <c r="AK16" i="32"/>
  <c r="AH16" i="32"/>
  <c r="AF16" i="32"/>
  <c r="AL16" i="32"/>
  <c r="AI16" i="32"/>
  <c r="AL8" i="32"/>
  <c r="AK8" i="32"/>
  <c r="AJ8" i="32"/>
  <c r="F14" i="102" s="1"/>
  <c r="AH8" i="32"/>
  <c r="AF8" i="32"/>
  <c r="AI8" i="32"/>
  <c r="AG8" i="32"/>
  <c r="AF6" i="32"/>
  <c r="AH6" i="32"/>
  <c r="AG6" i="32"/>
  <c r="AF22" i="32"/>
  <c r="AK22" i="32"/>
  <c r="AI22" i="32"/>
  <c r="AL22" i="32"/>
  <c r="AH22" i="32"/>
  <c r="AJ22" i="32"/>
  <c r="F4" i="102" s="1"/>
  <c r="AG22" i="32"/>
  <c r="AH18" i="32"/>
  <c r="AF18" i="32"/>
  <c r="AK18" i="32"/>
  <c r="AL18" i="32"/>
  <c r="AJ18" i="32"/>
  <c r="F5" i="102" s="1"/>
  <c r="AI18" i="32"/>
  <c r="AG18" i="32"/>
  <c r="AI13" i="32"/>
  <c r="AK13" i="32"/>
  <c r="AG13" i="32"/>
  <c r="AJ13" i="32"/>
  <c r="F8" i="102" s="1"/>
  <c r="AF13" i="32"/>
  <c r="AL13" i="32"/>
  <c r="AH13" i="32"/>
  <c r="AL14" i="32"/>
  <c r="AK14" i="32"/>
  <c r="AJ14" i="32"/>
  <c r="F7" i="102" s="1"/>
  <c r="AH14" i="32"/>
  <c r="AF14" i="32"/>
  <c r="AI14" i="32"/>
  <c r="AG14" i="32"/>
  <c r="AK12" i="32"/>
  <c r="AG12" i="32"/>
  <c r="AF12" i="32"/>
  <c r="AJ12" i="32"/>
  <c r="F3" i="102" s="1"/>
  <c r="AH12" i="32"/>
  <c r="AI12" i="32"/>
  <c r="AL12" i="32"/>
  <c r="AL17" i="32"/>
  <c r="AJ17" i="32"/>
  <c r="F15" i="102" s="1"/>
  <c r="AI17" i="32"/>
  <c r="AG17" i="32"/>
  <c r="AK17" i="32"/>
  <c r="AH17" i="32"/>
  <c r="AF17" i="32"/>
  <c r="AF7" i="32"/>
  <c r="AI7" i="32"/>
  <c r="AG7" i="32"/>
  <c r="AL7" i="32"/>
  <c r="AK7" i="32"/>
  <c r="AJ7" i="32"/>
  <c r="F20" i="102" s="1"/>
  <c r="AH7" i="32"/>
  <c r="AJ10" i="32"/>
  <c r="F11" i="102" s="1"/>
  <c r="AG10" i="32"/>
  <c r="AF10" i="32"/>
  <c r="AK10" i="32"/>
  <c r="AH10" i="32"/>
  <c r="AL10" i="32"/>
  <c r="AI10" i="32"/>
  <c r="E11" i="102" s="1"/>
  <c r="AH9" i="32"/>
  <c r="AF9" i="32"/>
  <c r="AI9" i="32"/>
  <c r="AG9" i="32"/>
  <c r="AL9" i="32"/>
  <c r="AK9" i="32"/>
  <c r="AJ9" i="32"/>
  <c r="F13" i="102" s="1"/>
  <c r="AF5" i="32"/>
  <c r="AI5" i="32"/>
  <c r="AG5" i="32"/>
  <c r="AH5" i="32"/>
  <c r="AL5" i="32"/>
  <c r="AK5" i="32"/>
  <c r="AJ5" i="32"/>
  <c r="B12" i="102"/>
  <c r="C15" i="83"/>
  <c r="B15" i="83"/>
  <c r="B19" i="102"/>
  <c r="C19" i="83"/>
  <c r="B19" i="83"/>
  <c r="B2" i="102"/>
  <c r="L2" i="102" s="1"/>
  <c r="B10" i="83"/>
  <c r="C10" i="83"/>
  <c r="C12" i="83"/>
  <c r="B12" i="83"/>
  <c r="B11" i="102"/>
  <c r="L11" i="102" s="1"/>
  <c r="C11" i="83"/>
  <c r="B4" i="102"/>
  <c r="L4" i="102" s="1"/>
  <c r="B11" i="83"/>
  <c r="B6" i="102"/>
  <c r="L6" i="102" s="1"/>
  <c r="B8" i="83"/>
  <c r="C8" i="83"/>
  <c r="B17" i="102"/>
  <c r="B18" i="83"/>
  <c r="C18" i="83"/>
  <c r="B14" i="83"/>
  <c r="C14" i="83"/>
  <c r="B9" i="102"/>
  <c r="L9" i="102" s="1"/>
  <c r="B17" i="83"/>
  <c r="C17" i="83"/>
  <c r="B5" i="102"/>
  <c r="L5" i="102" s="1"/>
  <c r="B3" i="83"/>
  <c r="B10" i="102"/>
  <c r="L10" i="102" s="1"/>
  <c r="C3" i="83"/>
  <c r="B8" i="102"/>
  <c r="L8" i="102" s="1"/>
  <c r="B9" i="83"/>
  <c r="C9" i="83"/>
  <c r="B7" i="102"/>
  <c r="L7" i="102" s="1"/>
  <c r="C13" i="83"/>
  <c r="B13" i="83"/>
  <c r="C4" i="83"/>
  <c r="B3" i="102"/>
  <c r="L3" i="102" s="1"/>
  <c r="B4" i="83"/>
  <c r="C16" i="83"/>
  <c r="B16" i="102"/>
  <c r="B16" i="83"/>
  <c r="C6" i="83"/>
  <c r="B15" i="102"/>
  <c r="B6" i="83"/>
  <c r="B5" i="83"/>
  <c r="B14" i="102"/>
  <c r="C5" i="83"/>
  <c r="B20" i="102"/>
  <c r="B2" i="83"/>
  <c r="C2" i="83"/>
  <c r="C7" i="83"/>
  <c r="B7" i="83"/>
  <c r="B13" i="102"/>
  <c r="B20" i="83"/>
  <c r="C20" i="83"/>
  <c r="D3" i="83" l="1"/>
  <c r="D5" i="83"/>
  <c r="D8" i="83"/>
  <c r="D19" i="83"/>
  <c r="D15" i="83"/>
  <c r="D12" i="83"/>
  <c r="I5" i="83" s="1"/>
  <c r="N5" i="83" s="1"/>
  <c r="D18" i="83"/>
  <c r="D14" i="83"/>
  <c r="D9" i="83"/>
  <c r="D7" i="83"/>
  <c r="D10" i="83"/>
  <c r="D13" i="83"/>
  <c r="D11" i="83"/>
  <c r="D17" i="83"/>
  <c r="D4" i="83"/>
  <c r="D16" i="83"/>
  <c r="D6" i="83"/>
  <c r="I6" i="83" s="1"/>
  <c r="D2" i="83"/>
  <c r="I3" i="83" l="1"/>
  <c r="N3" i="83"/>
  <c r="N4" i="83"/>
  <c r="I4" i="83"/>
  <c r="M25" i="96"/>
  <c r="M19" i="96"/>
  <c r="AA19" i="111"/>
  <c r="AA22" i="111"/>
  <c r="AA23" i="111"/>
  <c r="AH4" i="111"/>
  <c r="AA18" i="110"/>
  <c r="AA23" i="110"/>
  <c r="AA22" i="110"/>
  <c r="AH4" i="110"/>
  <c r="AA22" i="107"/>
  <c r="AA23" i="107"/>
  <c r="AH4" i="107"/>
  <c r="BP27" i="86"/>
  <c r="BQ27" i="86"/>
  <c r="BH8" i="86"/>
  <c r="BL8" i="86"/>
  <c r="BQ8" i="86"/>
  <c r="BP24" i="86"/>
  <c r="BP8" i="86" s="1"/>
  <c r="BQ24" i="86"/>
  <c r="BH24" i="86"/>
  <c r="BH5" i="86"/>
  <c r="BL5" i="86"/>
  <c r="BM5" i="86"/>
  <c r="AR6" i="86"/>
  <c r="AR7" i="86"/>
  <c r="B15" i="108"/>
  <c r="AH4" i="108"/>
  <c r="B16" i="108"/>
  <c r="B14" i="108"/>
  <c r="AA20" i="108"/>
  <c r="AA21" i="108"/>
  <c r="AA17" i="108"/>
  <c r="AA18" i="108"/>
  <c r="AA22" i="108"/>
  <c r="AA23" i="108"/>
  <c r="AA19" i="108"/>
  <c r="C5" i="106"/>
  <c r="AG27" i="96" l="1"/>
  <c r="AG21" i="96"/>
  <c r="AG15" i="96"/>
  <c r="AG9" i="96"/>
  <c r="AE27" i="96"/>
  <c r="AE21" i="96"/>
  <c r="AE15" i="96"/>
  <c r="AE9" i="96"/>
  <c r="AC25" i="96"/>
  <c r="AC13" i="96"/>
  <c r="AC19" i="96"/>
  <c r="AC7" i="96"/>
  <c r="AA25" i="96"/>
  <c r="AA24" i="96"/>
  <c r="AA19" i="96"/>
  <c r="AA18" i="96"/>
  <c r="AA13" i="96"/>
  <c r="AA12" i="96"/>
  <c r="AA7" i="96"/>
  <c r="AA6" i="96"/>
  <c r="Y25" i="96"/>
  <c r="Y24" i="96"/>
  <c r="Y19" i="96"/>
  <c r="Y18" i="96"/>
  <c r="Y13" i="96"/>
  <c r="Y12" i="96"/>
  <c r="Y7" i="96"/>
  <c r="Y6" i="96"/>
  <c r="W23" i="96"/>
  <c r="W17" i="96"/>
  <c r="W11" i="96"/>
  <c r="W5" i="96"/>
  <c r="U22" i="96"/>
  <c r="S22" i="96"/>
  <c r="Q22" i="96"/>
  <c r="U16" i="96"/>
  <c r="S16" i="96"/>
  <c r="Q16" i="96"/>
  <c r="U10" i="96"/>
  <c r="S10" i="96"/>
  <c r="Q10" i="96"/>
  <c r="U4" i="96"/>
  <c r="S4" i="96"/>
  <c r="Q4" i="96"/>
  <c r="U3" i="96"/>
  <c r="S3" i="96"/>
  <c r="Q3" i="96"/>
  <c r="N10" i="110" l="1"/>
  <c r="W10" i="110"/>
  <c r="Q9" i="107"/>
  <c r="Q10" i="108"/>
  <c r="K20" i="86"/>
  <c r="AC20" i="86" s="1"/>
  <c r="L20" i="86"/>
  <c r="AD20" i="86" s="1"/>
  <c r="M20" i="86"/>
  <c r="AE20" i="86" s="1"/>
  <c r="N20" i="86"/>
  <c r="AF20" i="86" s="1"/>
  <c r="O20" i="86"/>
  <c r="AG20" i="86" s="1"/>
  <c r="P20" i="86"/>
  <c r="J20" i="86"/>
  <c r="I20" i="86"/>
  <c r="E20" i="86"/>
  <c r="D20" i="86"/>
  <c r="AR19" i="86" s="1"/>
  <c r="BF5" i="86" s="1"/>
  <c r="T9" i="107" l="1"/>
  <c r="X9" i="107"/>
  <c r="W9" i="107"/>
  <c r="P9" i="107"/>
  <c r="S9" i="107"/>
  <c r="V9" i="107"/>
  <c r="N9" i="107"/>
  <c r="AR5" i="86"/>
  <c r="BB19" i="86"/>
  <c r="BP5" i="86" s="1"/>
  <c r="U10" i="110"/>
  <c r="X10" i="110"/>
  <c r="T10" i="110"/>
  <c r="V10" i="110"/>
  <c r="R9" i="107"/>
  <c r="M9" i="107"/>
  <c r="U9" i="107"/>
  <c r="S10" i="108"/>
  <c r="O10" i="108"/>
  <c r="P10" i="108"/>
  <c r="V10" i="108"/>
  <c r="R10" i="108"/>
  <c r="T10" i="108"/>
  <c r="U10" i="108"/>
  <c r="BB5" i="86"/>
  <c r="AE24" i="32"/>
  <c r="AD6" i="32"/>
  <c r="AM6" i="32" l="1"/>
  <c r="AN6" i="32"/>
  <c r="AL6" i="32"/>
  <c r="AI6" i="32"/>
  <c r="AJ6" i="32"/>
  <c r="AK6" i="32"/>
  <c r="K20" i="111"/>
  <c r="K20" i="110"/>
  <c r="K20" i="107"/>
  <c r="D12" i="102"/>
  <c r="K23" i="107"/>
  <c r="K23" i="110"/>
  <c r="K23" i="111"/>
  <c r="D19" i="102"/>
  <c r="Z10" i="110"/>
  <c r="Y10" i="110"/>
  <c r="Z9" i="107"/>
  <c r="Y9" i="107"/>
  <c r="Z10" i="108"/>
  <c r="Y10" i="108"/>
  <c r="AA10" i="108"/>
  <c r="AC19" i="32"/>
  <c r="AC11" i="32"/>
  <c r="AK11" i="32" l="1"/>
  <c r="AI11" i="32"/>
  <c r="AJ11" i="32"/>
  <c r="F16" i="102" s="1"/>
  <c r="AI19" i="32"/>
  <c r="AK19" i="32"/>
  <c r="AJ19" i="32"/>
  <c r="F17" i="102" s="1"/>
  <c r="J23" i="111"/>
  <c r="J23" i="110"/>
  <c r="J23" i="107"/>
  <c r="E19" i="102"/>
  <c r="C19" i="102"/>
  <c r="J22" i="110"/>
  <c r="J22" i="107"/>
  <c r="J22" i="111"/>
  <c r="C17" i="102"/>
  <c r="F19" i="102"/>
  <c r="J21" i="110"/>
  <c r="J21" i="107"/>
  <c r="J21" i="111"/>
  <c r="C16" i="102"/>
  <c r="AA9" i="107"/>
  <c r="AA10" i="110"/>
  <c r="P22" i="113"/>
  <c r="O22" i="113"/>
  <c r="N22" i="113"/>
  <c r="M22" i="113"/>
  <c r="K22" i="113"/>
  <c r="J22" i="113"/>
  <c r="H22" i="113"/>
  <c r="C22" i="113"/>
  <c r="A22" i="113"/>
  <c r="P21" i="113"/>
  <c r="O21" i="113"/>
  <c r="N21" i="113"/>
  <c r="K21" i="113"/>
  <c r="J21" i="113"/>
  <c r="H21" i="113"/>
  <c r="E21" i="113"/>
  <c r="C21" i="113"/>
  <c r="A21" i="113"/>
  <c r="P20" i="113"/>
  <c r="O20" i="113"/>
  <c r="N20" i="113"/>
  <c r="M20" i="113"/>
  <c r="K20" i="113"/>
  <c r="J20" i="113"/>
  <c r="H20" i="113"/>
  <c r="E20" i="113"/>
  <c r="C20" i="113"/>
  <c r="A20" i="113"/>
  <c r="P18" i="113"/>
  <c r="O18" i="113"/>
  <c r="N18" i="113"/>
  <c r="M18" i="113"/>
  <c r="K18" i="113"/>
  <c r="J18" i="113"/>
  <c r="H18" i="113"/>
  <c r="E18" i="113"/>
  <c r="C18" i="113"/>
  <c r="A18" i="113"/>
  <c r="P17" i="113"/>
  <c r="O17" i="113"/>
  <c r="N17" i="113"/>
  <c r="M17" i="113"/>
  <c r="K17" i="113"/>
  <c r="J17" i="113"/>
  <c r="H17" i="113"/>
  <c r="C17" i="113"/>
  <c r="A17" i="113"/>
  <c r="P16" i="113"/>
  <c r="O16" i="113"/>
  <c r="N16" i="113"/>
  <c r="M16" i="113"/>
  <c r="K16" i="113"/>
  <c r="J16" i="113"/>
  <c r="H16" i="113"/>
  <c r="C16" i="113"/>
  <c r="A16" i="113"/>
  <c r="P15" i="113"/>
  <c r="O15" i="113"/>
  <c r="N15" i="113"/>
  <c r="M15" i="113"/>
  <c r="K15" i="113"/>
  <c r="J15" i="113"/>
  <c r="H15" i="113"/>
  <c r="C15" i="113"/>
  <c r="A15" i="113"/>
  <c r="P14" i="113"/>
  <c r="O14" i="113"/>
  <c r="N14" i="113"/>
  <c r="M14" i="113"/>
  <c r="K14" i="113"/>
  <c r="J14" i="113"/>
  <c r="H14" i="113"/>
  <c r="E14" i="113"/>
  <c r="C14" i="113"/>
  <c r="A14" i="113"/>
  <c r="P13" i="113"/>
  <c r="O13" i="113"/>
  <c r="N13" i="113"/>
  <c r="M13" i="113"/>
  <c r="K13" i="113"/>
  <c r="J13" i="113"/>
  <c r="H13" i="113"/>
  <c r="E13" i="113"/>
  <c r="C13" i="113"/>
  <c r="A13" i="113"/>
  <c r="P12" i="113"/>
  <c r="O12" i="113"/>
  <c r="N12" i="113"/>
  <c r="M12" i="113"/>
  <c r="K12" i="113"/>
  <c r="J12" i="113"/>
  <c r="H12" i="113"/>
  <c r="E12" i="113"/>
  <c r="C12" i="113"/>
  <c r="A12" i="113"/>
  <c r="P11" i="113"/>
  <c r="O11" i="113"/>
  <c r="N11" i="113"/>
  <c r="M11" i="113"/>
  <c r="K11" i="113"/>
  <c r="J11" i="113"/>
  <c r="H11" i="113"/>
  <c r="E11" i="113"/>
  <c r="C11" i="113"/>
  <c r="A11" i="113"/>
  <c r="P10" i="113"/>
  <c r="O10" i="113"/>
  <c r="N10" i="113"/>
  <c r="M10" i="113"/>
  <c r="K10" i="113"/>
  <c r="J10" i="113"/>
  <c r="H10" i="113"/>
  <c r="E10" i="113"/>
  <c r="C10" i="113"/>
  <c r="A10" i="113"/>
  <c r="P9" i="113"/>
  <c r="O9" i="113"/>
  <c r="N9" i="113"/>
  <c r="M9" i="113"/>
  <c r="L9" i="113"/>
  <c r="K9" i="113"/>
  <c r="J9" i="113"/>
  <c r="H9" i="113"/>
  <c r="E9" i="113"/>
  <c r="C9" i="113"/>
  <c r="A9" i="113"/>
  <c r="P8" i="113"/>
  <c r="O8" i="113"/>
  <c r="N8" i="113"/>
  <c r="M8" i="113"/>
  <c r="K8" i="113"/>
  <c r="J8" i="113"/>
  <c r="H8" i="113"/>
  <c r="C8" i="113"/>
  <c r="A8" i="113"/>
  <c r="P7" i="113"/>
  <c r="O7" i="113"/>
  <c r="N7" i="113"/>
  <c r="M7" i="113"/>
  <c r="K7" i="113"/>
  <c r="J7" i="113"/>
  <c r="H7" i="113"/>
  <c r="C7" i="113"/>
  <c r="A7" i="113"/>
  <c r="P6" i="113"/>
  <c r="O6" i="113"/>
  <c r="N6" i="113"/>
  <c r="M6" i="113"/>
  <c r="K6" i="113"/>
  <c r="J6" i="113"/>
  <c r="H6" i="113"/>
  <c r="C6" i="113"/>
  <c r="A6" i="113"/>
  <c r="P5" i="113"/>
  <c r="O5" i="113"/>
  <c r="N5" i="113"/>
  <c r="M5" i="113"/>
  <c r="K5" i="113"/>
  <c r="J5" i="113"/>
  <c r="H5" i="113"/>
  <c r="E5" i="113"/>
  <c r="C5" i="113"/>
  <c r="A5" i="113"/>
  <c r="P4" i="113"/>
  <c r="O4" i="113"/>
  <c r="N4" i="113"/>
  <c r="M4" i="113"/>
  <c r="K4" i="113"/>
  <c r="J4" i="113"/>
  <c r="H4" i="113"/>
  <c r="E4" i="113"/>
  <c r="C4" i="113"/>
  <c r="A4" i="113"/>
  <c r="P3" i="113"/>
  <c r="O3" i="113"/>
  <c r="N3" i="113"/>
  <c r="M3" i="113"/>
  <c r="K3" i="113"/>
  <c r="J3" i="113"/>
  <c r="H3" i="113"/>
  <c r="C3" i="113"/>
  <c r="A3" i="113"/>
  <c r="R12" i="113" l="1"/>
  <c r="R16" i="113"/>
  <c r="S22" i="113"/>
  <c r="R4" i="113"/>
  <c r="R8" i="113"/>
  <c r="R11" i="113"/>
  <c r="R3" i="113"/>
  <c r="R5" i="113"/>
  <c r="R7" i="113"/>
  <c r="R10" i="113"/>
  <c r="R14" i="113"/>
  <c r="R18" i="113"/>
  <c r="R21" i="113"/>
  <c r="R22" i="113"/>
  <c r="R13" i="113"/>
  <c r="R9" i="113"/>
  <c r="U9" i="113"/>
  <c r="U13" i="113"/>
  <c r="BL14" i="113"/>
  <c r="R15" i="113"/>
  <c r="R17" i="113"/>
  <c r="T21" i="113"/>
  <c r="R20" i="113"/>
  <c r="Y6" i="113"/>
  <c r="AA6" i="113" s="1"/>
  <c r="BA6" i="113"/>
  <c r="Q17" i="113"/>
  <c r="AN17" i="113" s="1"/>
  <c r="BN22" i="113"/>
  <c r="S4" i="113"/>
  <c r="U6" i="113"/>
  <c r="U8" i="113"/>
  <c r="AH11" i="113"/>
  <c r="U12" i="113"/>
  <c r="U15" i="113"/>
  <c r="U17" i="113"/>
  <c r="U21" i="113"/>
  <c r="R6" i="113"/>
  <c r="U11" i="113"/>
  <c r="U4" i="113"/>
  <c r="U3" i="113"/>
  <c r="U10" i="113"/>
  <c r="BP7" i="113"/>
  <c r="BV5" i="113"/>
  <c r="BL7" i="113"/>
  <c r="W18" i="113"/>
  <c r="AT20" i="113"/>
  <c r="CF10" i="113"/>
  <c r="CH10" i="113" s="1"/>
  <c r="BD12" i="113"/>
  <c r="BV13" i="113"/>
  <c r="BX14" i="113"/>
  <c r="BK15" i="113"/>
  <c r="U20" i="113"/>
  <c r="BK18" i="113"/>
  <c r="U14" i="113"/>
  <c r="U5" i="113"/>
  <c r="Q6" i="113"/>
  <c r="AN6" i="113" s="1"/>
  <c r="U7" i="113"/>
  <c r="U18" i="113"/>
  <c r="AH22" i="113"/>
  <c r="W3" i="113"/>
  <c r="BL3" i="113"/>
  <c r="Q4" i="113"/>
  <c r="AN4" i="113" s="1"/>
  <c r="BN5" i="113"/>
  <c r="S5" i="113"/>
  <c r="BP8" i="113"/>
  <c r="AL9" i="113"/>
  <c r="S13" i="113"/>
  <c r="CA15" i="113"/>
  <c r="S16" i="113"/>
  <c r="AM21" i="113"/>
  <c r="AJ8" i="113"/>
  <c r="U22" i="113"/>
  <c r="BR3" i="113"/>
  <c r="AW6" i="113"/>
  <c r="BU6" i="113"/>
  <c r="BX10" i="113"/>
  <c r="BP10" i="113"/>
  <c r="BP14" i="113"/>
  <c r="AL16" i="113"/>
  <c r="U16" i="113"/>
  <c r="S11" i="113"/>
  <c r="BF13" i="113"/>
  <c r="AJ18" i="113"/>
  <c r="AZ8" i="113"/>
  <c r="BB8" i="113" s="1"/>
  <c r="BD3" i="113"/>
  <c r="AT7" i="113"/>
  <c r="BG8" i="113"/>
  <c r="CC9" i="113"/>
  <c r="CE9" i="113" s="1"/>
  <c r="BJ9" i="113"/>
  <c r="V10" i="113"/>
  <c r="X10" i="113" s="1"/>
  <c r="AJ10" i="113"/>
  <c r="AV14" i="113"/>
  <c r="AX14" i="113" s="1"/>
  <c r="BL18" i="113"/>
  <c r="AZ18" i="113"/>
  <c r="BB18" i="113" s="1"/>
  <c r="BR9" i="113"/>
  <c r="BZ9" i="113"/>
  <c r="Q9" i="113"/>
  <c r="AN9" i="113" s="1"/>
  <c r="AV10" i="113"/>
  <c r="AX10" i="113" s="1"/>
  <c r="AZ10" i="113"/>
  <c r="BB10" i="113" s="1"/>
  <c r="BR11" i="113"/>
  <c r="BM17" i="113"/>
  <c r="BP18" i="113"/>
  <c r="CC20" i="113"/>
  <c r="CE20" i="113" s="1"/>
  <c r="S20" i="113"/>
  <c r="CC6" i="113"/>
  <c r="CE6" i="113" s="1"/>
  <c r="BL10" i="113"/>
  <c r="AD3" i="113"/>
  <c r="BW3" i="113"/>
  <c r="BF4" i="113"/>
  <c r="CA7" i="113"/>
  <c r="AW9" i="113"/>
  <c r="AM10" i="113"/>
  <c r="BD10" i="113"/>
  <c r="BK12" i="113"/>
  <c r="BZ15" i="113"/>
  <c r="BZ16" i="113"/>
  <c r="V20" i="113"/>
  <c r="X20" i="113" s="1"/>
  <c r="Q20" i="113"/>
  <c r="BX12" i="113"/>
  <c r="BW13" i="113"/>
  <c r="BR13" i="113"/>
  <c r="AP13" i="113"/>
  <c r="Z13" i="113"/>
  <c r="BN13" i="113"/>
  <c r="AL13" i="113"/>
  <c r="AP16" i="113"/>
  <c r="BV4" i="113"/>
  <c r="BW7" i="113"/>
  <c r="BX7" i="113"/>
  <c r="BD7" i="113"/>
  <c r="Z11" i="113"/>
  <c r="V12" i="113"/>
  <c r="X12" i="113" s="1"/>
  <c r="CD12" i="113"/>
  <c r="BG12" i="113"/>
  <c r="AJ12" i="113"/>
  <c r="BH12" i="113"/>
  <c r="CA12" i="113"/>
  <c r="CC13" i="113"/>
  <c r="CE13" i="113" s="1"/>
  <c r="AC16" i="113"/>
  <c r="AE16" i="113" s="1"/>
  <c r="BR16" i="113"/>
  <c r="BR22" i="113"/>
  <c r="AL22" i="113"/>
  <c r="AJ4" i="113"/>
  <c r="AG6" i="113"/>
  <c r="AV7" i="113"/>
  <c r="AX7" i="113" s="1"/>
  <c r="AM3" i="113"/>
  <c r="AL3" i="113"/>
  <c r="CF4" i="113"/>
  <c r="CH4" i="113" s="1"/>
  <c r="Y4" i="113"/>
  <c r="AA4" i="113" s="1"/>
  <c r="AZ4" i="113"/>
  <c r="BB4" i="113" s="1"/>
  <c r="BZ4" i="113"/>
  <c r="BK5" i="113"/>
  <c r="T5" i="113"/>
  <c r="BC5" i="113"/>
  <c r="W6" i="113"/>
  <c r="BL6" i="113"/>
  <c r="S6" i="113"/>
  <c r="AK6" i="113"/>
  <c r="BQ6" i="113"/>
  <c r="AZ7" i="113"/>
  <c r="BB7" i="113" s="1"/>
  <c r="CF7" i="113"/>
  <c r="CH7" i="113" s="1"/>
  <c r="CA8" i="113"/>
  <c r="BL8" i="113"/>
  <c r="BK8" i="113"/>
  <c r="AB9" i="113"/>
  <c r="BU10" i="113"/>
  <c r="T10" i="113"/>
  <c r="BH10" i="113"/>
  <c r="BW10" i="113"/>
  <c r="AT11" i="113"/>
  <c r="AV12" i="113"/>
  <c r="AX12" i="113" s="1"/>
  <c r="AD13" i="113"/>
  <c r="AM14" i="113"/>
  <c r="BG14" i="113"/>
  <c r="CF14" i="113"/>
  <c r="CH14" i="113" s="1"/>
  <c r="BF15" i="113"/>
  <c r="AJ15" i="113"/>
  <c r="W15" i="113"/>
  <c r="AH16" i="113"/>
  <c r="AT16" i="113"/>
  <c r="AD16" i="113"/>
  <c r="AM18" i="113"/>
  <c r="V21" i="113"/>
  <c r="X21" i="113" s="1"/>
  <c r="CD21" i="113"/>
  <c r="BG21" i="113"/>
  <c r="AZ21" i="113"/>
  <c r="BB21" i="113" s="1"/>
  <c r="W21" i="113"/>
  <c r="BL21" i="113"/>
  <c r="BP4" i="113"/>
  <c r="BU12" i="113"/>
  <c r="BP12" i="113"/>
  <c r="AT4" i="113"/>
  <c r="BU4" i="113"/>
  <c r="BX3" i="113"/>
  <c r="BP3" i="113"/>
  <c r="T3" i="113"/>
  <c r="AV3" i="113"/>
  <c r="AX3" i="113" s="1"/>
  <c r="AD4" i="113"/>
  <c r="V5" i="113"/>
  <c r="X5" i="113" s="1"/>
  <c r="BZ5" i="113"/>
  <c r="W5" i="113"/>
  <c r="CG6" i="113"/>
  <c r="BK7" i="113"/>
  <c r="AJ7" i="113"/>
  <c r="Q7" i="113"/>
  <c r="AN7" i="113" s="1"/>
  <c r="BH7" i="113"/>
  <c r="BS8" i="113"/>
  <c r="T8" i="113"/>
  <c r="AM8" i="113"/>
  <c r="S9" i="113"/>
  <c r="CD10" i="113"/>
  <c r="CA10" i="113"/>
  <c r="BG10" i="113"/>
  <c r="BK10" i="113"/>
  <c r="AM12" i="113"/>
  <c r="AZ12" i="113"/>
  <c r="BB12" i="113" s="1"/>
  <c r="BL12" i="113"/>
  <c r="AH13" i="113"/>
  <c r="BU14" i="113"/>
  <c r="AJ14" i="113"/>
  <c r="BK14" i="113"/>
  <c r="BH14" i="113"/>
  <c r="V15" i="113"/>
  <c r="X15" i="113" s="1"/>
  <c r="BG15" i="113"/>
  <c r="AL20" i="113"/>
  <c r="BR20" i="113"/>
  <c r="AD20" i="113"/>
  <c r="CA21" i="113"/>
  <c r="CC22" i="113"/>
  <c r="CE22" i="113" s="1"/>
  <c r="BZ22" i="113"/>
  <c r="BW4" i="113"/>
  <c r="AO4" i="113"/>
  <c r="AQ4" i="113" s="1"/>
  <c r="CC5" i="113"/>
  <c r="CE5" i="113" s="1"/>
  <c r="AM5" i="113"/>
  <c r="BW6" i="113"/>
  <c r="AO6" i="113"/>
  <c r="AQ6" i="113" s="1"/>
  <c r="BM6" i="113"/>
  <c r="V7" i="113"/>
  <c r="X7" i="113" s="1"/>
  <c r="CD7" i="113"/>
  <c r="CC10" i="113"/>
  <c r="CE10" i="113" s="1"/>
  <c r="CC12" i="113"/>
  <c r="CE12" i="113" s="1"/>
  <c r="BW12" i="113"/>
  <c r="AT12" i="113"/>
  <c r="CF12" i="113"/>
  <c r="CH12" i="113" s="1"/>
  <c r="V14" i="113"/>
  <c r="X14" i="113" s="1"/>
  <c r="CD14" i="113"/>
  <c r="AZ14" i="113"/>
  <c r="BB14" i="113" s="1"/>
  <c r="CA14" i="113"/>
  <c r="W16" i="113"/>
  <c r="CD16" i="113"/>
  <c r="V16" i="113"/>
  <c r="X16" i="113" s="1"/>
  <c r="BZ18" i="113"/>
  <c r="BU18" i="113"/>
  <c r="BG18" i="113"/>
  <c r="CA18" i="113"/>
  <c r="BS21" i="113"/>
  <c r="W22" i="113"/>
  <c r="CD22" i="113"/>
  <c r="Z22" i="113"/>
  <c r="AP22" i="113"/>
  <c r="W13" i="113"/>
  <c r="CD13" i="113"/>
  <c r="CC14" i="113"/>
  <c r="CE14" i="113" s="1"/>
  <c r="BR14" i="113"/>
  <c r="AT14" i="113"/>
  <c r="BD14" i="113"/>
  <c r="BX16" i="113"/>
  <c r="CF16" i="113"/>
  <c r="CH16" i="113" s="1"/>
  <c r="Z16" i="113"/>
  <c r="AK16" i="113"/>
  <c r="BM22" i="113"/>
  <c r="CG22" i="113"/>
  <c r="AD22" i="113"/>
  <c r="AT22" i="113"/>
  <c r="AT3" i="113"/>
  <c r="AM7" i="113"/>
  <c r="BM3" i="113"/>
  <c r="BI3" i="113"/>
  <c r="AW3" i="113"/>
  <c r="AO3" i="113"/>
  <c r="AQ3" i="113" s="1"/>
  <c r="AK3" i="113"/>
  <c r="AG3" i="113"/>
  <c r="AC3" i="113"/>
  <c r="AE3" i="113" s="1"/>
  <c r="Y3" i="113"/>
  <c r="AA3" i="113" s="1"/>
  <c r="CG3" i="113"/>
  <c r="BA3" i="113"/>
  <c r="Z3" i="113"/>
  <c r="AJ3" i="113"/>
  <c r="AP3" i="113"/>
  <c r="AZ3" i="113"/>
  <c r="BB3" i="113" s="1"/>
  <c r="BF3" i="113"/>
  <c r="BK3" i="113"/>
  <c r="BV3" i="113"/>
  <c r="CA3" i="113"/>
  <c r="CF3" i="113"/>
  <c r="CH3" i="113" s="1"/>
  <c r="AM4" i="113"/>
  <c r="Z4" i="113"/>
  <c r="AK4" i="113"/>
  <c r="AP4" i="113"/>
  <c r="AV4" i="113"/>
  <c r="AX4" i="113" s="1"/>
  <c r="BA4" i="113"/>
  <c r="BL4" i="113"/>
  <c r="BQ4" i="113"/>
  <c r="CG4" i="113"/>
  <c r="BU5" i="113"/>
  <c r="Z5" i="113"/>
  <c r="AH5" i="113"/>
  <c r="AP5" i="113"/>
  <c r="BF5" i="113"/>
  <c r="CF6" i="113"/>
  <c r="CH6" i="113" s="1"/>
  <c r="BX6" i="113"/>
  <c r="BH6" i="113"/>
  <c r="BD6" i="113"/>
  <c r="AV6" i="113"/>
  <c r="AX6" i="113" s="1"/>
  <c r="BR6" i="113"/>
  <c r="BN6" i="113"/>
  <c r="AT6" i="113"/>
  <c r="AP6" i="113"/>
  <c r="AL6" i="113"/>
  <c r="AH6" i="113"/>
  <c r="AD6" i="113"/>
  <c r="Z6" i="113"/>
  <c r="BP6" i="113"/>
  <c r="AJ6" i="113"/>
  <c r="BK6" i="113"/>
  <c r="BZ6" i="113"/>
  <c r="BF6" i="113"/>
  <c r="AC6" i="113"/>
  <c r="AE6" i="113" s="1"/>
  <c r="AS6" i="113"/>
  <c r="AU6" i="113" s="1"/>
  <c r="BI6" i="113"/>
  <c r="V8" i="113"/>
  <c r="X8" i="113" s="1"/>
  <c r="W8" i="113"/>
  <c r="V9" i="113"/>
  <c r="X9" i="113" s="1"/>
  <c r="AR9" i="113"/>
  <c r="BZ3" i="113"/>
  <c r="V3" i="113"/>
  <c r="X3" i="113" s="1"/>
  <c r="BK4" i="113"/>
  <c r="V4" i="113"/>
  <c r="X4" i="113" s="1"/>
  <c r="AG4" i="113"/>
  <c r="BM4" i="113"/>
  <c r="BX4" i="113"/>
  <c r="CC4" i="113"/>
  <c r="CE4" i="113" s="1"/>
  <c r="BQ5" i="113"/>
  <c r="AS5" i="113"/>
  <c r="AU5" i="113" s="1"/>
  <c r="Q5" i="113"/>
  <c r="AN5" i="113" s="1"/>
  <c r="BL5" i="113"/>
  <c r="AZ5" i="113"/>
  <c r="BB5" i="113" s="1"/>
  <c r="CA5" i="113"/>
  <c r="BG5" i="113"/>
  <c r="CD5" i="113"/>
  <c r="BR8" i="113"/>
  <c r="BN8" i="113"/>
  <c r="AP8" i="113"/>
  <c r="AL8" i="113"/>
  <c r="AH8" i="113"/>
  <c r="AD8" i="113"/>
  <c r="Z8" i="113"/>
  <c r="BM8" i="113"/>
  <c r="BI8" i="113"/>
  <c r="AW8" i="113"/>
  <c r="AO8" i="113"/>
  <c r="AQ8" i="113" s="1"/>
  <c r="AK8" i="113"/>
  <c r="AG8" i="113"/>
  <c r="AC8" i="113"/>
  <c r="AE8" i="113" s="1"/>
  <c r="Y8" i="113"/>
  <c r="AA8" i="113" s="1"/>
  <c r="BX8" i="113"/>
  <c r="BH8" i="113"/>
  <c r="BD8" i="113"/>
  <c r="AV8" i="113"/>
  <c r="AX8" i="113" s="1"/>
  <c r="CG8" i="113"/>
  <c r="CF8" i="113"/>
  <c r="CH8" i="113" s="1"/>
  <c r="AT8" i="113"/>
  <c r="S8" i="113"/>
  <c r="BA8" i="113"/>
  <c r="CD8" i="113"/>
  <c r="BW8" i="113"/>
  <c r="W11" i="113"/>
  <c r="V11" i="113"/>
  <c r="X11" i="113" s="1"/>
  <c r="BQ11" i="113"/>
  <c r="AS11" i="113"/>
  <c r="AU11" i="113" s="1"/>
  <c r="BL11" i="113"/>
  <c r="AZ11" i="113"/>
  <c r="BB11" i="113" s="1"/>
  <c r="CA11" i="113"/>
  <c r="BG11" i="113"/>
  <c r="BV11" i="113"/>
  <c r="Q11" i="113"/>
  <c r="AN11" i="113" s="1"/>
  <c r="CD11" i="113"/>
  <c r="BZ11" i="113"/>
  <c r="BQ3" i="113"/>
  <c r="AS3" i="113"/>
  <c r="AU3" i="113" s="1"/>
  <c r="Q3" i="113"/>
  <c r="AN3" i="113" s="1"/>
  <c r="BG3" i="113"/>
  <c r="AL4" i="113"/>
  <c r="AW4" i="113"/>
  <c r="BH4" i="113"/>
  <c r="BR4" i="113"/>
  <c r="CC3" i="113"/>
  <c r="CE3" i="113" s="1"/>
  <c r="BU3" i="113"/>
  <c r="S3" i="113"/>
  <c r="AH3" i="113"/>
  <c r="BC3" i="113"/>
  <c r="BH3" i="113"/>
  <c r="BN3" i="113"/>
  <c r="BS3" i="113"/>
  <c r="CD3" i="113"/>
  <c r="W4" i="113"/>
  <c r="CA4" i="113"/>
  <c r="BG4" i="113"/>
  <c r="AC4" i="113"/>
  <c r="AE4" i="113" s="1"/>
  <c r="AH4" i="113"/>
  <c r="AS4" i="113"/>
  <c r="AU4" i="113" s="1"/>
  <c r="BD4" i="113"/>
  <c r="BI4" i="113"/>
  <c r="BN4" i="113"/>
  <c r="CD4" i="113"/>
  <c r="BM5" i="113"/>
  <c r="BI5" i="113"/>
  <c r="AW5" i="113"/>
  <c r="AO5" i="113"/>
  <c r="AQ5" i="113" s="1"/>
  <c r="AK5" i="113"/>
  <c r="AG5" i="113"/>
  <c r="AC5" i="113"/>
  <c r="AE5" i="113" s="1"/>
  <c r="Y5" i="113"/>
  <c r="AA5" i="113" s="1"/>
  <c r="BX5" i="113"/>
  <c r="BH5" i="113"/>
  <c r="BD5" i="113"/>
  <c r="AV5" i="113"/>
  <c r="AX5" i="113" s="1"/>
  <c r="BW5" i="113"/>
  <c r="BS5" i="113"/>
  <c r="CG5" i="113"/>
  <c r="BA5" i="113"/>
  <c r="CF5" i="113"/>
  <c r="CH5" i="113" s="1"/>
  <c r="AD5" i="113"/>
  <c r="AL5" i="113"/>
  <c r="AT5" i="113"/>
  <c r="BR5" i="113"/>
  <c r="BC8" i="113"/>
  <c r="CF9" i="113"/>
  <c r="CH9" i="113" s="1"/>
  <c r="BX9" i="113"/>
  <c r="BH9" i="113"/>
  <c r="BD9" i="113"/>
  <c r="CG9" i="113"/>
  <c r="BI9" i="113"/>
  <c r="BA9" i="113"/>
  <c r="AV9" i="113"/>
  <c r="AX9" i="113" s="1"/>
  <c r="AP9" i="113"/>
  <c r="AK9" i="113"/>
  <c r="Z9" i="113"/>
  <c r="BN9" i="113"/>
  <c r="AT9" i="113"/>
  <c r="AO9" i="113"/>
  <c r="AQ9" i="113" s="1"/>
  <c r="AD9" i="113"/>
  <c r="Y9" i="113"/>
  <c r="AA9" i="113" s="1"/>
  <c r="BM9" i="113"/>
  <c r="BE9" i="113"/>
  <c r="AH9" i="113"/>
  <c r="AC9" i="113"/>
  <c r="AE9" i="113" s="1"/>
  <c r="BP9" i="113"/>
  <c r="BK9" i="113"/>
  <c r="BF9" i="113"/>
  <c r="AJ9" i="113"/>
  <c r="BU9" i="113"/>
  <c r="AG9" i="113"/>
  <c r="V6" i="113"/>
  <c r="X6" i="113" s="1"/>
  <c r="BV6" i="113"/>
  <c r="CD6" i="113"/>
  <c r="Y7" i="113"/>
  <c r="AA7" i="113" s="1"/>
  <c r="AC7" i="113"/>
  <c r="AE7" i="113" s="1"/>
  <c r="AG7" i="113"/>
  <c r="AK7" i="113"/>
  <c r="AO7" i="113"/>
  <c r="AQ7" i="113" s="1"/>
  <c r="AS7" i="113"/>
  <c r="AU7" i="113" s="1"/>
  <c r="AW7" i="113"/>
  <c r="BA7" i="113"/>
  <c r="BI7" i="113"/>
  <c r="BM7" i="113"/>
  <c r="BQ7" i="113"/>
  <c r="BU7" i="113"/>
  <c r="CC7" i="113"/>
  <c r="CE7" i="113" s="1"/>
  <c r="CG7" i="113"/>
  <c r="W9" i="113"/>
  <c r="BL9" i="113"/>
  <c r="CA9" i="113"/>
  <c r="BG9" i="113"/>
  <c r="AS9" i="113"/>
  <c r="AU9" i="113" s="1"/>
  <c r="CC11" i="113"/>
  <c r="CE11" i="113" s="1"/>
  <c r="BW11" i="113"/>
  <c r="AC11" i="113"/>
  <c r="AE11" i="113" s="1"/>
  <c r="AK11" i="113"/>
  <c r="BN11" i="113"/>
  <c r="AT13" i="113"/>
  <c r="BZ13" i="113"/>
  <c r="BM15" i="113"/>
  <c r="BI15" i="113"/>
  <c r="AW15" i="113"/>
  <c r="AO15" i="113"/>
  <c r="AQ15" i="113" s="1"/>
  <c r="AK15" i="113"/>
  <c r="AG15" i="113"/>
  <c r="BX15" i="113"/>
  <c r="BH15" i="113"/>
  <c r="BD15" i="113"/>
  <c r="AV15" i="113"/>
  <c r="AX15" i="113" s="1"/>
  <c r="BR15" i="113"/>
  <c r="AD15" i="113"/>
  <c r="Z15" i="113"/>
  <c r="BW15" i="113"/>
  <c r="AH15" i="113"/>
  <c r="AC15" i="113"/>
  <c r="AE15" i="113" s="1"/>
  <c r="Y15" i="113"/>
  <c r="AA15" i="113" s="1"/>
  <c r="BN15" i="113"/>
  <c r="AL15" i="113"/>
  <c r="CG15" i="113"/>
  <c r="BA15" i="113"/>
  <c r="CF15" i="113"/>
  <c r="CH15" i="113" s="1"/>
  <c r="AT15" i="113"/>
  <c r="S15" i="113"/>
  <c r="AP15" i="113"/>
  <c r="CF17" i="113"/>
  <c r="CH17" i="113" s="1"/>
  <c r="BX17" i="113"/>
  <c r="BH17" i="113"/>
  <c r="BD17" i="113"/>
  <c r="AV17" i="113"/>
  <c r="AX17" i="113" s="1"/>
  <c r="BR17" i="113"/>
  <c r="BN17" i="113"/>
  <c r="AT17" i="113"/>
  <c r="AP17" i="113"/>
  <c r="AL17" i="113"/>
  <c r="AH17" i="113"/>
  <c r="AD17" i="113"/>
  <c r="Z17" i="113"/>
  <c r="BI17" i="113"/>
  <c r="AS17" i="113"/>
  <c r="AU17" i="113" s="1"/>
  <c r="AC17" i="113"/>
  <c r="AE17" i="113" s="1"/>
  <c r="AO17" i="113"/>
  <c r="AQ17" i="113" s="1"/>
  <c r="Y17" i="113"/>
  <c r="AA17" i="113" s="1"/>
  <c r="CG17" i="113"/>
  <c r="BQ17" i="113"/>
  <c r="BA17" i="113"/>
  <c r="AK17" i="113"/>
  <c r="BP17" i="113"/>
  <c r="AJ17" i="113"/>
  <c r="BK17" i="113"/>
  <c r="BZ17" i="113"/>
  <c r="BF17" i="113"/>
  <c r="BU17" i="113"/>
  <c r="CC17" i="113"/>
  <c r="CE17" i="113" s="1"/>
  <c r="T4" i="113"/>
  <c r="BC4" i="113"/>
  <c r="BS4" i="113"/>
  <c r="AJ5" i="113"/>
  <c r="BP5" i="113"/>
  <c r="T6" i="113"/>
  <c r="AM6" i="113"/>
  <c r="BC6" i="113"/>
  <c r="BG6" i="113"/>
  <c r="BS6" i="113"/>
  <c r="CA6" i="113"/>
  <c r="S7" i="113"/>
  <c r="Z7" i="113"/>
  <c r="AD7" i="113"/>
  <c r="AH7" i="113"/>
  <c r="AL7" i="113"/>
  <c r="AP7" i="113"/>
  <c r="BF7" i="113"/>
  <c r="BN7" i="113"/>
  <c r="BR7" i="113"/>
  <c r="BV7" i="113"/>
  <c r="BZ7" i="113"/>
  <c r="CC8" i="113"/>
  <c r="CE8" i="113" s="1"/>
  <c r="Q8" i="113"/>
  <c r="AN8" i="113" s="1"/>
  <c r="AS8" i="113"/>
  <c r="AU8" i="113" s="1"/>
  <c r="BQ8" i="113"/>
  <c r="BU8" i="113"/>
  <c r="BZ8" i="113"/>
  <c r="BW9" i="113"/>
  <c r="AZ9" i="113"/>
  <c r="BB9" i="113" s="1"/>
  <c r="BV9" i="113"/>
  <c r="CD9" i="113"/>
  <c r="BR10" i="113"/>
  <c r="BN10" i="113"/>
  <c r="AP10" i="113"/>
  <c r="AL10" i="113"/>
  <c r="AH10" i="113"/>
  <c r="AD10" i="113"/>
  <c r="Z10" i="113"/>
  <c r="BM10" i="113"/>
  <c r="BI10" i="113"/>
  <c r="AW10" i="113"/>
  <c r="AO10" i="113"/>
  <c r="AQ10" i="113" s="1"/>
  <c r="AK10" i="113"/>
  <c r="AG10" i="113"/>
  <c r="AC10" i="113"/>
  <c r="AE10" i="113" s="1"/>
  <c r="Y10" i="113"/>
  <c r="AA10" i="113" s="1"/>
  <c r="AT10" i="113"/>
  <c r="S10" i="113"/>
  <c r="CG10" i="113"/>
  <c r="BA10" i="113"/>
  <c r="W10" i="113"/>
  <c r="BC10" i="113"/>
  <c r="BS10" i="113"/>
  <c r="AD11" i="113"/>
  <c r="AL11" i="113"/>
  <c r="CG13" i="113"/>
  <c r="BU13" i="113"/>
  <c r="BS15" i="113"/>
  <c r="AG17" i="113"/>
  <c r="AZ6" i="113"/>
  <c r="BB6" i="113" s="1"/>
  <c r="T7" i="113"/>
  <c r="W7" i="113"/>
  <c r="BC7" i="113"/>
  <c r="BG7" i="113"/>
  <c r="BS7" i="113"/>
  <c r="BF8" i="113"/>
  <c r="BV8" i="113"/>
  <c r="CB9" i="113"/>
  <c r="BT9" i="113"/>
  <c r="CI9" i="113"/>
  <c r="BO9" i="113"/>
  <c r="AY9" i="113"/>
  <c r="AI9" i="113"/>
  <c r="AM9" i="113"/>
  <c r="AF9" i="113"/>
  <c r="BQ9" i="113"/>
  <c r="BY9" i="113"/>
  <c r="CG11" i="113"/>
  <c r="BM11" i="113"/>
  <c r="BI11" i="113"/>
  <c r="BA11" i="113"/>
  <c r="AW11" i="113"/>
  <c r="AO11" i="113"/>
  <c r="AQ11" i="113" s="1"/>
  <c r="CF11" i="113"/>
  <c r="CH11" i="113" s="1"/>
  <c r="BX11" i="113"/>
  <c r="BH11" i="113"/>
  <c r="BD11" i="113"/>
  <c r="AV11" i="113"/>
  <c r="AX11" i="113" s="1"/>
  <c r="BU11" i="113"/>
  <c r="BP11" i="113"/>
  <c r="AJ11" i="113"/>
  <c r="BK11" i="113"/>
  <c r="Y11" i="113"/>
  <c r="AA11" i="113" s="1"/>
  <c r="AG11" i="113"/>
  <c r="AP11" i="113"/>
  <c r="BF11" i="113"/>
  <c r="BQ13" i="113"/>
  <c r="AS13" i="113"/>
  <c r="AU13" i="113" s="1"/>
  <c r="Q13" i="113"/>
  <c r="AN13" i="113" s="1"/>
  <c r="BL13" i="113"/>
  <c r="AZ13" i="113"/>
  <c r="BB13" i="113" s="1"/>
  <c r="CA13" i="113"/>
  <c r="BG13" i="113"/>
  <c r="V13" i="113"/>
  <c r="X13" i="113" s="1"/>
  <c r="T15" i="113"/>
  <c r="BC15" i="113"/>
  <c r="AW17" i="113"/>
  <c r="T9" i="113"/>
  <c r="BC9" i="113"/>
  <c r="BS9" i="113"/>
  <c r="Q10" i="113"/>
  <c r="AN10" i="113" s="1"/>
  <c r="AS10" i="113"/>
  <c r="AU10" i="113" s="1"/>
  <c r="BQ10" i="113"/>
  <c r="T11" i="113"/>
  <c r="AM11" i="113"/>
  <c r="BC11" i="113"/>
  <c r="BS11" i="113"/>
  <c r="Q12" i="113"/>
  <c r="AN12" i="113" s="1"/>
  <c r="Y12" i="113"/>
  <c r="AA12" i="113" s="1"/>
  <c r="AC12" i="113"/>
  <c r="AE12" i="113" s="1"/>
  <c r="AG12" i="113"/>
  <c r="AK12" i="113"/>
  <c r="AO12" i="113"/>
  <c r="AQ12" i="113" s="1"/>
  <c r="AS12" i="113"/>
  <c r="AU12" i="113" s="1"/>
  <c r="AW12" i="113"/>
  <c r="BA12" i="113"/>
  <c r="BI12" i="113"/>
  <c r="BM12" i="113"/>
  <c r="BQ12" i="113"/>
  <c r="CG12" i="113"/>
  <c r="T13" i="113"/>
  <c r="AM13" i="113"/>
  <c r="BC13" i="113"/>
  <c r="BK13" i="113"/>
  <c r="BS13" i="113"/>
  <c r="Q14" i="113"/>
  <c r="AN14" i="113" s="1"/>
  <c r="Y14" i="113"/>
  <c r="AA14" i="113" s="1"/>
  <c r="AC14" i="113"/>
  <c r="AE14" i="113" s="1"/>
  <c r="AG14" i="113"/>
  <c r="AK14" i="113"/>
  <c r="AO14" i="113"/>
  <c r="AQ14" i="113" s="1"/>
  <c r="AS14" i="113"/>
  <c r="AU14" i="113" s="1"/>
  <c r="AW14" i="113"/>
  <c r="BA14" i="113"/>
  <c r="BI14" i="113"/>
  <c r="BM14" i="113"/>
  <c r="BQ14" i="113"/>
  <c r="CG14" i="113"/>
  <c r="BV15" i="113"/>
  <c r="CD15" i="113"/>
  <c r="CG16" i="113"/>
  <c r="BM16" i="113"/>
  <c r="BI16" i="113"/>
  <c r="BA16" i="113"/>
  <c r="AW16" i="113"/>
  <c r="CC16" i="113"/>
  <c r="CE16" i="113" s="1"/>
  <c r="BU16" i="113"/>
  <c r="BP16" i="113"/>
  <c r="AJ16" i="113"/>
  <c r="BK16" i="113"/>
  <c r="Q16" i="113"/>
  <c r="AN16" i="113" s="1"/>
  <c r="Y16" i="113"/>
  <c r="AA16" i="113" s="1"/>
  <c r="AG16" i="113"/>
  <c r="AO16" i="113"/>
  <c r="AQ16" i="113" s="1"/>
  <c r="BN16" i="113"/>
  <c r="W17" i="113"/>
  <c r="BL17" i="113"/>
  <c r="BF10" i="113"/>
  <c r="BV10" i="113"/>
  <c r="BZ10" i="113"/>
  <c r="S12" i="113"/>
  <c r="Z12" i="113"/>
  <c r="AD12" i="113"/>
  <c r="AH12" i="113"/>
  <c r="AL12" i="113"/>
  <c r="AP12" i="113"/>
  <c r="BF12" i="113"/>
  <c r="BN12" i="113"/>
  <c r="BR12" i="113"/>
  <c r="BV12" i="113"/>
  <c r="BZ12" i="113"/>
  <c r="AJ13" i="113"/>
  <c r="AV13" i="113"/>
  <c r="AX13" i="113" s="1"/>
  <c r="BD13" i="113"/>
  <c r="BH13" i="113"/>
  <c r="BP13" i="113"/>
  <c r="BX13" i="113"/>
  <c r="CF13" i="113"/>
  <c r="CH13" i="113" s="1"/>
  <c r="S14" i="113"/>
  <c r="Z14" i="113"/>
  <c r="AD14" i="113"/>
  <c r="AH14" i="113"/>
  <c r="AL14" i="113"/>
  <c r="AP14" i="113"/>
  <c r="BF14" i="113"/>
  <c r="BN14" i="113"/>
  <c r="BV14" i="113"/>
  <c r="BZ14" i="113"/>
  <c r="CC15" i="113"/>
  <c r="CE15" i="113" s="1"/>
  <c r="BU15" i="113"/>
  <c r="BP15" i="113"/>
  <c r="Q15" i="113"/>
  <c r="AN15" i="113" s="1"/>
  <c r="AM15" i="113"/>
  <c r="BQ16" i="113"/>
  <c r="BL16" i="113"/>
  <c r="AZ16" i="113"/>
  <c r="BB16" i="113" s="1"/>
  <c r="CA16" i="113"/>
  <c r="BG16" i="113"/>
  <c r="BW17" i="113"/>
  <c r="BR18" i="113"/>
  <c r="BN18" i="113"/>
  <c r="AP18" i="113"/>
  <c r="AL18" i="113"/>
  <c r="AH18" i="113"/>
  <c r="AD18" i="113"/>
  <c r="Z18" i="113"/>
  <c r="BM18" i="113"/>
  <c r="BI18" i="113"/>
  <c r="AW18" i="113"/>
  <c r="AO18" i="113"/>
  <c r="AQ18" i="113" s="1"/>
  <c r="AK18" i="113"/>
  <c r="AG18" i="113"/>
  <c r="AC18" i="113"/>
  <c r="AE18" i="113" s="1"/>
  <c r="Y18" i="113"/>
  <c r="AA18" i="113" s="1"/>
  <c r="BX18" i="113"/>
  <c r="BH18" i="113"/>
  <c r="BW18" i="113"/>
  <c r="T18" i="113"/>
  <c r="BD18" i="113"/>
  <c r="AV18" i="113"/>
  <c r="AX18" i="113" s="1"/>
  <c r="AT18" i="113"/>
  <c r="S18" i="113"/>
  <c r="CG18" i="113"/>
  <c r="BA18" i="113"/>
  <c r="CF18" i="113"/>
  <c r="CH18" i="113" s="1"/>
  <c r="BC18" i="113"/>
  <c r="T12" i="113"/>
  <c r="W12" i="113"/>
  <c r="BC12" i="113"/>
  <c r="BS12" i="113"/>
  <c r="Y13" i="113"/>
  <c r="AA13" i="113" s="1"/>
  <c r="AC13" i="113"/>
  <c r="AE13" i="113" s="1"/>
  <c r="AG13" i="113"/>
  <c r="AK13" i="113"/>
  <c r="AO13" i="113"/>
  <c r="AQ13" i="113" s="1"/>
  <c r="AW13" i="113"/>
  <c r="BA13" i="113"/>
  <c r="BI13" i="113"/>
  <c r="BM13" i="113"/>
  <c r="T14" i="113"/>
  <c r="W14" i="113"/>
  <c r="BC14" i="113"/>
  <c r="BS14" i="113"/>
  <c r="BW14" i="113"/>
  <c r="BQ15" i="113"/>
  <c r="AS15" i="113"/>
  <c r="AU15" i="113" s="1"/>
  <c r="BL15" i="113"/>
  <c r="AZ15" i="113"/>
  <c r="BB15" i="113" s="1"/>
  <c r="AS16" i="113"/>
  <c r="AU16" i="113" s="1"/>
  <c r="BF16" i="113"/>
  <c r="BV16" i="113"/>
  <c r="BS18" i="113"/>
  <c r="T16" i="113"/>
  <c r="AM16" i="113"/>
  <c r="BC16" i="113"/>
  <c r="BS16" i="113"/>
  <c r="BW16" i="113"/>
  <c r="S17" i="113"/>
  <c r="V17" i="113"/>
  <c r="X17" i="113" s="1"/>
  <c r="BV17" i="113"/>
  <c r="CD17" i="113"/>
  <c r="BP20" i="113"/>
  <c r="AJ20" i="113"/>
  <c r="BK20" i="113"/>
  <c r="BZ20" i="113"/>
  <c r="AN20" i="113"/>
  <c r="Y20" i="113"/>
  <c r="AA20" i="113" s="1"/>
  <c r="AG20" i="113"/>
  <c r="AO20" i="113"/>
  <c r="AQ20" i="113" s="1"/>
  <c r="AW20" i="113"/>
  <c r="BM20" i="113"/>
  <c r="BU20" i="113"/>
  <c r="CG20" i="113"/>
  <c r="AV16" i="113"/>
  <c r="AX16" i="113" s="1"/>
  <c r="BD16" i="113"/>
  <c r="BH16" i="113"/>
  <c r="T17" i="113"/>
  <c r="AM17" i="113"/>
  <c r="BC17" i="113"/>
  <c r="BG17" i="113"/>
  <c r="BS17" i="113"/>
  <c r="CA17" i="113"/>
  <c r="CC18" i="113"/>
  <c r="CE18" i="113" s="1"/>
  <c r="W20" i="113"/>
  <c r="BL20" i="113"/>
  <c r="AZ20" i="113"/>
  <c r="BB20" i="113" s="1"/>
  <c r="CA20" i="113"/>
  <c r="BG20" i="113"/>
  <c r="CD20" i="113"/>
  <c r="Z20" i="113"/>
  <c r="AH20" i="113"/>
  <c r="AP20" i="113"/>
  <c r="BF20" i="113"/>
  <c r="BN20" i="113"/>
  <c r="BV20" i="113"/>
  <c r="BR21" i="113"/>
  <c r="BN21" i="113"/>
  <c r="AP21" i="113"/>
  <c r="AL21" i="113"/>
  <c r="AH21" i="113"/>
  <c r="AD21" i="113"/>
  <c r="Z21" i="113"/>
  <c r="BM21" i="113"/>
  <c r="BI21" i="113"/>
  <c r="AW21" i="113"/>
  <c r="AO21" i="113"/>
  <c r="AQ21" i="113" s="1"/>
  <c r="AK21" i="113"/>
  <c r="AG21" i="113"/>
  <c r="AC21" i="113"/>
  <c r="AE21" i="113" s="1"/>
  <c r="Y21" i="113"/>
  <c r="AA21" i="113" s="1"/>
  <c r="Q21" i="113"/>
  <c r="AN21" i="113" s="1"/>
  <c r="BX21" i="113"/>
  <c r="BH21" i="113"/>
  <c r="BD21" i="113"/>
  <c r="AV21" i="113"/>
  <c r="AX21" i="113" s="1"/>
  <c r="AT21" i="113"/>
  <c r="S21" i="113"/>
  <c r="CG21" i="113"/>
  <c r="BA21" i="113"/>
  <c r="BW21" i="113"/>
  <c r="BQ22" i="113"/>
  <c r="AS22" i="113"/>
  <c r="AU22" i="113" s="1"/>
  <c r="Q22" i="113"/>
  <c r="AN22" i="113" s="1"/>
  <c r="BL22" i="113"/>
  <c r="AZ22" i="113"/>
  <c r="BB22" i="113" s="1"/>
  <c r="CA22" i="113"/>
  <c r="BG22" i="113"/>
  <c r="V22" i="113"/>
  <c r="X22" i="113" s="1"/>
  <c r="AZ17" i="113"/>
  <c r="BB17" i="113" s="1"/>
  <c r="V18" i="113"/>
  <c r="X18" i="113" s="1"/>
  <c r="CD18" i="113"/>
  <c r="BX20" i="113"/>
  <c r="CF20" i="113"/>
  <c r="CH20" i="113" s="1"/>
  <c r="AC20" i="113"/>
  <c r="AE20" i="113" s="1"/>
  <c r="AK20" i="113"/>
  <c r="AS20" i="113"/>
  <c r="AU20" i="113" s="1"/>
  <c r="BA20" i="113"/>
  <c r="BI20" i="113"/>
  <c r="BQ20" i="113"/>
  <c r="BC21" i="113"/>
  <c r="BF22" i="113"/>
  <c r="BV22" i="113"/>
  <c r="T22" i="113"/>
  <c r="AM22" i="113"/>
  <c r="BC22" i="113"/>
  <c r="BK22" i="113"/>
  <c r="BS22" i="113"/>
  <c r="BW22" i="113"/>
  <c r="Q18" i="113"/>
  <c r="AN18" i="113" s="1"/>
  <c r="AS18" i="113"/>
  <c r="AU18" i="113" s="1"/>
  <c r="BQ18" i="113"/>
  <c r="T20" i="113"/>
  <c r="AM20" i="113"/>
  <c r="BC20" i="113"/>
  <c r="BS20" i="113"/>
  <c r="BW20" i="113"/>
  <c r="AS21" i="113"/>
  <c r="AU21" i="113" s="1"/>
  <c r="BQ21" i="113"/>
  <c r="AJ22" i="113"/>
  <c r="AV22" i="113"/>
  <c r="AX22" i="113" s="1"/>
  <c r="BD22" i="113"/>
  <c r="BH22" i="113"/>
  <c r="BP22" i="113"/>
  <c r="BX22" i="113"/>
  <c r="CF22" i="113"/>
  <c r="CH22" i="113" s="1"/>
  <c r="BF18" i="113"/>
  <c r="BV18" i="113"/>
  <c r="AV20" i="113"/>
  <c r="AX20" i="113" s="1"/>
  <c r="BD20" i="113"/>
  <c r="BH20" i="113"/>
  <c r="BV21" i="113"/>
  <c r="Y22" i="113"/>
  <c r="AA22" i="113" s="1"/>
  <c r="AC22" i="113"/>
  <c r="AE22" i="113" s="1"/>
  <c r="AG22" i="113"/>
  <c r="AK22" i="113"/>
  <c r="AO22" i="113"/>
  <c r="AQ22" i="113" s="1"/>
  <c r="AW22" i="113"/>
  <c r="BA22" i="113"/>
  <c r="BI22" i="113"/>
  <c r="BU22" i="113"/>
  <c r="U6" i="32" l="1"/>
  <c r="U7" i="32"/>
  <c r="U8" i="32"/>
  <c r="U9" i="32"/>
  <c r="U10" i="32"/>
  <c r="U11" i="32"/>
  <c r="U12" i="32"/>
  <c r="U13" i="32"/>
  <c r="U14" i="32"/>
  <c r="U15" i="32"/>
  <c r="U16" i="32"/>
  <c r="U17" i="32"/>
  <c r="U18" i="32"/>
  <c r="U19" i="32"/>
  <c r="U21" i="32"/>
  <c r="U22" i="32"/>
  <c r="U23" i="32"/>
  <c r="U5" i="32"/>
  <c r="O21" i="49" l="1"/>
  <c r="O3" i="49" l="1"/>
  <c r="O18" i="49"/>
  <c r="O23" i="49"/>
  <c r="O10" i="49"/>
  <c r="O4" i="49"/>
  <c r="O17" i="49"/>
  <c r="O6" i="49"/>
  <c r="O15" i="49"/>
  <c r="O19" i="49"/>
  <c r="O12" i="49"/>
  <c r="O8" i="49"/>
  <c r="O5" i="49"/>
  <c r="O14" i="49"/>
  <c r="O7" i="49"/>
  <c r="O11" i="49"/>
  <c r="O13" i="49"/>
  <c r="O22" i="49"/>
  <c r="O20" i="49"/>
  <c r="O16" i="49"/>
  <c r="O9" i="49"/>
  <c r="L13" i="113" l="1"/>
  <c r="L15" i="113"/>
  <c r="L11" i="113"/>
  <c r="L17" i="113"/>
  <c r="L12" i="113"/>
  <c r="L6" i="113"/>
  <c r="L8" i="113"/>
  <c r="L14" i="113"/>
  <c r="L20" i="113"/>
  <c r="L5" i="113"/>
  <c r="L3" i="113"/>
  <c r="L7" i="113"/>
  <c r="L10" i="113"/>
  <c r="L16" i="113"/>
  <c r="L22" i="113"/>
  <c r="AI22" i="113" l="1"/>
  <c r="CI22" i="113"/>
  <c r="CB22" i="113"/>
  <c r="BE22" i="113"/>
  <c r="BO22" i="113"/>
  <c r="AR22" i="113"/>
  <c r="BY22" i="113"/>
  <c r="AY22" i="113"/>
  <c r="AB22" i="113"/>
  <c r="BT22" i="113"/>
  <c r="BJ22" i="113"/>
  <c r="AF22" i="113"/>
  <c r="BJ16" i="113"/>
  <c r="CI16" i="113"/>
  <c r="AB16" i="113"/>
  <c r="AI16" i="113"/>
  <c r="BO16" i="113"/>
  <c r="AF16" i="113"/>
  <c r="CB16" i="113"/>
  <c r="BE16" i="113"/>
  <c r="AR16" i="113"/>
  <c r="BT16" i="113"/>
  <c r="AY16" i="113"/>
  <c r="BY16" i="113"/>
  <c r="CI10" i="113"/>
  <c r="AR10" i="113"/>
  <c r="AY10" i="113"/>
  <c r="BY10" i="113"/>
  <c r="CB10" i="113"/>
  <c r="BO10" i="113"/>
  <c r="BE10" i="113"/>
  <c r="AB10" i="113"/>
  <c r="AF10" i="113"/>
  <c r="AI10" i="113"/>
  <c r="BJ10" i="113"/>
  <c r="BT10" i="113"/>
  <c r="BO7" i="113"/>
  <c r="BY7" i="113"/>
  <c r="AR7" i="113"/>
  <c r="AF7" i="113"/>
  <c r="BT7" i="113"/>
  <c r="AY7" i="113"/>
  <c r="BE7" i="113"/>
  <c r="CB7" i="113"/>
  <c r="CI7" i="113"/>
  <c r="AI7" i="113"/>
  <c r="BJ7" i="113"/>
  <c r="AB7" i="113"/>
  <c r="BO3" i="113"/>
  <c r="CB3" i="113"/>
  <c r="AR3" i="113"/>
  <c r="AY3" i="113"/>
  <c r="BY3" i="113"/>
  <c r="AI3" i="113"/>
  <c r="BT3" i="113"/>
  <c r="BE3" i="113"/>
  <c r="AF3" i="113"/>
  <c r="AB3" i="113"/>
  <c r="CI3" i="113"/>
  <c r="BJ3" i="113"/>
  <c r="BO5" i="113"/>
  <c r="AI5" i="113"/>
  <c r="AB5" i="113"/>
  <c r="CB5" i="113"/>
  <c r="AF5" i="113"/>
  <c r="BT5" i="113"/>
  <c r="AY5" i="113"/>
  <c r="BY5" i="113"/>
  <c r="CI5" i="113"/>
  <c r="BJ5" i="113"/>
  <c r="AR5" i="113"/>
  <c r="BE5" i="113"/>
  <c r="BJ20" i="113"/>
  <c r="BE20" i="113"/>
  <c r="CI20" i="113"/>
  <c r="AB20" i="113"/>
  <c r="CB20" i="113"/>
  <c r="AI20" i="113"/>
  <c r="BO20" i="113"/>
  <c r="AF20" i="113"/>
  <c r="BY20" i="113"/>
  <c r="AR20" i="113"/>
  <c r="BT20" i="113"/>
  <c r="AY20" i="113"/>
  <c r="AI14" i="113"/>
  <c r="AF14" i="113"/>
  <c r="CI14" i="113"/>
  <c r="BJ14" i="113"/>
  <c r="BT14" i="113"/>
  <c r="AR14" i="113"/>
  <c r="AB14" i="113"/>
  <c r="CB14" i="113"/>
  <c r="BO14" i="113"/>
  <c r="BY14" i="113"/>
  <c r="AY14" i="113"/>
  <c r="BE14" i="113"/>
  <c r="BT8" i="113"/>
  <c r="AB8" i="113"/>
  <c r="CI8" i="113"/>
  <c r="AY8" i="113"/>
  <c r="CB8" i="113"/>
  <c r="BY8" i="113"/>
  <c r="AI8" i="113"/>
  <c r="AF8" i="113"/>
  <c r="BE8" i="113"/>
  <c r="BO8" i="113"/>
  <c r="BJ8" i="113"/>
  <c r="AR8" i="113"/>
  <c r="CB6" i="113"/>
  <c r="BJ6" i="113"/>
  <c r="BO6" i="113"/>
  <c r="AB6" i="113"/>
  <c r="BT6" i="113"/>
  <c r="AY6" i="113"/>
  <c r="AF6" i="113"/>
  <c r="AR6" i="113"/>
  <c r="BE6" i="113"/>
  <c r="CI6" i="113"/>
  <c r="BY6" i="113"/>
  <c r="AI6" i="113"/>
  <c r="AB12" i="113"/>
  <c r="CI12" i="113"/>
  <c r="BJ12" i="113"/>
  <c r="BT12" i="113"/>
  <c r="BO12" i="113"/>
  <c r="BY12" i="113"/>
  <c r="CB12" i="113"/>
  <c r="AY12" i="113"/>
  <c r="BE12" i="113"/>
  <c r="AR12" i="113"/>
  <c r="AI12" i="113"/>
  <c r="AF12" i="113"/>
  <c r="AI17" i="113"/>
  <c r="CI17" i="113"/>
  <c r="BY17" i="113"/>
  <c r="BE17" i="113"/>
  <c r="BO17" i="113"/>
  <c r="AB17" i="113"/>
  <c r="BT17" i="113"/>
  <c r="CB17" i="113"/>
  <c r="AY17" i="113"/>
  <c r="AF17" i="113"/>
  <c r="AR17" i="113"/>
  <c r="BJ17" i="113"/>
  <c r="CB11" i="113"/>
  <c r="AI11" i="113"/>
  <c r="BO11" i="113"/>
  <c r="AR11" i="113"/>
  <c r="BE11" i="113"/>
  <c r="BT11" i="113"/>
  <c r="BJ11" i="113"/>
  <c r="BY11" i="113"/>
  <c r="AY11" i="113"/>
  <c r="CI11" i="113"/>
  <c r="AB11" i="113"/>
  <c r="AF11" i="113"/>
  <c r="BJ15" i="113"/>
  <c r="CB15" i="113"/>
  <c r="AY15" i="113"/>
  <c r="CI15" i="113"/>
  <c r="BT15" i="113"/>
  <c r="BO15" i="113"/>
  <c r="AI15" i="113"/>
  <c r="BY15" i="113"/>
  <c r="AB15" i="113"/>
  <c r="AF15" i="113"/>
  <c r="BE15" i="113"/>
  <c r="AR15" i="113"/>
  <c r="CI13" i="113"/>
  <c r="AR13" i="113"/>
  <c r="AI13" i="113"/>
  <c r="AB13" i="113"/>
  <c r="BT13" i="113"/>
  <c r="BY13" i="113"/>
  <c r="BJ13" i="113"/>
  <c r="CB13" i="113"/>
  <c r="BO13" i="113"/>
  <c r="AF13" i="113"/>
  <c r="BE13" i="113"/>
  <c r="AY13" i="113"/>
  <c r="L18" i="113"/>
  <c r="S11" i="103"/>
  <c r="CI18" i="113" l="1"/>
  <c r="AF18" i="113"/>
  <c r="AI18" i="113"/>
  <c r="BJ18" i="113"/>
  <c r="BT18" i="113"/>
  <c r="AY18" i="113"/>
  <c r="AB18" i="113"/>
  <c r="BY18" i="113"/>
  <c r="CB18" i="113"/>
  <c r="BO18" i="113"/>
  <c r="AR18" i="113"/>
  <c r="BE18" i="113"/>
  <c r="O12" i="104"/>
  <c r="P12" i="104"/>
  <c r="R6" i="103"/>
  <c r="K3" i="32" l="1"/>
  <c r="L3" i="32"/>
  <c r="L4" i="113" l="1"/>
  <c r="L21" i="113"/>
  <c r="N6" i="103"/>
  <c r="M6" i="103"/>
  <c r="P21" i="103"/>
  <c r="N11" i="104"/>
  <c r="P11" i="104"/>
  <c r="O11" i="104"/>
  <c r="N10" i="104"/>
  <c r="N9" i="104"/>
  <c r="O9" i="104" s="1"/>
  <c r="P10" i="104"/>
  <c r="O10" i="104"/>
  <c r="P9" i="104"/>
  <c r="P6" i="103"/>
  <c r="P9" i="103"/>
  <c r="R13" i="103"/>
  <c r="R29" i="103"/>
  <c r="R42" i="103"/>
  <c r="AY21" i="113" l="1"/>
  <c r="AI21" i="113"/>
  <c r="BJ21" i="113"/>
  <c r="AR21" i="113"/>
  <c r="CI21" i="113"/>
  <c r="BO21" i="113"/>
  <c r="BT21" i="113"/>
  <c r="BY21" i="113"/>
  <c r="AB21" i="113"/>
  <c r="CB21" i="113"/>
  <c r="BE21" i="113"/>
  <c r="AF21" i="113"/>
  <c r="CI4" i="113"/>
  <c r="BT4" i="113"/>
  <c r="BE4" i="113"/>
  <c r="BO4" i="113"/>
  <c r="CB4" i="113"/>
  <c r="AB4" i="113"/>
  <c r="BY4" i="113"/>
  <c r="BJ4" i="113"/>
  <c r="AY4" i="113"/>
  <c r="AF4" i="113"/>
  <c r="AI4" i="113"/>
  <c r="AR4" i="113"/>
  <c r="R26" i="103"/>
  <c r="I13" i="85" l="1"/>
  <c r="J13" i="85"/>
  <c r="T13" i="85"/>
  <c r="U13" i="85" l="1"/>
  <c r="R13" i="85"/>
  <c r="U24" i="32" l="1"/>
  <c r="M21" i="113" l="1"/>
  <c r="X11" i="107"/>
  <c r="X4" i="107"/>
  <c r="X8" i="107"/>
  <c r="X22" i="107"/>
  <c r="X21" i="107"/>
  <c r="X14" i="107"/>
  <c r="X13" i="107"/>
  <c r="X20" i="107"/>
  <c r="X17" i="107"/>
  <c r="X10" i="107"/>
  <c r="X19" i="107"/>
  <c r="X16" i="107"/>
  <c r="X15" i="107"/>
  <c r="X12" i="107"/>
  <c r="X18" i="107"/>
  <c r="X5" i="107"/>
  <c r="X6" i="107"/>
  <c r="X16" i="111"/>
  <c r="X13" i="111"/>
  <c r="X15" i="111"/>
  <c r="X5" i="111"/>
  <c r="X20" i="111"/>
  <c r="X19" i="111"/>
  <c r="X9" i="111"/>
  <c r="X7" i="111"/>
  <c r="X4" i="111"/>
  <c r="X18" i="111"/>
  <c r="X8" i="111"/>
  <c r="X21" i="111"/>
  <c r="X10" i="111"/>
  <c r="X11" i="111"/>
  <c r="X14" i="111"/>
  <c r="X17" i="111"/>
  <c r="X6" i="111"/>
  <c r="X22" i="111"/>
  <c r="W16" i="111"/>
  <c r="Y16" i="111" s="1"/>
  <c r="AA16" i="111" s="1"/>
  <c r="W13" i="111"/>
  <c r="W15" i="111"/>
  <c r="W5" i="111"/>
  <c r="W20" i="111"/>
  <c r="W19" i="111"/>
  <c r="W9" i="111"/>
  <c r="W7" i="111"/>
  <c r="W4" i="111"/>
  <c r="W18" i="111"/>
  <c r="W8" i="111"/>
  <c r="W21" i="111"/>
  <c r="W10" i="111"/>
  <c r="W11" i="111"/>
  <c r="W14" i="111"/>
  <c r="Z14" i="111" s="1"/>
  <c r="AA14" i="111" s="1"/>
  <c r="W17" i="111"/>
  <c r="AA17" i="111" s="1"/>
  <c r="W6" i="111"/>
  <c r="W22" i="111"/>
  <c r="V16" i="111"/>
  <c r="V13" i="111"/>
  <c r="V15" i="111"/>
  <c r="V5" i="111"/>
  <c r="V20" i="111"/>
  <c r="V19" i="111"/>
  <c r="V9" i="111"/>
  <c r="V7" i="111"/>
  <c r="V4" i="111"/>
  <c r="V18" i="111"/>
  <c r="V8" i="111"/>
  <c r="V21" i="111"/>
  <c r="V10" i="111"/>
  <c r="V11" i="111"/>
  <c r="V14" i="111"/>
  <c r="V17" i="111"/>
  <c r="V6" i="111"/>
  <c r="V22" i="111"/>
  <c r="U16" i="111"/>
  <c r="U13" i="111"/>
  <c r="U15" i="111"/>
  <c r="U5" i="111"/>
  <c r="U20" i="111"/>
  <c r="U19" i="111"/>
  <c r="U9" i="111"/>
  <c r="U7" i="111"/>
  <c r="U4" i="111"/>
  <c r="U18" i="111"/>
  <c r="U8" i="111"/>
  <c r="U21" i="111"/>
  <c r="U10" i="111"/>
  <c r="U11" i="111"/>
  <c r="U14" i="111"/>
  <c r="U17" i="111"/>
  <c r="U6" i="111"/>
  <c r="U22" i="111"/>
  <c r="S16" i="111"/>
  <c r="S13" i="111"/>
  <c r="S15" i="111"/>
  <c r="S5" i="111"/>
  <c r="S20" i="111"/>
  <c r="S19" i="111"/>
  <c r="S9" i="111"/>
  <c r="S7" i="111"/>
  <c r="S4" i="111"/>
  <c r="S18" i="111"/>
  <c r="S8" i="111"/>
  <c r="S21" i="111"/>
  <c r="S10" i="111"/>
  <c r="S11" i="111"/>
  <c r="S14" i="111"/>
  <c r="S17" i="111"/>
  <c r="S6" i="111"/>
  <c r="S22" i="111"/>
  <c r="R16" i="111"/>
  <c r="R13" i="111"/>
  <c r="R15" i="111"/>
  <c r="R5" i="111"/>
  <c r="R20" i="111"/>
  <c r="AA20" i="111" s="1"/>
  <c r="R19" i="111"/>
  <c r="R9" i="111"/>
  <c r="R7" i="111"/>
  <c r="R4" i="111"/>
  <c r="Z4" i="111" s="1"/>
  <c r="R18" i="111"/>
  <c r="R8" i="111"/>
  <c r="R21" i="111"/>
  <c r="R10" i="111"/>
  <c r="R11" i="111"/>
  <c r="R14" i="111"/>
  <c r="R17" i="111"/>
  <c r="R6" i="111"/>
  <c r="R22" i="111"/>
  <c r="N16" i="111"/>
  <c r="N13" i="111"/>
  <c r="N15" i="111"/>
  <c r="N5" i="111"/>
  <c r="N20" i="111"/>
  <c r="N19" i="111"/>
  <c r="N9" i="111"/>
  <c r="N7" i="111"/>
  <c r="N4" i="111"/>
  <c r="N18" i="111"/>
  <c r="N8" i="111"/>
  <c r="N21" i="111"/>
  <c r="N10" i="111"/>
  <c r="N11" i="111"/>
  <c r="N14" i="111"/>
  <c r="N17" i="111"/>
  <c r="N6" i="111"/>
  <c r="N22" i="111"/>
  <c r="M16" i="111"/>
  <c r="M13" i="111"/>
  <c r="M15" i="111"/>
  <c r="M5" i="111"/>
  <c r="M20" i="111"/>
  <c r="M19" i="111"/>
  <c r="M9" i="111"/>
  <c r="M7" i="111"/>
  <c r="M4" i="111"/>
  <c r="M18" i="111"/>
  <c r="M8" i="111"/>
  <c r="M21" i="111"/>
  <c r="M10" i="111"/>
  <c r="M11" i="111"/>
  <c r="M14" i="111"/>
  <c r="M17" i="111"/>
  <c r="M6" i="111"/>
  <c r="M22" i="111"/>
  <c r="K3" i="111"/>
  <c r="J3" i="111"/>
  <c r="I3" i="111"/>
  <c r="H3" i="111"/>
  <c r="G3" i="111"/>
  <c r="F3" i="111"/>
  <c r="X9" i="110"/>
  <c r="X14" i="110"/>
  <c r="X21" i="110"/>
  <c r="X20" i="110"/>
  <c r="W8" i="110"/>
  <c r="X4" i="110"/>
  <c r="X12" i="110"/>
  <c r="X6" i="110"/>
  <c r="X11" i="110"/>
  <c r="X8" i="110"/>
  <c r="X22" i="110"/>
  <c r="X19" i="110"/>
  <c r="X16" i="110"/>
  <c r="X17" i="110"/>
  <c r="X18" i="110"/>
  <c r="X13" i="110"/>
  <c r="X15" i="110"/>
  <c r="X5" i="110"/>
  <c r="W17" i="110"/>
  <c r="W16" i="110"/>
  <c r="W19" i="110"/>
  <c r="W4" i="110"/>
  <c r="Y4" i="110" s="1"/>
  <c r="AA4" i="110" s="1"/>
  <c r="W12" i="110"/>
  <c r="W6" i="110"/>
  <c r="W11" i="110"/>
  <c r="W22" i="110"/>
  <c r="W21" i="110"/>
  <c r="W14" i="110"/>
  <c r="W20" i="110"/>
  <c r="W18" i="110"/>
  <c r="W13" i="110"/>
  <c r="AA13" i="110" s="1"/>
  <c r="W15" i="110"/>
  <c r="W5" i="110"/>
  <c r="Z5" i="110" s="1"/>
  <c r="V4" i="110"/>
  <c r="V12" i="110"/>
  <c r="V6" i="110"/>
  <c r="V11" i="110"/>
  <c r="V8" i="110"/>
  <c r="V22" i="110"/>
  <c r="V21" i="110"/>
  <c r="AA21" i="110" s="1"/>
  <c r="V19" i="110"/>
  <c r="V14" i="110"/>
  <c r="V16" i="110"/>
  <c r="V17" i="110"/>
  <c r="V9" i="110"/>
  <c r="V18" i="110"/>
  <c r="V13" i="110"/>
  <c r="V15" i="110"/>
  <c r="V5" i="110"/>
  <c r="U4" i="110"/>
  <c r="U12" i="110"/>
  <c r="U6" i="110"/>
  <c r="U11" i="110"/>
  <c r="U8" i="110"/>
  <c r="U22" i="110"/>
  <c r="U21" i="110"/>
  <c r="U19" i="110"/>
  <c r="U14" i="110"/>
  <c r="U16" i="110"/>
  <c r="U17" i="110"/>
  <c r="U9" i="110"/>
  <c r="U20" i="110"/>
  <c r="U18" i="110"/>
  <c r="U13" i="110"/>
  <c r="U15" i="110"/>
  <c r="U5" i="110"/>
  <c r="T4" i="110"/>
  <c r="T12" i="110"/>
  <c r="T6" i="110"/>
  <c r="T11" i="110"/>
  <c r="T8" i="110"/>
  <c r="T22" i="110"/>
  <c r="T21" i="110"/>
  <c r="T19" i="110"/>
  <c r="T14" i="110"/>
  <c r="T16" i="110"/>
  <c r="T17" i="110"/>
  <c r="T9" i="110"/>
  <c r="T20" i="110"/>
  <c r="AA20" i="110" s="1"/>
  <c r="T18" i="110"/>
  <c r="T13" i="110"/>
  <c r="T15" i="110"/>
  <c r="T5" i="110"/>
  <c r="Y5" i="110" s="1"/>
  <c r="N4" i="110"/>
  <c r="N12" i="110"/>
  <c r="N6" i="110"/>
  <c r="N11" i="110"/>
  <c r="N8" i="110"/>
  <c r="N21" i="110"/>
  <c r="N19" i="110"/>
  <c r="N16" i="110"/>
  <c r="N17" i="110"/>
  <c r="N9" i="110"/>
  <c r="N18" i="110"/>
  <c r="N13" i="110"/>
  <c r="N5" i="110"/>
  <c r="K3" i="110"/>
  <c r="J3" i="110"/>
  <c r="I3" i="110"/>
  <c r="H3" i="110"/>
  <c r="G3" i="110"/>
  <c r="F3" i="110"/>
  <c r="Z6" i="111" l="1"/>
  <c r="Y6" i="111"/>
  <c r="Z11" i="111"/>
  <c r="Y11" i="111"/>
  <c r="Z13" i="111"/>
  <c r="Y13" i="111"/>
  <c r="Z15" i="111"/>
  <c r="Y15" i="111"/>
  <c r="Y10" i="111"/>
  <c r="Z10" i="111"/>
  <c r="AA10" i="111" s="1"/>
  <c r="Z8" i="111"/>
  <c r="Y8" i="111"/>
  <c r="Y9" i="111"/>
  <c r="Z9" i="111"/>
  <c r="Y12" i="110"/>
  <c r="Z12" i="110"/>
  <c r="AA12" i="110" s="1"/>
  <c r="Z6" i="110"/>
  <c r="Y6" i="110"/>
  <c r="Y8" i="110"/>
  <c r="Z8" i="110"/>
  <c r="Z9" i="110"/>
  <c r="Y9" i="110"/>
  <c r="Y11" i="110"/>
  <c r="Z11" i="110"/>
  <c r="AA11" i="110" s="1"/>
  <c r="AA5" i="110"/>
  <c r="Z7" i="111"/>
  <c r="Y7" i="111"/>
  <c r="Z5" i="111"/>
  <c r="AA5" i="111" s="1"/>
  <c r="AA14" i="110"/>
  <c r="AJ21" i="113"/>
  <c r="BU21" i="113"/>
  <c r="BK21" i="113"/>
  <c r="BP21" i="113"/>
  <c r="BZ21" i="113"/>
  <c r="CC21" i="113"/>
  <c r="CE21" i="113" s="1"/>
  <c r="BF21" i="113"/>
  <c r="CF21" i="113"/>
  <c r="CH21" i="113" s="1"/>
  <c r="AA19" i="110"/>
  <c r="AA16" i="110"/>
  <c r="AA15" i="110"/>
  <c r="AA18" i="111"/>
  <c r="AA21" i="111"/>
  <c r="AA4" i="111"/>
  <c r="AA6" i="111"/>
  <c r="AA17" i="110"/>
  <c r="W9" i="110"/>
  <c r="V20" i="110"/>
  <c r="N15" i="110"/>
  <c r="N20" i="110"/>
  <c r="N14" i="110"/>
  <c r="N22" i="110"/>
  <c r="AA8" i="110" l="1"/>
  <c r="AA8" i="111"/>
  <c r="AA15" i="111"/>
  <c r="AA7" i="111"/>
  <c r="AA11" i="111"/>
  <c r="AA13" i="111"/>
  <c r="AA9" i="110"/>
  <c r="AA6" i="110"/>
  <c r="AA9" i="111"/>
  <c r="Z2" i="111"/>
  <c r="Z2" i="110"/>
  <c r="Y2" i="111" l="1"/>
  <c r="Y2" i="110"/>
  <c r="O6" i="108" l="1"/>
  <c r="O16" i="108"/>
  <c r="O18" i="108"/>
  <c r="O19" i="108"/>
  <c r="O23" i="108"/>
  <c r="O12" i="108"/>
  <c r="O15" i="108"/>
  <c r="Q8" i="108"/>
  <c r="O5" i="108"/>
  <c r="O7" i="108"/>
  <c r="R18" i="108"/>
  <c r="R21" i="108"/>
  <c r="O20" i="108"/>
  <c r="O4" i="108"/>
  <c r="O13" i="108"/>
  <c r="R14" i="108"/>
  <c r="V17" i="108"/>
  <c r="R22" i="108"/>
  <c r="R11" i="108"/>
  <c r="S6" i="108"/>
  <c r="S7" i="108"/>
  <c r="Y7" i="108" s="1"/>
  <c r="S5" i="108"/>
  <c r="S13" i="108"/>
  <c r="S15" i="108"/>
  <c r="S16" i="108"/>
  <c r="S4" i="108"/>
  <c r="S18" i="108"/>
  <c r="S11" i="108"/>
  <c r="R6" i="108"/>
  <c r="R7" i="108"/>
  <c r="Z7" i="108" s="1"/>
  <c r="R5" i="108"/>
  <c r="Z5" i="108" s="1"/>
  <c r="R13" i="108"/>
  <c r="R15" i="108"/>
  <c r="R16" i="108"/>
  <c r="R4" i="108"/>
  <c r="R23" i="108"/>
  <c r="Q6" i="108"/>
  <c r="Q7" i="108"/>
  <c r="Q13" i="108"/>
  <c r="Q15" i="108"/>
  <c r="Q16" i="108"/>
  <c r="Q4" i="108"/>
  <c r="Q18" i="108"/>
  <c r="P6" i="108"/>
  <c r="P7" i="108"/>
  <c r="P20" i="108"/>
  <c r="P15" i="108"/>
  <c r="P16" i="108"/>
  <c r="P4" i="108"/>
  <c r="P23" i="108"/>
  <c r="P19" i="108"/>
  <c r="P18" i="108"/>
  <c r="V6" i="108"/>
  <c r="V7" i="108"/>
  <c r="V13" i="108"/>
  <c r="V16" i="108"/>
  <c r="V4" i="108"/>
  <c r="V12" i="108"/>
  <c r="V18" i="108"/>
  <c r="U6" i="108"/>
  <c r="U7" i="108"/>
  <c r="U20" i="108"/>
  <c r="U15" i="108"/>
  <c r="U16" i="108"/>
  <c r="U4" i="108"/>
  <c r="U23" i="108"/>
  <c r="U17" i="108"/>
  <c r="U18" i="108"/>
  <c r="T6" i="108"/>
  <c r="T7" i="108"/>
  <c r="T13" i="108"/>
  <c r="T16" i="108"/>
  <c r="T4" i="108"/>
  <c r="T12" i="108"/>
  <c r="Y12" i="108" s="1"/>
  <c r="T18" i="108"/>
  <c r="K18" i="108"/>
  <c r="I18" i="108"/>
  <c r="H18" i="108"/>
  <c r="G18" i="108"/>
  <c r="F18" i="108"/>
  <c r="E18" i="108"/>
  <c r="C18" i="108"/>
  <c r="B18" i="108"/>
  <c r="K19" i="108"/>
  <c r="J19" i="108"/>
  <c r="I19" i="108"/>
  <c r="H19" i="108"/>
  <c r="G19" i="108"/>
  <c r="F19" i="108"/>
  <c r="E19" i="108"/>
  <c r="C19" i="108"/>
  <c r="B19" i="108"/>
  <c r="K17" i="108"/>
  <c r="J17" i="108"/>
  <c r="I17" i="108"/>
  <c r="H17" i="108"/>
  <c r="G17" i="108"/>
  <c r="F17" i="108"/>
  <c r="E17" i="108"/>
  <c r="C17" i="108"/>
  <c r="B17" i="108"/>
  <c r="K23" i="108"/>
  <c r="I23" i="108"/>
  <c r="H23" i="108"/>
  <c r="G23" i="108"/>
  <c r="F23" i="108"/>
  <c r="E23" i="108"/>
  <c r="C23" i="108"/>
  <c r="B23" i="108"/>
  <c r="K21" i="108"/>
  <c r="I21" i="108"/>
  <c r="H21" i="108"/>
  <c r="G21" i="108"/>
  <c r="F21" i="108"/>
  <c r="E21" i="108"/>
  <c r="C21" i="108"/>
  <c r="B21" i="108"/>
  <c r="K12" i="108"/>
  <c r="I12" i="108"/>
  <c r="H12" i="108"/>
  <c r="G12" i="108"/>
  <c r="F12" i="108"/>
  <c r="E12" i="108"/>
  <c r="C12" i="108"/>
  <c r="B12" i="108"/>
  <c r="K4" i="108"/>
  <c r="I4" i="108"/>
  <c r="H4" i="108"/>
  <c r="G4" i="108"/>
  <c r="F4" i="108"/>
  <c r="E4" i="108"/>
  <c r="C4" i="108"/>
  <c r="B4" i="108"/>
  <c r="K16" i="108"/>
  <c r="I16" i="108"/>
  <c r="H16" i="108"/>
  <c r="G16" i="108"/>
  <c r="F16" i="108"/>
  <c r="E16" i="108"/>
  <c r="C16" i="108"/>
  <c r="K15" i="108"/>
  <c r="I15" i="108"/>
  <c r="H15" i="108"/>
  <c r="G15" i="108"/>
  <c r="F15" i="108"/>
  <c r="E15" i="108"/>
  <c r="C15" i="108"/>
  <c r="K14" i="108"/>
  <c r="I14" i="108"/>
  <c r="H14" i="108"/>
  <c r="G14" i="108"/>
  <c r="F14" i="108"/>
  <c r="E14" i="108"/>
  <c r="C14" i="108"/>
  <c r="K13" i="108"/>
  <c r="I13" i="108"/>
  <c r="H13" i="108"/>
  <c r="G13" i="108"/>
  <c r="F13" i="108"/>
  <c r="E13" i="108"/>
  <c r="C13" i="108"/>
  <c r="B13" i="108"/>
  <c r="K8" i="108"/>
  <c r="I8" i="108"/>
  <c r="H8" i="108"/>
  <c r="G8" i="108"/>
  <c r="F8" i="108"/>
  <c r="E8" i="108"/>
  <c r="C8" i="108"/>
  <c r="B8" i="108"/>
  <c r="K10" i="108"/>
  <c r="I10" i="108"/>
  <c r="H10" i="108"/>
  <c r="G10" i="108"/>
  <c r="F10" i="108"/>
  <c r="E10" i="108"/>
  <c r="C10" i="108"/>
  <c r="B10" i="108"/>
  <c r="K20" i="108"/>
  <c r="I20" i="108"/>
  <c r="H20" i="108"/>
  <c r="G20" i="108"/>
  <c r="F20" i="108"/>
  <c r="E20" i="108"/>
  <c r="C20" i="108"/>
  <c r="B20" i="108"/>
  <c r="K5" i="108"/>
  <c r="I5" i="108"/>
  <c r="H5" i="108"/>
  <c r="G5" i="108"/>
  <c r="F5" i="108"/>
  <c r="E5" i="108"/>
  <c r="C5" i="108"/>
  <c r="B5" i="108"/>
  <c r="K7" i="108"/>
  <c r="I7" i="108"/>
  <c r="H7" i="108"/>
  <c r="G7" i="108"/>
  <c r="F7" i="108"/>
  <c r="E7" i="108"/>
  <c r="C7" i="108"/>
  <c r="B7" i="108"/>
  <c r="K6" i="108"/>
  <c r="I6" i="108"/>
  <c r="H6" i="108"/>
  <c r="G6" i="108"/>
  <c r="F6" i="108"/>
  <c r="E6" i="108"/>
  <c r="C6" i="108"/>
  <c r="B6" i="108"/>
  <c r="K22" i="108"/>
  <c r="I22" i="108"/>
  <c r="H22" i="108"/>
  <c r="G22" i="108"/>
  <c r="F22" i="108"/>
  <c r="E22" i="108"/>
  <c r="C22" i="108"/>
  <c r="B22" i="108"/>
  <c r="K11" i="108"/>
  <c r="I11" i="108"/>
  <c r="H11" i="108"/>
  <c r="G11" i="108"/>
  <c r="F11" i="108"/>
  <c r="E11" i="108"/>
  <c r="C11" i="108"/>
  <c r="B11" i="108"/>
  <c r="K3" i="108"/>
  <c r="J3" i="108"/>
  <c r="I3" i="108"/>
  <c r="H3" i="108"/>
  <c r="G3" i="108"/>
  <c r="F3" i="108"/>
  <c r="E3" i="108"/>
  <c r="D3" i="108"/>
  <c r="C3" i="108"/>
  <c r="B3" i="108"/>
  <c r="Y16" i="108" l="1"/>
  <c r="Z16" i="108"/>
  <c r="Y13" i="108"/>
  <c r="Z13" i="108"/>
  <c r="AA13" i="108" s="1"/>
  <c r="Y4" i="108"/>
  <c r="Z4" i="108"/>
  <c r="AA4" i="108" s="1"/>
  <c r="Z6" i="108"/>
  <c r="AA6" i="108" s="1"/>
  <c r="Z15" i="108"/>
  <c r="AA15" i="108" s="1"/>
  <c r="Y15" i="108"/>
  <c r="Q21" i="108"/>
  <c r="T19" i="108"/>
  <c r="U19" i="108"/>
  <c r="Q19" i="108"/>
  <c r="S19" i="108"/>
  <c r="V19" i="108"/>
  <c r="R19" i="108"/>
  <c r="AA7" i="108"/>
  <c r="T20" i="108"/>
  <c r="U5" i="108"/>
  <c r="V20" i="108"/>
  <c r="P5" i="108"/>
  <c r="Q12" i="108"/>
  <c r="S12" i="108"/>
  <c r="AA12" i="108"/>
  <c r="T17" i="108"/>
  <c r="T5" i="108"/>
  <c r="U21" i="108"/>
  <c r="V5" i="108"/>
  <c r="V11" i="108"/>
  <c r="Q20" i="108"/>
  <c r="R12" i="108"/>
  <c r="S8" i="108"/>
  <c r="Z8" i="108" s="1"/>
  <c r="N11" i="108"/>
  <c r="T23" i="108"/>
  <c r="T15" i="108"/>
  <c r="U12" i="108"/>
  <c r="U13" i="108"/>
  <c r="V23" i="108"/>
  <c r="V15" i="108"/>
  <c r="P11" i="108"/>
  <c r="P12" i="108"/>
  <c r="P13" i="108"/>
  <c r="Q23" i="108"/>
  <c r="Q5" i="108"/>
  <c r="R20" i="108"/>
  <c r="S23" i="108"/>
  <c r="S20" i="108"/>
  <c r="O8" i="108"/>
  <c r="T8" i="108"/>
  <c r="U14" i="108"/>
  <c r="U22" i="108"/>
  <c r="V8" i="108"/>
  <c r="Y8" i="108" s="1"/>
  <c r="P8" i="108"/>
  <c r="Q14" i="108"/>
  <c r="Q22" i="108"/>
  <c r="R8" i="108"/>
  <c r="S21" i="108"/>
  <c r="O21" i="108"/>
  <c r="AA5" i="108"/>
  <c r="T21" i="108"/>
  <c r="V21" i="108"/>
  <c r="P21" i="108"/>
  <c r="S14" i="108"/>
  <c r="S22" i="108"/>
  <c r="O17" i="108"/>
  <c r="O14" i="108"/>
  <c r="O22" i="108"/>
  <c r="T14" i="108"/>
  <c r="T22" i="108"/>
  <c r="U8" i="108"/>
  <c r="V14" i="108"/>
  <c r="V22" i="108"/>
  <c r="P14" i="108"/>
  <c r="P22" i="108"/>
  <c r="O11" i="108"/>
  <c r="P17" i="108"/>
  <c r="Q17" i="108"/>
  <c r="R17" i="108"/>
  <c r="S17" i="108"/>
  <c r="T11" i="108"/>
  <c r="Q11" i="108"/>
  <c r="U11" i="108"/>
  <c r="Y14" i="108" l="1"/>
  <c r="Z14" i="108"/>
  <c r="Z11" i="108"/>
  <c r="Y11" i="108"/>
  <c r="Y2" i="108" s="1"/>
  <c r="AA16" i="108"/>
  <c r="AA14" i="108"/>
  <c r="AA8" i="108" l="1"/>
  <c r="AA11" i="108"/>
  <c r="Z2" i="108"/>
  <c r="R8" i="107"/>
  <c r="R22" i="107"/>
  <c r="R20" i="107"/>
  <c r="R10" i="107"/>
  <c r="R19" i="107"/>
  <c r="R18" i="107"/>
  <c r="U4" i="107"/>
  <c r="U21" i="107"/>
  <c r="U14" i="107"/>
  <c r="U10" i="107"/>
  <c r="U18" i="107"/>
  <c r="U5" i="107"/>
  <c r="U6" i="107"/>
  <c r="V4" i="107"/>
  <c r="V21" i="107"/>
  <c r="V14" i="107"/>
  <c r="V10" i="107"/>
  <c r="V15" i="107"/>
  <c r="V18" i="107"/>
  <c r="V5" i="107"/>
  <c r="V6" i="107"/>
  <c r="N18" i="107"/>
  <c r="R5" i="107"/>
  <c r="W10" i="107"/>
  <c r="P14" i="107"/>
  <c r="Y14" i="107" s="1"/>
  <c r="N8" i="107"/>
  <c r="S6" i="107"/>
  <c r="N21" i="107"/>
  <c r="M20" i="107"/>
  <c r="S14" i="107"/>
  <c r="S13" i="107"/>
  <c r="Z13" i="107" s="1"/>
  <c r="S5" i="107"/>
  <c r="M4" i="107"/>
  <c r="N4" i="107"/>
  <c r="M14" i="107"/>
  <c r="N14" i="107"/>
  <c r="M19" i="107"/>
  <c r="N19" i="107"/>
  <c r="N15" i="107"/>
  <c r="M5" i="107"/>
  <c r="N5" i="107"/>
  <c r="M6" i="107"/>
  <c r="W6" i="107"/>
  <c r="Y6" i="107" s="1"/>
  <c r="AA6" i="107" s="1"/>
  <c r="T4" i="107"/>
  <c r="W4" i="107"/>
  <c r="T22" i="107"/>
  <c r="W22" i="107"/>
  <c r="T14" i="107"/>
  <c r="W14" i="107"/>
  <c r="Q14" i="107"/>
  <c r="Z14" i="107" s="1"/>
  <c r="T13" i="107"/>
  <c r="W13" i="107"/>
  <c r="T20" i="107"/>
  <c r="W20" i="107"/>
  <c r="Q20" i="107"/>
  <c r="W17" i="107"/>
  <c r="T19" i="107"/>
  <c r="AA19" i="107" s="1"/>
  <c r="Q19" i="107"/>
  <c r="T16" i="107"/>
  <c r="T15" i="107"/>
  <c r="W15" i="107"/>
  <c r="W12" i="107"/>
  <c r="T5" i="107"/>
  <c r="Y5" i="107" s="1"/>
  <c r="W5" i="107"/>
  <c r="Z5" i="107" s="1"/>
  <c r="P5" i="107"/>
  <c r="Q6" i="107"/>
  <c r="P6" i="107"/>
  <c r="T6" i="107"/>
  <c r="Z10" i="107" l="1"/>
  <c r="Y10" i="107"/>
  <c r="AA5" i="107"/>
  <c r="Y4" i="107"/>
  <c r="Z4" i="107"/>
  <c r="Y15" i="107"/>
  <c r="Z15" i="107"/>
  <c r="AA15" i="107" s="1"/>
  <c r="M17" i="107"/>
  <c r="R17" i="107"/>
  <c r="W11" i="107"/>
  <c r="R11" i="107"/>
  <c r="T11" i="107"/>
  <c r="N11" i="107"/>
  <c r="Q11" i="107"/>
  <c r="U12" i="107"/>
  <c r="V12" i="107"/>
  <c r="M12" i="107"/>
  <c r="Q12" i="107"/>
  <c r="N12" i="107"/>
  <c r="T12" i="107"/>
  <c r="M22" i="107"/>
  <c r="P22" i="107"/>
  <c r="U22" i="107"/>
  <c r="V22" i="107"/>
  <c r="S22" i="107"/>
  <c r="N22" i="107"/>
  <c r="Q22" i="107"/>
  <c r="S15" i="107"/>
  <c r="Q15" i="107"/>
  <c r="R15" i="107"/>
  <c r="U17" i="107"/>
  <c r="U11" i="107"/>
  <c r="R12" i="107"/>
  <c r="Z12" i="107" s="1"/>
  <c r="P12" i="107"/>
  <c r="M15" i="107"/>
  <c r="S12" i="107"/>
  <c r="U19" i="107"/>
  <c r="V19" i="107"/>
  <c r="W19" i="107"/>
  <c r="S19" i="107"/>
  <c r="P19" i="107"/>
  <c r="S4" i="107"/>
  <c r="P4" i="107"/>
  <c r="R4" i="107"/>
  <c r="Q4" i="107"/>
  <c r="U13" i="107"/>
  <c r="V13" i="107"/>
  <c r="AA13" i="107" s="1"/>
  <c r="M13" i="107"/>
  <c r="P13" i="107"/>
  <c r="N13" i="107"/>
  <c r="Q13" i="107"/>
  <c r="S16" i="107"/>
  <c r="N16" i="107"/>
  <c r="P16" i="107"/>
  <c r="U16" i="107"/>
  <c r="V16" i="107"/>
  <c r="Q16" i="107"/>
  <c r="V17" i="107"/>
  <c r="V11" i="107"/>
  <c r="U15" i="107"/>
  <c r="R16" i="107"/>
  <c r="R13" i="107"/>
  <c r="V20" i="107"/>
  <c r="U20" i="107"/>
  <c r="R6" i="107"/>
  <c r="R14" i="107"/>
  <c r="Q5" i="107"/>
  <c r="P20" i="107"/>
  <c r="N6" i="107"/>
  <c r="S20" i="107"/>
  <c r="V8" i="107"/>
  <c r="U8" i="107"/>
  <c r="R21" i="107"/>
  <c r="W21" i="107"/>
  <c r="M21" i="107"/>
  <c r="Q8" i="107"/>
  <c r="T8" i="107"/>
  <c r="N10" i="107"/>
  <c r="M8" i="107"/>
  <c r="S10" i="107"/>
  <c r="Q10" i="107"/>
  <c r="T10" i="107"/>
  <c r="P8" i="107"/>
  <c r="M10" i="107"/>
  <c r="S17" i="107"/>
  <c r="W18" i="107"/>
  <c r="AA18" i="107" s="1"/>
  <c r="P10" i="107"/>
  <c r="AA10" i="107" s="1"/>
  <c r="Q17" i="107"/>
  <c r="T17" i="107"/>
  <c r="Q21" i="107"/>
  <c r="T21" i="107"/>
  <c r="W8" i="107"/>
  <c r="N17" i="107"/>
  <c r="S8" i="107"/>
  <c r="S18" i="107"/>
  <c r="P17" i="107"/>
  <c r="P21" i="107"/>
  <c r="M18" i="107"/>
  <c r="P15" i="107"/>
  <c r="Q18" i="107"/>
  <c r="T18" i="107"/>
  <c r="P18" i="107"/>
  <c r="W16" i="107"/>
  <c r="M16" i="107"/>
  <c r="P11" i="107"/>
  <c r="M11" i="107"/>
  <c r="S11" i="107"/>
  <c r="S21" i="107"/>
  <c r="AA21" i="107" s="1"/>
  <c r="N20" i="107"/>
  <c r="Y16" i="107" l="1"/>
  <c r="Z16" i="107"/>
  <c r="AA16" i="107" s="1"/>
  <c r="Z8" i="107"/>
  <c r="Y8" i="107"/>
  <c r="Z17" i="107"/>
  <c r="Y17" i="107"/>
  <c r="AA17" i="107" s="1"/>
  <c r="Y11" i="107"/>
  <c r="Z11" i="107"/>
  <c r="AA12" i="107"/>
  <c r="AA14" i="107"/>
  <c r="AA4" i="107"/>
  <c r="F3" i="107"/>
  <c r="G3" i="107"/>
  <c r="H3" i="107"/>
  <c r="I3" i="107"/>
  <c r="J3" i="107"/>
  <c r="K3" i="107"/>
  <c r="B3" i="107"/>
  <c r="C3" i="107"/>
  <c r="D3" i="107"/>
  <c r="E3" i="107"/>
  <c r="AA11" i="107" l="1"/>
  <c r="AA8" i="107"/>
  <c r="AA20" i="107"/>
  <c r="Y2" i="107"/>
  <c r="Z2" i="107"/>
  <c r="N8" i="104" l="1"/>
  <c r="O8" i="104" s="1"/>
  <c r="P8" i="104"/>
  <c r="N7" i="104" l="1"/>
  <c r="O7" i="104" s="1"/>
  <c r="P7" i="104"/>
  <c r="M7" i="103" l="1"/>
  <c r="N7" i="103" s="1"/>
  <c r="O7" i="103" s="1"/>
  <c r="P7" i="103" s="1"/>
  <c r="P6" i="104" l="1"/>
  <c r="O6" i="104"/>
  <c r="P5" i="104"/>
  <c r="O5" i="104"/>
  <c r="C19" i="85" l="1"/>
  <c r="A19" i="85"/>
  <c r="D19" i="85" l="1"/>
  <c r="J11" i="108"/>
  <c r="J4" i="108"/>
  <c r="J22" i="108"/>
  <c r="J20" i="108"/>
  <c r="J16" i="108"/>
  <c r="J21" i="108"/>
  <c r="J13" i="108"/>
  <c r="J8" i="108"/>
  <c r="J18" i="108"/>
  <c r="J6" i="108"/>
  <c r="J5" i="108"/>
  <c r="J12" i="108"/>
  <c r="J7" i="108"/>
  <c r="J14" i="108"/>
  <c r="J15" i="108"/>
  <c r="J10" i="108"/>
  <c r="U17" i="49" l="1"/>
  <c r="U20" i="49"/>
  <c r="M9" i="106" l="1"/>
  <c r="M8" i="106"/>
  <c r="L3" i="106" l="1"/>
  <c r="L4" i="106"/>
  <c r="L5" i="106"/>
  <c r="L6" i="106"/>
  <c r="L7" i="106"/>
  <c r="L8" i="106"/>
  <c r="L9" i="106"/>
  <c r="L10" i="106"/>
  <c r="L11" i="106"/>
  <c r="L12" i="106"/>
  <c r="L2" i="106"/>
  <c r="C4" i="106"/>
  <c r="S5" i="106"/>
  <c r="C2" i="106"/>
  <c r="N13" i="105" l="1"/>
  <c r="T6" i="105"/>
  <c r="F6" i="95" l="1"/>
  <c r="G6" i="95" s="1"/>
  <c r="F7" i="95"/>
  <c r="G7" i="95" s="1"/>
  <c r="F8" i="95"/>
  <c r="G8" i="95" s="1"/>
  <c r="F9" i="95"/>
  <c r="G9" i="95" s="1"/>
  <c r="F10" i="95"/>
  <c r="G10" i="95" s="1"/>
  <c r="F11" i="95"/>
  <c r="G11" i="95" s="1"/>
  <c r="F12" i="95"/>
  <c r="G12" i="95" s="1"/>
  <c r="F13" i="95"/>
  <c r="G13" i="95" s="1"/>
  <c r="F14" i="95"/>
  <c r="G14" i="95" s="1"/>
  <c r="F15" i="95"/>
  <c r="G15" i="95" s="1"/>
  <c r="F16" i="95"/>
  <c r="G16" i="95" s="1"/>
  <c r="F17" i="95"/>
  <c r="G17" i="95" s="1"/>
  <c r="F18" i="95"/>
  <c r="G18" i="95" s="1"/>
  <c r="F19" i="95"/>
  <c r="G19" i="95" s="1"/>
  <c r="F20" i="95"/>
  <c r="G20" i="95" s="1"/>
  <c r="F5" i="95"/>
  <c r="G5" i="95" s="1"/>
  <c r="AQ8" i="32" l="1"/>
  <c r="AQ9" i="32"/>
  <c r="AQ10" i="32"/>
  <c r="AQ11" i="32"/>
  <c r="AQ7" i="32"/>
  <c r="AQ12" i="32"/>
  <c r="AQ13" i="32"/>
  <c r="AQ14" i="32"/>
  <c r="AQ15" i="32"/>
  <c r="AQ16" i="32"/>
  <c r="AQ17" i="32"/>
  <c r="AQ18" i="32"/>
  <c r="AQ19" i="32"/>
  <c r="AQ21" i="32"/>
  <c r="AQ22" i="32"/>
  <c r="AQ23" i="32"/>
  <c r="AQ6" i="32"/>
  <c r="AQ5" i="32"/>
  <c r="K4" i="104" l="1"/>
  <c r="G16" i="103"/>
  <c r="E14" i="103"/>
  <c r="F14" i="103" s="1"/>
  <c r="D16" i="103"/>
  <c r="D17" i="103"/>
  <c r="E17" i="103" s="1"/>
  <c r="F17" i="103" s="1"/>
  <c r="G17" i="103" s="1"/>
  <c r="D18" i="103"/>
  <c r="E18" i="103" s="1"/>
  <c r="F18" i="103" s="1"/>
  <c r="G18" i="103" s="1"/>
  <c r="H18" i="103" s="1"/>
  <c r="I18" i="103" s="1"/>
  <c r="J18" i="103" s="1"/>
  <c r="K18" i="103" s="1"/>
  <c r="L18" i="103" s="1"/>
  <c r="M18" i="103" s="1"/>
  <c r="N18" i="103" s="1"/>
  <c r="O18" i="103" s="1"/>
  <c r="P18" i="103" s="1"/>
  <c r="Q18" i="103" s="1"/>
  <c r="D19" i="103"/>
  <c r="E19" i="103" s="1"/>
  <c r="F19" i="103" s="1"/>
  <c r="G19" i="103" s="1"/>
  <c r="D20" i="103"/>
  <c r="E20" i="103" s="1"/>
  <c r="F20" i="103" s="1"/>
  <c r="G20" i="103" s="1"/>
  <c r="D22" i="103"/>
  <c r="E22" i="103" s="1"/>
  <c r="F22" i="103" s="1"/>
  <c r="G22" i="103" s="1"/>
  <c r="H22" i="103" s="1"/>
  <c r="I22" i="103" s="1"/>
  <c r="J22" i="103" s="1"/>
  <c r="K22" i="103" s="1"/>
  <c r="L22" i="103" s="1"/>
  <c r="M22" i="103" s="1"/>
  <c r="N22" i="103" s="1"/>
  <c r="O22" i="103" s="1"/>
  <c r="P22" i="103" s="1"/>
  <c r="Q22" i="103" s="1"/>
  <c r="C18" i="104"/>
  <c r="F16" i="104"/>
  <c r="F15" i="104"/>
  <c r="C15" i="104"/>
  <c r="C14" i="104"/>
  <c r="F13" i="104"/>
  <c r="C12" i="104"/>
  <c r="P4" i="104"/>
  <c r="C13" i="104" s="1"/>
  <c r="O4" i="104"/>
  <c r="F12" i="104" s="1"/>
  <c r="F14" i="104"/>
  <c r="S42" i="103"/>
  <c r="Q42" i="103"/>
  <c r="P42" i="103"/>
  <c r="O42" i="103"/>
  <c r="N42" i="103"/>
  <c r="M42" i="103"/>
  <c r="L42" i="103"/>
  <c r="K42" i="103"/>
  <c r="J42" i="103"/>
  <c r="I42" i="103"/>
  <c r="H42" i="103"/>
  <c r="G42" i="103"/>
  <c r="F42" i="103"/>
  <c r="E42" i="103"/>
  <c r="D42" i="103"/>
  <c r="D30" i="103"/>
  <c r="S29" i="103"/>
  <c r="Q29" i="103"/>
  <c r="P29" i="103"/>
  <c r="O29" i="103"/>
  <c r="N29" i="103"/>
  <c r="M29" i="103"/>
  <c r="L29" i="103"/>
  <c r="K29" i="103"/>
  <c r="J29" i="103"/>
  <c r="I29" i="103"/>
  <c r="H29" i="103"/>
  <c r="G29" i="103"/>
  <c r="F29" i="103"/>
  <c r="E29" i="103"/>
  <c r="D29" i="103"/>
  <c r="Q26" i="103"/>
  <c r="O26" i="103"/>
  <c r="N26" i="103"/>
  <c r="M26" i="103"/>
  <c r="L26" i="103"/>
  <c r="J26" i="103"/>
  <c r="I26" i="103"/>
  <c r="G26" i="103"/>
  <c r="F26" i="103"/>
  <c r="E26" i="103"/>
  <c r="D26" i="103"/>
  <c r="B22" i="103"/>
  <c r="B18" i="103"/>
  <c r="B17" i="103"/>
  <c r="B15" i="103"/>
  <c r="B14" i="103"/>
  <c r="Q13" i="103"/>
  <c r="O13" i="103"/>
  <c r="N13" i="103"/>
  <c r="M13" i="103"/>
  <c r="L13" i="103"/>
  <c r="J13" i="103"/>
  <c r="I13" i="103"/>
  <c r="G13" i="103"/>
  <c r="F13" i="103"/>
  <c r="E13" i="103"/>
  <c r="D13" i="103"/>
  <c r="C12" i="103"/>
  <c r="C29" i="104" s="1"/>
  <c r="C10" i="103"/>
  <c r="C32" i="104" s="1"/>
  <c r="C9" i="103"/>
  <c r="C8" i="103"/>
  <c r="C7" i="103"/>
  <c r="C31" i="104" s="1"/>
  <c r="P26" i="103"/>
  <c r="K26" i="103"/>
  <c r="H26" i="103"/>
  <c r="C6" i="103"/>
  <c r="C30" i="104" s="1"/>
  <c r="E4" i="103"/>
  <c r="F4" i="103" s="1"/>
  <c r="G4" i="103" s="1"/>
  <c r="H4" i="103" s="1"/>
  <c r="I4" i="103" s="1"/>
  <c r="J4" i="103" s="1"/>
  <c r="K4" i="103" s="1"/>
  <c r="L4" i="103" s="1"/>
  <c r="M4" i="103" s="1"/>
  <c r="N4" i="103" s="1"/>
  <c r="O4" i="103" s="1"/>
  <c r="P4" i="103" s="1"/>
  <c r="Q4" i="103" s="1"/>
  <c r="D31" i="103" l="1"/>
  <c r="R18" i="103"/>
  <c r="R22" i="103"/>
  <c r="S22" i="103" s="1"/>
  <c r="C22" i="103" s="1"/>
  <c r="F33" i="104" s="1"/>
  <c r="R4" i="103"/>
  <c r="S4" i="103" s="1"/>
  <c r="F30" i="103"/>
  <c r="F31" i="103" s="1"/>
  <c r="H17" i="103"/>
  <c r="I17" i="103" s="1"/>
  <c r="J17" i="103" s="1"/>
  <c r="K17" i="103" s="1"/>
  <c r="L17" i="103" s="1"/>
  <c r="M17" i="103" s="1"/>
  <c r="N17" i="103" s="1"/>
  <c r="O17" i="103" s="1"/>
  <c r="P17" i="103" s="1"/>
  <c r="Q17" i="103" s="1"/>
  <c r="H20" i="103"/>
  <c r="I20" i="103" s="1"/>
  <c r="J20" i="103" s="1"/>
  <c r="K20" i="103" s="1"/>
  <c r="L20" i="103" s="1"/>
  <c r="M20" i="103" s="1"/>
  <c r="N20" i="103" s="1"/>
  <c r="O20" i="103" s="1"/>
  <c r="P20" i="103" s="1"/>
  <c r="Q20" i="103" s="1"/>
  <c r="G30" i="103"/>
  <c r="G31" i="103" s="1"/>
  <c r="H16" i="103"/>
  <c r="K21" i="103"/>
  <c r="N21" i="103" s="1"/>
  <c r="H19" i="103"/>
  <c r="I19" i="103" s="1"/>
  <c r="J19" i="103" s="1"/>
  <c r="K19" i="103" s="1"/>
  <c r="L19" i="103" s="1"/>
  <c r="M19" i="103" s="1"/>
  <c r="N19" i="103" s="1"/>
  <c r="O19" i="103" s="1"/>
  <c r="P19" i="103" s="1"/>
  <c r="Q19" i="103" s="1"/>
  <c r="E30" i="103"/>
  <c r="E31" i="103" s="1"/>
  <c r="C19" i="104"/>
  <c r="C11" i="104"/>
  <c r="K13" i="103"/>
  <c r="C29" i="103"/>
  <c r="H13" i="103"/>
  <c r="P13" i="103"/>
  <c r="R17" i="103" l="1"/>
  <c r="S18" i="103"/>
  <c r="C18" i="103" s="1"/>
  <c r="F31" i="104" s="1"/>
  <c r="R19" i="103"/>
  <c r="C20" i="103"/>
  <c r="S26" i="103"/>
  <c r="S13" i="103"/>
  <c r="C11" i="103"/>
  <c r="C28" i="104" s="1"/>
  <c r="C27" i="104" s="1"/>
  <c r="H27" i="103"/>
  <c r="H28" i="103" s="1"/>
  <c r="H23" i="103"/>
  <c r="H30" i="103"/>
  <c r="H31" i="103" s="1"/>
  <c r="I16" i="103"/>
  <c r="C21" i="103"/>
  <c r="F32" i="104" s="1"/>
  <c r="C13" i="103"/>
  <c r="Z8" i="103" s="1"/>
  <c r="C17" i="104"/>
  <c r="S19" i="103" l="1"/>
  <c r="C19" i="103" s="1"/>
  <c r="F20" i="104" s="1"/>
  <c r="F19" i="104" s="1"/>
  <c r="S17" i="103"/>
  <c r="C17" i="103" s="1"/>
  <c r="F30" i="104" s="1"/>
  <c r="C26" i="103"/>
  <c r="F25" i="104"/>
  <c r="J16" i="103"/>
  <c r="I30" i="103"/>
  <c r="I31" i="103" s="1"/>
  <c r="Z9" i="103"/>
  <c r="Z10" i="103"/>
  <c r="Z12" i="103"/>
  <c r="Z7" i="103"/>
  <c r="Y14" i="103"/>
  <c r="Z6" i="103"/>
  <c r="Z11" i="103"/>
  <c r="K16" i="103" l="1"/>
  <c r="J30" i="103"/>
  <c r="J31" i="103" s="1"/>
  <c r="Z13" i="103"/>
  <c r="K30" i="103" l="1"/>
  <c r="K31" i="103" s="1"/>
  <c r="L16" i="103"/>
  <c r="S11" i="100"/>
  <c r="L30" i="103" l="1"/>
  <c r="L31" i="103" s="1"/>
  <c r="M16" i="103"/>
  <c r="N16" i="103" l="1"/>
  <c r="M30" i="103"/>
  <c r="M31" i="103" s="1"/>
  <c r="P6" i="100"/>
  <c r="O16" i="103" l="1"/>
  <c r="N30" i="103"/>
  <c r="N31" i="103" s="1"/>
  <c r="O30" i="103" l="1"/>
  <c r="O31" i="103" s="1"/>
  <c r="P16" i="103"/>
  <c r="P30" i="103" l="1"/>
  <c r="P31" i="103" s="1"/>
  <c r="Q16" i="103"/>
  <c r="R16" i="103" s="1"/>
  <c r="R30" i="103" l="1"/>
  <c r="R31" i="103" s="1"/>
  <c r="Q30" i="103"/>
  <c r="Q31" i="103" s="1"/>
  <c r="S16" i="103" l="1"/>
  <c r="C14" i="103" l="1"/>
  <c r="F28" i="104" s="1"/>
  <c r="S30" i="103"/>
  <c r="S31" i="103" s="1"/>
  <c r="C16" i="103"/>
  <c r="L14" i="100"/>
  <c r="J23" i="108" l="1"/>
  <c r="F24" i="104"/>
  <c r="F23" i="104" s="1"/>
  <c r="C30" i="103"/>
  <c r="C31" i="103" s="1"/>
  <c r="A18" i="102" l="1"/>
  <c r="K6" i="102" s="1"/>
  <c r="C18" i="102"/>
  <c r="D18" i="102"/>
  <c r="K2" i="102"/>
  <c r="K3" i="102"/>
  <c r="K4" i="102"/>
  <c r="K9" i="102"/>
  <c r="K10" i="102"/>
  <c r="K11" i="102"/>
  <c r="K7" i="102"/>
  <c r="K8" i="102"/>
  <c r="H1" i="102"/>
  <c r="F1" i="102"/>
  <c r="G1" i="102"/>
  <c r="E1" i="102"/>
  <c r="D1" i="102"/>
  <c r="C1" i="102"/>
  <c r="A1" i="102"/>
  <c r="K5" i="102" l="1"/>
  <c r="P3" i="96" l="1"/>
  <c r="P6" i="101" l="1"/>
  <c r="O6" i="101"/>
  <c r="P5" i="101" l="1"/>
  <c r="O5" i="101"/>
  <c r="K6" i="100"/>
  <c r="P4" i="101"/>
  <c r="N4" i="101"/>
  <c r="O4" i="101" s="1"/>
  <c r="Q3" i="94" l="1"/>
  <c r="J2" i="106" s="1"/>
  <c r="P3" i="94"/>
  <c r="O3" i="94"/>
  <c r="N3" i="94"/>
  <c r="M3" i="94"/>
  <c r="L3" i="94"/>
  <c r="K3" i="94"/>
  <c r="J3" i="94"/>
  <c r="F4" i="94"/>
  <c r="F5" i="94"/>
  <c r="F6" i="94"/>
  <c r="F7" i="94"/>
  <c r="F8" i="94"/>
  <c r="F9" i="94"/>
  <c r="F10" i="94"/>
  <c r="F11" i="94"/>
  <c r="F12" i="94"/>
  <c r="F13" i="94"/>
  <c r="F14" i="94"/>
  <c r="F15" i="94"/>
  <c r="F16" i="94"/>
  <c r="F17" i="94"/>
  <c r="F18" i="94"/>
  <c r="F19" i="94"/>
  <c r="F20" i="94"/>
  <c r="F21" i="94"/>
  <c r="F3" i="94"/>
  <c r="B3" i="94"/>
  <c r="A3" i="94"/>
  <c r="P4" i="86"/>
  <c r="AH4" i="86" s="1"/>
  <c r="O4" i="86"/>
  <c r="N4" i="86"/>
  <c r="AF4" i="86" s="1"/>
  <c r="M4" i="86"/>
  <c r="AE4" i="86" s="1"/>
  <c r="L4" i="86"/>
  <c r="K4" i="86"/>
  <c r="AC4" i="86" s="1"/>
  <c r="J4" i="86"/>
  <c r="AB4" i="86" s="1"/>
  <c r="I4" i="86"/>
  <c r="E4" i="86"/>
  <c r="D4" i="86"/>
  <c r="BF18" i="86" s="1"/>
  <c r="X2" i="32"/>
  <c r="T2" i="32"/>
  <c r="Q2" i="32"/>
  <c r="M2" i="32"/>
  <c r="I2" i="32"/>
  <c r="S3" i="94" l="1"/>
  <c r="H3" i="105"/>
  <c r="G2" i="106"/>
  <c r="C3" i="105"/>
  <c r="B2" i="106"/>
  <c r="E3" i="105"/>
  <c r="D2" i="106"/>
  <c r="I3" i="105"/>
  <c r="H2" i="106"/>
  <c r="F3" i="105"/>
  <c r="E2" i="106"/>
  <c r="J3" i="105"/>
  <c r="I2" i="106"/>
  <c r="G3" i="105"/>
  <c r="F2" i="106"/>
  <c r="BX3" i="94"/>
  <c r="BT3" i="94"/>
  <c r="BU3" i="94"/>
  <c r="BW3" i="94"/>
  <c r="BV3" i="94"/>
  <c r="K3" i="105"/>
  <c r="BF4" i="86"/>
  <c r="AR4" i="86"/>
  <c r="AR18" i="86"/>
  <c r="V2" i="32" l="1"/>
  <c r="L15" i="100"/>
  <c r="M15" i="100" s="1"/>
  <c r="N15" i="100" s="1"/>
  <c r="O15" i="100" s="1"/>
  <c r="P15" i="100" s="1"/>
  <c r="Q15" i="100" s="1"/>
  <c r="R15" i="100" s="1"/>
  <c r="S15" i="100" s="1"/>
  <c r="D15" i="103" s="1"/>
  <c r="D27" i="103" l="1"/>
  <c r="D28" i="103" s="1"/>
  <c r="E15" i="103"/>
  <c r="D23" i="103"/>
  <c r="W29" i="86"/>
  <c r="X30" i="86" s="1"/>
  <c r="F15" i="103" l="1"/>
  <c r="E23" i="103"/>
  <c r="E27" i="103"/>
  <c r="E28" i="103" s="1"/>
  <c r="H7" i="100"/>
  <c r="H6" i="100"/>
  <c r="P14" i="100"/>
  <c r="G15" i="103" l="1"/>
  <c r="F23" i="103"/>
  <c r="F27" i="103"/>
  <c r="F28" i="103" s="1"/>
  <c r="W5" i="32"/>
  <c r="F18" i="102"/>
  <c r="S5" i="32"/>
  <c r="R5" i="32"/>
  <c r="N5" i="32"/>
  <c r="L5" i="32"/>
  <c r="K5" i="32"/>
  <c r="I15" i="103" l="1"/>
  <c r="G23" i="103"/>
  <c r="G27" i="103"/>
  <c r="G28" i="103" s="1"/>
  <c r="B18" i="102"/>
  <c r="G18" i="102"/>
  <c r="H18" i="102"/>
  <c r="E18" i="102"/>
  <c r="J15" i="103" l="1"/>
  <c r="I27" i="103"/>
  <c r="I28" i="103" s="1"/>
  <c r="I23" i="103"/>
  <c r="M12" i="102"/>
  <c r="K15" i="103" l="1"/>
  <c r="J23" i="103"/>
  <c r="J27" i="103"/>
  <c r="J28" i="103" s="1"/>
  <c r="AD2" i="32"/>
  <c r="L15" i="103" l="1"/>
  <c r="K23" i="103"/>
  <c r="K27" i="103"/>
  <c r="K28" i="103" s="1"/>
  <c r="N12" i="102"/>
  <c r="O12" i="102" s="1"/>
  <c r="F6" i="100"/>
  <c r="M15" i="103" l="1"/>
  <c r="L27" i="103"/>
  <c r="L28" i="103" s="1"/>
  <c r="L23" i="103"/>
  <c r="Y2" i="32"/>
  <c r="N15" i="103" l="1"/>
  <c r="M23" i="103"/>
  <c r="M27" i="103"/>
  <c r="M28" i="103" s="1"/>
  <c r="F21" i="101"/>
  <c r="C18" i="101"/>
  <c r="F16" i="101"/>
  <c r="F15" i="101"/>
  <c r="C15" i="101"/>
  <c r="C14" i="101"/>
  <c r="F13" i="101"/>
  <c r="C13" i="101"/>
  <c r="F12" i="101"/>
  <c r="C12" i="101"/>
  <c r="C19" i="101"/>
  <c r="S42" i="100"/>
  <c r="R42" i="100"/>
  <c r="Q42" i="100"/>
  <c r="P42" i="100"/>
  <c r="O42" i="100"/>
  <c r="N42" i="100"/>
  <c r="M42" i="100"/>
  <c r="L42" i="100"/>
  <c r="K42" i="100"/>
  <c r="J42" i="100"/>
  <c r="I42" i="100"/>
  <c r="H42" i="100"/>
  <c r="G42" i="100"/>
  <c r="F42" i="100"/>
  <c r="E42" i="100"/>
  <c r="D42" i="100"/>
  <c r="D30" i="100"/>
  <c r="S29" i="100"/>
  <c r="R29" i="100"/>
  <c r="Q29" i="100"/>
  <c r="P29" i="100"/>
  <c r="O29" i="100"/>
  <c r="N29" i="100"/>
  <c r="M29" i="100"/>
  <c r="L29" i="100"/>
  <c r="K29" i="100"/>
  <c r="J29" i="100"/>
  <c r="I29" i="100"/>
  <c r="H29" i="100"/>
  <c r="G29" i="100"/>
  <c r="F29" i="100"/>
  <c r="E29" i="100"/>
  <c r="D29" i="100"/>
  <c r="D31" i="100" s="1"/>
  <c r="D27" i="100"/>
  <c r="S26" i="100"/>
  <c r="Q26" i="100"/>
  <c r="O26" i="100"/>
  <c r="N26" i="100"/>
  <c r="M26" i="100"/>
  <c r="L26" i="100"/>
  <c r="K26" i="100"/>
  <c r="J26" i="100"/>
  <c r="I26" i="100"/>
  <c r="H26" i="100"/>
  <c r="G26" i="100"/>
  <c r="F26" i="100"/>
  <c r="E26" i="100"/>
  <c r="D26" i="100"/>
  <c r="D23" i="100"/>
  <c r="B22" i="100"/>
  <c r="C21" i="100"/>
  <c r="F32" i="101" s="1"/>
  <c r="B18" i="100"/>
  <c r="B17" i="100"/>
  <c r="E30" i="100"/>
  <c r="E23" i="100"/>
  <c r="B15" i="100"/>
  <c r="B14" i="100"/>
  <c r="S13" i="100"/>
  <c r="Q13" i="100"/>
  <c r="O13" i="100"/>
  <c r="N13" i="100"/>
  <c r="M13" i="100"/>
  <c r="L13" i="100"/>
  <c r="K13" i="100"/>
  <c r="J13" i="100"/>
  <c r="I13" i="100"/>
  <c r="H13" i="100"/>
  <c r="G13" i="100"/>
  <c r="F13" i="100"/>
  <c r="E13" i="100"/>
  <c r="D13" i="100"/>
  <c r="C12" i="100"/>
  <c r="C29" i="101" s="1"/>
  <c r="C11" i="100"/>
  <c r="C28" i="101" s="1"/>
  <c r="C10" i="100"/>
  <c r="C32" i="101" s="1"/>
  <c r="C9" i="100"/>
  <c r="C8" i="100"/>
  <c r="C7" i="100"/>
  <c r="C31" i="101" s="1"/>
  <c r="P26" i="100"/>
  <c r="K4" i="100"/>
  <c r="L4" i="100" s="1"/>
  <c r="M4" i="100" s="1"/>
  <c r="N4" i="100" s="1"/>
  <c r="O4" i="100" s="1"/>
  <c r="P4" i="100" s="1"/>
  <c r="Q4" i="100" s="1"/>
  <c r="R4" i="100" s="1"/>
  <c r="S4" i="100" s="1"/>
  <c r="E4" i="100"/>
  <c r="F4" i="100" s="1"/>
  <c r="G4" i="100" s="1"/>
  <c r="H4" i="100" s="1"/>
  <c r="I4" i="100" s="1"/>
  <c r="Q21" i="91"/>
  <c r="P6" i="91"/>
  <c r="P7" i="92"/>
  <c r="N7" i="92"/>
  <c r="O7" i="92" s="1"/>
  <c r="R6" i="91"/>
  <c r="O15" i="103" l="1"/>
  <c r="N27" i="103"/>
  <c r="N28" i="103" s="1"/>
  <c r="N23" i="103"/>
  <c r="C11" i="101"/>
  <c r="D28" i="100"/>
  <c r="C17" i="101"/>
  <c r="F14" i="101"/>
  <c r="R13" i="100"/>
  <c r="R26" i="100"/>
  <c r="C6" i="100"/>
  <c r="C30" i="101" s="1"/>
  <c r="C27" i="101" s="1"/>
  <c r="E31" i="100"/>
  <c r="F23" i="100"/>
  <c r="E27" i="100"/>
  <c r="E28" i="100" s="1"/>
  <c r="P13" i="100"/>
  <c r="C29" i="100"/>
  <c r="P15" i="103" l="1"/>
  <c r="O23" i="103"/>
  <c r="O27" i="103"/>
  <c r="O28" i="103" s="1"/>
  <c r="C13" i="100"/>
  <c r="Z7" i="100" s="1"/>
  <c r="C18" i="100"/>
  <c r="F31" i="101" s="1"/>
  <c r="C22" i="100"/>
  <c r="F33" i="101" s="1"/>
  <c r="C17" i="100"/>
  <c r="F30" i="101" s="1"/>
  <c r="C26" i="100"/>
  <c r="F30" i="100"/>
  <c r="F31" i="100" s="1"/>
  <c r="C14" i="100"/>
  <c r="F28" i="101" s="1"/>
  <c r="C19" i="100"/>
  <c r="F20" i="101" s="1"/>
  <c r="F19" i="101" s="1"/>
  <c r="C20" i="100"/>
  <c r="F27" i="100"/>
  <c r="F28" i="100" s="1"/>
  <c r="Q15" i="103" l="1"/>
  <c r="P27" i="103"/>
  <c r="P28" i="103" s="1"/>
  <c r="P23" i="103"/>
  <c r="F25" i="101"/>
  <c r="Y14" i="100"/>
  <c r="Z11" i="100"/>
  <c r="Z9" i="100"/>
  <c r="Z8" i="100"/>
  <c r="Z6" i="100"/>
  <c r="Z12" i="100"/>
  <c r="Z10" i="100"/>
  <c r="G27" i="100"/>
  <c r="G28" i="100" s="1"/>
  <c r="G23" i="100"/>
  <c r="G30" i="100"/>
  <c r="G31" i="100" s="1"/>
  <c r="R15" i="103" l="1"/>
  <c r="Q23" i="103"/>
  <c r="Q27" i="103"/>
  <c r="Q28" i="103" s="1"/>
  <c r="Z13" i="100"/>
  <c r="H23" i="100"/>
  <c r="H27" i="100"/>
  <c r="H28" i="100" s="1"/>
  <c r="H30" i="100"/>
  <c r="H31" i="100" s="1"/>
  <c r="S15" i="103" l="1"/>
  <c r="R27" i="103"/>
  <c r="R28" i="103" s="1"/>
  <c r="R23" i="103"/>
  <c r="I30" i="100"/>
  <c r="I31" i="100" s="1"/>
  <c r="I23" i="100"/>
  <c r="I27" i="100"/>
  <c r="I28" i="100" s="1"/>
  <c r="S23" i="103" l="1"/>
  <c r="C23" i="103" s="1"/>
  <c r="S27" i="103"/>
  <c r="S28" i="103" s="1"/>
  <c r="C15" i="103"/>
  <c r="J23" i="100"/>
  <c r="J27" i="100"/>
  <c r="J28" i="100" s="1"/>
  <c r="J30" i="100"/>
  <c r="J31" i="100" s="1"/>
  <c r="Z25" i="103" l="1"/>
  <c r="Y34" i="103"/>
  <c r="Z29" i="103"/>
  <c r="Z27" i="103"/>
  <c r="Z30" i="103"/>
  <c r="Z26" i="103"/>
  <c r="Z23" i="103"/>
  <c r="Z32" i="103" s="1"/>
  <c r="Z31" i="103"/>
  <c r="Z28" i="103"/>
  <c r="F29" i="104"/>
  <c r="F27" i="104" s="1"/>
  <c r="Z24" i="103"/>
  <c r="C27" i="103"/>
  <c r="C28" i="103" s="1"/>
  <c r="K27" i="100"/>
  <c r="K28" i="100" s="1"/>
  <c r="K23" i="100"/>
  <c r="K30" i="100"/>
  <c r="K31" i="100" s="1"/>
  <c r="F37" i="104" l="1"/>
  <c r="F17" i="104"/>
  <c r="F11" i="104" s="1"/>
  <c r="L30" i="100"/>
  <c r="L31" i="100" s="1"/>
  <c r="L23" i="100"/>
  <c r="L27" i="100"/>
  <c r="L28" i="100" s="1"/>
  <c r="M30" i="100" l="1"/>
  <c r="M31" i="100" s="1"/>
  <c r="M23" i="100"/>
  <c r="M27" i="100"/>
  <c r="M28" i="100" s="1"/>
  <c r="L14" i="91"/>
  <c r="N30" i="100" l="1"/>
  <c r="N31" i="100" s="1"/>
  <c r="N27" i="100"/>
  <c r="N28" i="100" s="1"/>
  <c r="N23" i="100"/>
  <c r="K30" i="86"/>
  <c r="K31" i="86" s="1"/>
  <c r="O30" i="100" l="1"/>
  <c r="O31" i="100" s="1"/>
  <c r="O27" i="100"/>
  <c r="O28" i="100" s="1"/>
  <c r="O23" i="100"/>
  <c r="Q22" i="99"/>
  <c r="Q23" i="99" s="1"/>
  <c r="Q24" i="99" s="1"/>
  <c r="Q25" i="99" s="1"/>
  <c r="Q26" i="99" s="1"/>
  <c r="Q27" i="99" s="1"/>
  <c r="Q28" i="99" s="1"/>
  <c r="Q29" i="99" s="1"/>
  <c r="Q30" i="99" s="1"/>
  <c r="Q31" i="99" s="1"/>
  <c r="Q32" i="99" s="1"/>
  <c r="Q33" i="99" s="1"/>
  <c r="Q34" i="99" s="1"/>
  <c r="Q35" i="99" s="1"/>
  <c r="Q36" i="99" s="1"/>
  <c r="Q37" i="99" s="1"/>
  <c r="K22" i="99"/>
  <c r="K23" i="99" s="1"/>
  <c r="K24" i="99" s="1"/>
  <c r="K25" i="99" s="1"/>
  <c r="K26" i="99" s="1"/>
  <c r="K27" i="99" s="1"/>
  <c r="K28" i="99" s="1"/>
  <c r="K29" i="99" s="1"/>
  <c r="K30" i="99" s="1"/>
  <c r="K31" i="99" s="1"/>
  <c r="K32" i="99" s="1"/>
  <c r="K33" i="99" s="1"/>
  <c r="K34" i="99" s="1"/>
  <c r="K35" i="99" s="1"/>
  <c r="K36" i="99" s="1"/>
  <c r="K37" i="99" s="1"/>
  <c r="E22" i="99"/>
  <c r="E23" i="99" s="1"/>
  <c r="E24" i="99" s="1"/>
  <c r="E25" i="99" s="1"/>
  <c r="E26" i="99" s="1"/>
  <c r="E27" i="99" s="1"/>
  <c r="E28" i="99" s="1"/>
  <c r="E29" i="99" s="1"/>
  <c r="E30" i="99" s="1"/>
  <c r="E31" i="99" s="1"/>
  <c r="E32" i="99" s="1"/>
  <c r="E33" i="99" s="1"/>
  <c r="E34" i="99" s="1"/>
  <c r="E35" i="99" s="1"/>
  <c r="E36" i="99" s="1"/>
  <c r="E37" i="99" s="1"/>
  <c r="W2" i="99"/>
  <c r="W3" i="99" s="1"/>
  <c r="W4" i="99" s="1"/>
  <c r="W5" i="99" s="1"/>
  <c r="W6" i="99" s="1"/>
  <c r="W7" i="99" s="1"/>
  <c r="W8" i="99" s="1"/>
  <c r="W9" i="99" s="1"/>
  <c r="W10" i="99" s="1"/>
  <c r="W11" i="99" s="1"/>
  <c r="W12" i="99" s="1"/>
  <c r="W13" i="99" s="1"/>
  <c r="W14" i="99" s="1"/>
  <c r="W15" i="99" s="1"/>
  <c r="W16" i="99" s="1"/>
  <c r="W17" i="99" s="1"/>
  <c r="Q2" i="99"/>
  <c r="Q3" i="99" s="1"/>
  <c r="Q4" i="99" s="1"/>
  <c r="Q5" i="99" s="1"/>
  <c r="Q6" i="99" s="1"/>
  <c r="Q7" i="99" s="1"/>
  <c r="Q8" i="99" s="1"/>
  <c r="Q9" i="99" s="1"/>
  <c r="Q10" i="99" s="1"/>
  <c r="Q11" i="99" s="1"/>
  <c r="Q12" i="99" s="1"/>
  <c r="Q13" i="99" s="1"/>
  <c r="Q14" i="99" s="1"/>
  <c r="Q15" i="99" s="1"/>
  <c r="Q16" i="99" s="1"/>
  <c r="Q17" i="99" s="1"/>
  <c r="E2" i="99"/>
  <c r="E3" i="99" s="1"/>
  <c r="E4" i="99" s="1"/>
  <c r="E5" i="99" s="1"/>
  <c r="E6" i="99" s="1"/>
  <c r="E7" i="99" s="1"/>
  <c r="E8" i="99" s="1"/>
  <c r="E9" i="99" s="1"/>
  <c r="E10" i="99" s="1"/>
  <c r="E11" i="99" s="1"/>
  <c r="E12" i="99" s="1"/>
  <c r="E13" i="99" s="1"/>
  <c r="E14" i="99" s="1"/>
  <c r="E15" i="99" s="1"/>
  <c r="E16" i="99" s="1"/>
  <c r="E17" i="99" s="1"/>
  <c r="K2" i="99"/>
  <c r="K3" i="99" s="1"/>
  <c r="K4" i="99" s="1"/>
  <c r="K5" i="99" s="1"/>
  <c r="K6" i="99" s="1"/>
  <c r="K7" i="99" s="1"/>
  <c r="K8" i="99" s="1"/>
  <c r="K9" i="99" s="1"/>
  <c r="K10" i="99" s="1"/>
  <c r="K11" i="99" s="1"/>
  <c r="K12" i="99" s="1"/>
  <c r="K13" i="99" s="1"/>
  <c r="K14" i="99" s="1"/>
  <c r="K15" i="99" s="1"/>
  <c r="K16" i="99" s="1"/>
  <c r="K17" i="99" s="1"/>
  <c r="P30" i="100" l="1"/>
  <c r="P31" i="100" s="1"/>
  <c r="P27" i="100"/>
  <c r="P28" i="100" s="1"/>
  <c r="P23" i="100"/>
  <c r="Q30" i="100" l="1"/>
  <c r="Q31" i="100" s="1"/>
  <c r="Q27" i="100"/>
  <c r="Q28" i="100" s="1"/>
  <c r="Q23" i="100"/>
  <c r="R30" i="100" l="1"/>
  <c r="R31" i="100" s="1"/>
  <c r="R27" i="100"/>
  <c r="R28" i="100" s="1"/>
  <c r="R23" i="100"/>
  <c r="S30" i="100" l="1"/>
  <c r="S31" i="100" s="1"/>
  <c r="C16" i="100"/>
  <c r="S27" i="100"/>
  <c r="S28" i="100" s="1"/>
  <c r="S23" i="100"/>
  <c r="C23" i="100" s="1"/>
  <c r="C15" i="100"/>
  <c r="F29" i="101" s="1"/>
  <c r="F27" i="101" s="1"/>
  <c r="F17" i="101" s="1"/>
  <c r="F24" i="101" l="1"/>
  <c r="F23" i="101" s="1"/>
  <c r="F37" i="101"/>
  <c r="F11" i="101"/>
  <c r="F9" i="104" s="1"/>
  <c r="C30" i="100"/>
  <c r="C31" i="100" s="1"/>
  <c r="Z25" i="100"/>
  <c r="Z24" i="100"/>
  <c r="C27" i="100"/>
  <c r="C28" i="100" s="1"/>
  <c r="Y34" i="100"/>
  <c r="Z30" i="100"/>
  <c r="Z26" i="100"/>
  <c r="Z27" i="100"/>
  <c r="Z31" i="100"/>
  <c r="Z23" i="100"/>
  <c r="Z29" i="100"/>
  <c r="Z28" i="100"/>
  <c r="Z32" i="100" l="1"/>
  <c r="J1" i="96" l="1"/>
  <c r="K1" i="96"/>
  <c r="AR21" i="86"/>
  <c r="AD27" i="96" l="1"/>
  <c r="AD15" i="96"/>
  <c r="AD21" i="96"/>
  <c r="AD9" i="96"/>
  <c r="AF27" i="96"/>
  <c r="AF15" i="96"/>
  <c r="AF21" i="96"/>
  <c r="AF9" i="96"/>
  <c r="AF10" i="96"/>
  <c r="AF3" i="96"/>
  <c r="AF16" i="96"/>
  <c r="AF22" i="96"/>
  <c r="AF4" i="96"/>
  <c r="D1" i="96" l="1"/>
  <c r="E1" i="96"/>
  <c r="F1" i="96"/>
  <c r="G1" i="96"/>
  <c r="H1" i="96"/>
  <c r="I1" i="96"/>
  <c r="L1" i="96"/>
  <c r="C1" i="96"/>
  <c r="T16" i="96" l="1"/>
  <c r="T10" i="96"/>
  <c r="T22" i="96"/>
  <c r="R16" i="96"/>
  <c r="R10" i="96"/>
  <c r="R22" i="96"/>
  <c r="AB25" i="96"/>
  <c r="AB13" i="96"/>
  <c r="AB24" i="96"/>
  <c r="AB18" i="96"/>
  <c r="AB12" i="96"/>
  <c r="AB6" i="96"/>
  <c r="AB19" i="96"/>
  <c r="AB7" i="96"/>
  <c r="X25" i="96"/>
  <c r="X19" i="96"/>
  <c r="X13" i="96"/>
  <c r="X7" i="96"/>
  <c r="X24" i="96"/>
  <c r="X12" i="96"/>
  <c r="X18" i="96"/>
  <c r="X6" i="96"/>
  <c r="Z18" i="96"/>
  <c r="Z6" i="96"/>
  <c r="Z19" i="96"/>
  <c r="Z7" i="96"/>
  <c r="Z24" i="96"/>
  <c r="Z12" i="96"/>
  <c r="Z25" i="96"/>
  <c r="Z13" i="96"/>
  <c r="V23" i="96"/>
  <c r="V17" i="96"/>
  <c r="V11" i="96"/>
  <c r="V5" i="96"/>
  <c r="T3" i="96"/>
  <c r="T4" i="96"/>
  <c r="P10" i="96"/>
  <c r="P4" i="96"/>
  <c r="P22" i="96"/>
  <c r="P16" i="96"/>
  <c r="R4" i="96"/>
  <c r="R3" i="96"/>
  <c r="BK10" i="86" l="1"/>
  <c r="BM10" i="86"/>
  <c r="BG10" i="86"/>
  <c r="BH6" i="86"/>
  <c r="BL6" i="86"/>
  <c r="BM6" i="86"/>
  <c r="BB28" i="86"/>
  <c r="BC28" i="86"/>
  <c r="AT28" i="86"/>
  <c r="AU28" i="86"/>
  <c r="AS28" i="86"/>
  <c r="BB26" i="86"/>
  <c r="BC26" i="86"/>
  <c r="AW26" i="86"/>
  <c r="AS26" i="86"/>
  <c r="BB24" i="86"/>
  <c r="BC24" i="86"/>
  <c r="BB22" i="86"/>
  <c r="BC22" i="86"/>
  <c r="AX22" i="86"/>
  <c r="AT22" i="86"/>
  <c r="AR20" i="86"/>
  <c r="H19" i="95" l="1"/>
  <c r="H13" i="95"/>
  <c r="I16" i="95"/>
  <c r="H16" i="95"/>
  <c r="H10" i="95"/>
  <c r="H17" i="95"/>
  <c r="H18" i="95"/>
  <c r="H15" i="95"/>
  <c r="H11" i="95"/>
  <c r="I8" i="95"/>
  <c r="H8" i="95"/>
  <c r="H9" i="95"/>
  <c r="I7" i="95"/>
  <c r="H7" i="95"/>
  <c r="C1" i="95"/>
  <c r="H2" i="83" l="1"/>
  <c r="M2" i="83"/>
  <c r="P6" i="92" l="1"/>
  <c r="N6" i="92"/>
  <c r="O6" i="92" s="1"/>
  <c r="D22" i="86" l="1"/>
  <c r="P5" i="92" l="1"/>
  <c r="N5" i="92"/>
  <c r="O5" i="92" s="1"/>
  <c r="R6" i="32" l="1"/>
  <c r="E15" i="83" s="1"/>
  <c r="S6" i="32"/>
  <c r="R8" i="32"/>
  <c r="E5" i="83" s="1"/>
  <c r="S8" i="32"/>
  <c r="R9" i="32"/>
  <c r="E7" i="83" s="1"/>
  <c r="S9" i="32"/>
  <c r="R10" i="32"/>
  <c r="E12" i="83" s="1"/>
  <c r="J5" i="83" s="1"/>
  <c r="O5" i="83" s="1"/>
  <c r="S10" i="32"/>
  <c r="R11" i="32"/>
  <c r="E16" i="83" s="1"/>
  <c r="S11" i="32"/>
  <c r="R12" i="32"/>
  <c r="E4" i="83" s="1"/>
  <c r="J4" i="83" s="1"/>
  <c r="S12" i="32"/>
  <c r="R13" i="32"/>
  <c r="E9" i="83" s="1"/>
  <c r="S13" i="32"/>
  <c r="R14" i="32"/>
  <c r="E13" i="83" s="1"/>
  <c r="S14" i="32"/>
  <c r="R15" i="32"/>
  <c r="E14" i="83" s="1"/>
  <c r="S15" i="32"/>
  <c r="R16" i="32"/>
  <c r="E3" i="83" s="1"/>
  <c r="S16" i="32"/>
  <c r="R17" i="32"/>
  <c r="E6" i="83" s="1"/>
  <c r="J6" i="83" s="1"/>
  <c r="S17" i="32"/>
  <c r="R18" i="32"/>
  <c r="E17" i="83" s="1"/>
  <c r="S18" i="32"/>
  <c r="R19" i="32"/>
  <c r="E18" i="83" s="1"/>
  <c r="S19" i="32"/>
  <c r="E19" i="83"/>
  <c r="R21" i="32"/>
  <c r="E10" i="83" s="1"/>
  <c r="S21" i="32"/>
  <c r="R22" i="32"/>
  <c r="E11" i="83" s="1"/>
  <c r="S22" i="32"/>
  <c r="R23" i="32"/>
  <c r="E8" i="83" s="1"/>
  <c r="S23" i="32"/>
  <c r="S7" i="32"/>
  <c r="R7" i="32"/>
  <c r="E2" i="83" s="1"/>
  <c r="F19" i="83" l="1"/>
  <c r="F17" i="83"/>
  <c r="F14" i="83"/>
  <c r="F8" i="83"/>
  <c r="F9" i="83"/>
  <c r="F2" i="83"/>
  <c r="K2" i="83" s="1"/>
  <c r="J2" i="83"/>
  <c r="J3" i="83"/>
  <c r="O3" i="83"/>
  <c r="F7" i="83"/>
  <c r="F18" i="83"/>
  <c r="F5" i="83"/>
  <c r="F11" i="83"/>
  <c r="F10" i="83"/>
  <c r="F13" i="83"/>
  <c r="F12" i="83"/>
  <c r="K5" i="83" s="1"/>
  <c r="P5" i="83" s="1"/>
  <c r="F15" i="83"/>
  <c r="F16" i="83"/>
  <c r="F3" i="83"/>
  <c r="F4" i="83"/>
  <c r="K4" i="83" s="1"/>
  <c r="O4" i="83"/>
  <c r="F6" i="83"/>
  <c r="K6" i="83" s="1"/>
  <c r="S2" i="32"/>
  <c r="R2" i="32"/>
  <c r="H2" i="102"/>
  <c r="G2" i="102"/>
  <c r="H5" i="102"/>
  <c r="G5" i="102"/>
  <c r="H7" i="102"/>
  <c r="G7" i="102"/>
  <c r="H19" i="102"/>
  <c r="H15" i="102"/>
  <c r="G15" i="102"/>
  <c r="H8" i="102"/>
  <c r="G8" i="102"/>
  <c r="H11" i="102"/>
  <c r="G11" i="102"/>
  <c r="H12" i="102"/>
  <c r="G12" i="102"/>
  <c r="H6" i="102"/>
  <c r="G6" i="102"/>
  <c r="H10" i="102"/>
  <c r="G10" i="102"/>
  <c r="H3" i="102"/>
  <c r="G3" i="102"/>
  <c r="H13" i="102"/>
  <c r="G13" i="102"/>
  <c r="H4" i="102"/>
  <c r="G4" i="102"/>
  <c r="H17" i="102"/>
  <c r="G17" i="102"/>
  <c r="G9" i="102"/>
  <c r="H9" i="102"/>
  <c r="H16" i="102"/>
  <c r="G16" i="102"/>
  <c r="H14" i="102"/>
  <c r="G14" i="102"/>
  <c r="E4" i="102"/>
  <c r="E17" i="102"/>
  <c r="E9" i="102"/>
  <c r="E16" i="102"/>
  <c r="E14" i="102"/>
  <c r="E5" i="102"/>
  <c r="E7" i="102"/>
  <c r="E15" i="102"/>
  <c r="E8" i="102"/>
  <c r="E12" i="102"/>
  <c r="E6" i="102"/>
  <c r="E10" i="102"/>
  <c r="E3" i="102"/>
  <c r="E13" i="102"/>
  <c r="K4" i="94"/>
  <c r="M4" i="94"/>
  <c r="N4" i="94"/>
  <c r="Q4" i="94"/>
  <c r="K5" i="94"/>
  <c r="D6" i="106" s="1"/>
  <c r="M5" i="94"/>
  <c r="N5" i="94"/>
  <c r="Q5" i="94"/>
  <c r="J6" i="106" s="1"/>
  <c r="K6" i="94"/>
  <c r="D5" i="106" s="1"/>
  <c r="M6" i="94"/>
  <c r="F5" i="106" s="1"/>
  <c r="N6" i="94"/>
  <c r="G5" i="106" s="1"/>
  <c r="Q6" i="94"/>
  <c r="J5" i="106" s="1"/>
  <c r="K7" i="94"/>
  <c r="M7" i="94"/>
  <c r="N7" i="94"/>
  <c r="Q7" i="94"/>
  <c r="J4" i="106" s="1"/>
  <c r="K8" i="94"/>
  <c r="N8" i="94"/>
  <c r="Q8" i="94"/>
  <c r="K10" i="94"/>
  <c r="M10" i="94"/>
  <c r="N10" i="94"/>
  <c r="Q10" i="94"/>
  <c r="J7" i="106" s="1"/>
  <c r="K11" i="94"/>
  <c r="M11" i="94"/>
  <c r="N11" i="94"/>
  <c r="Q11" i="94"/>
  <c r="J10" i="106" s="1"/>
  <c r="K12" i="94"/>
  <c r="M12" i="94"/>
  <c r="N12" i="94"/>
  <c r="Q12" i="94"/>
  <c r="J11" i="106" s="1"/>
  <c r="K13" i="94"/>
  <c r="M13" i="94"/>
  <c r="N13" i="94"/>
  <c r="Q13" i="94"/>
  <c r="J9" i="106" s="1"/>
  <c r="K14" i="94"/>
  <c r="M14" i="94"/>
  <c r="N14" i="94"/>
  <c r="Q14" i="94"/>
  <c r="J8" i="106" s="1"/>
  <c r="K15" i="94"/>
  <c r="M15" i="94"/>
  <c r="N15" i="94"/>
  <c r="Q15" i="94"/>
  <c r="K16" i="94"/>
  <c r="E8" i="105" s="1"/>
  <c r="M16" i="94"/>
  <c r="G8" i="105" s="1"/>
  <c r="N16" i="94"/>
  <c r="H8" i="105" s="1"/>
  <c r="Q16" i="94"/>
  <c r="K17" i="94"/>
  <c r="M17" i="94"/>
  <c r="N17" i="94"/>
  <c r="Q17" i="94"/>
  <c r="K18" i="94"/>
  <c r="N18" i="94"/>
  <c r="Q18" i="94"/>
  <c r="K19" i="94"/>
  <c r="M19" i="94"/>
  <c r="N19" i="94"/>
  <c r="Q19" i="94"/>
  <c r="K20" i="94"/>
  <c r="N20" i="94"/>
  <c r="Q20" i="94"/>
  <c r="K21" i="94"/>
  <c r="M21" i="94"/>
  <c r="N21" i="94"/>
  <c r="Q21" i="94"/>
  <c r="M9" i="94"/>
  <c r="N9" i="94"/>
  <c r="K9" i="94"/>
  <c r="J4" i="94"/>
  <c r="J5" i="94"/>
  <c r="J6" i="94"/>
  <c r="J7" i="94"/>
  <c r="J8" i="94"/>
  <c r="J10" i="94"/>
  <c r="J11" i="94"/>
  <c r="J12" i="94"/>
  <c r="J13" i="94"/>
  <c r="J14" i="94"/>
  <c r="J15" i="94"/>
  <c r="J16" i="94"/>
  <c r="J17" i="94"/>
  <c r="J18" i="94"/>
  <c r="J19" i="94"/>
  <c r="J20" i="94"/>
  <c r="J21" i="94"/>
  <c r="J9" i="94"/>
  <c r="G7" i="94"/>
  <c r="H7" i="94"/>
  <c r="G3" i="94"/>
  <c r="H3" i="94"/>
  <c r="G8" i="94"/>
  <c r="H8" i="94"/>
  <c r="G10" i="94"/>
  <c r="H10" i="94"/>
  <c r="G11" i="94"/>
  <c r="H11" i="94"/>
  <c r="G12" i="94"/>
  <c r="H12" i="94"/>
  <c r="G13" i="94"/>
  <c r="H13" i="94"/>
  <c r="G14" i="94"/>
  <c r="H14" i="94"/>
  <c r="G15" i="94"/>
  <c r="H15" i="94"/>
  <c r="G16" i="94"/>
  <c r="H16" i="94"/>
  <c r="G17" i="94"/>
  <c r="H17" i="94"/>
  <c r="G18" i="94"/>
  <c r="H18" i="94"/>
  <c r="G19" i="94"/>
  <c r="H19" i="94"/>
  <c r="G20" i="94"/>
  <c r="H20" i="94"/>
  <c r="G21" i="94"/>
  <c r="H21" i="94"/>
  <c r="G9" i="94"/>
  <c r="H9" i="94"/>
  <c r="G4" i="94"/>
  <c r="H4" i="94"/>
  <c r="G5" i="94"/>
  <c r="H5" i="94"/>
  <c r="H6" i="94"/>
  <c r="A21" i="94"/>
  <c r="B21" i="94"/>
  <c r="A4" i="94"/>
  <c r="B4" i="94"/>
  <c r="D4" i="94"/>
  <c r="A5" i="94"/>
  <c r="B6" i="106" s="1"/>
  <c r="B5" i="94"/>
  <c r="D5" i="94"/>
  <c r="C6" i="106" s="1"/>
  <c r="A6" i="94"/>
  <c r="B5" i="106" s="1"/>
  <c r="B6" i="94"/>
  <c r="A7" i="94"/>
  <c r="B7" i="94"/>
  <c r="A8" i="94"/>
  <c r="B8" i="94"/>
  <c r="A10" i="94"/>
  <c r="B10" i="94"/>
  <c r="D10" i="94"/>
  <c r="A11" i="94"/>
  <c r="B11" i="94"/>
  <c r="D11" i="94"/>
  <c r="A12" i="94"/>
  <c r="B12" i="94"/>
  <c r="D12" i="94"/>
  <c r="A13" i="94"/>
  <c r="B13" i="94"/>
  <c r="D13" i="94"/>
  <c r="A14" i="94"/>
  <c r="B14" i="94"/>
  <c r="D14" i="94"/>
  <c r="A15" i="94"/>
  <c r="B15" i="94"/>
  <c r="A16" i="94"/>
  <c r="C8" i="105" s="1"/>
  <c r="B16" i="94"/>
  <c r="A17" i="94"/>
  <c r="B17" i="94"/>
  <c r="A18" i="94"/>
  <c r="B18" i="94"/>
  <c r="D18" i="94"/>
  <c r="A19" i="94"/>
  <c r="B19" i="94"/>
  <c r="D19" i="94"/>
  <c r="A20" i="94"/>
  <c r="B20" i="94"/>
  <c r="D20" i="94"/>
  <c r="D9" i="94"/>
  <c r="B9" i="94"/>
  <c r="A9" i="94"/>
  <c r="G12" i="106" l="1"/>
  <c r="H13" i="105"/>
  <c r="B12" i="106"/>
  <c r="C13" i="105"/>
  <c r="C12" i="106"/>
  <c r="D13" i="105"/>
  <c r="E13" i="105"/>
  <c r="D12" i="106"/>
  <c r="P3" i="83"/>
  <c r="K3" i="83"/>
  <c r="K13" i="105"/>
  <c r="J12" i="106"/>
  <c r="P4" i="83"/>
  <c r="D6" i="105"/>
  <c r="C3" i="106"/>
  <c r="F3" i="106"/>
  <c r="G6" i="105"/>
  <c r="B3" i="106"/>
  <c r="C6" i="105"/>
  <c r="D3" i="106"/>
  <c r="E6" i="105"/>
  <c r="H6" i="105"/>
  <c r="G3" i="106"/>
  <c r="BV9" i="94"/>
  <c r="D11" i="105"/>
  <c r="C10" i="106"/>
  <c r="H5" i="105"/>
  <c r="H9" i="105"/>
  <c r="G8" i="106"/>
  <c r="G11" i="106"/>
  <c r="H11" i="105"/>
  <c r="G10" i="106"/>
  <c r="H10" i="105"/>
  <c r="G7" i="106"/>
  <c r="F4" i="106"/>
  <c r="BV7" i="94"/>
  <c r="F6" i="106"/>
  <c r="BV5" i="94"/>
  <c r="C11" i="106"/>
  <c r="B4" i="106"/>
  <c r="G5" i="105"/>
  <c r="BV15" i="94"/>
  <c r="G7" i="105"/>
  <c r="F9" i="106"/>
  <c r="G11" i="105"/>
  <c r="F10" i="106"/>
  <c r="E4" i="105"/>
  <c r="C12" i="105"/>
  <c r="C5" i="105"/>
  <c r="D7" i="105"/>
  <c r="C9" i="106"/>
  <c r="C11" i="105"/>
  <c r="B10" i="106"/>
  <c r="H12" i="105"/>
  <c r="E5" i="105"/>
  <c r="E9" i="105"/>
  <c r="D8" i="106"/>
  <c r="E7" i="105"/>
  <c r="D9" i="106"/>
  <c r="D11" i="106"/>
  <c r="E11" i="105"/>
  <c r="D10" i="106"/>
  <c r="E10" i="105"/>
  <c r="D7" i="106"/>
  <c r="D12" i="105"/>
  <c r="C7" i="105"/>
  <c r="B9" i="106"/>
  <c r="BV21" i="94"/>
  <c r="E12" i="105"/>
  <c r="H7" i="105"/>
  <c r="G9" i="106"/>
  <c r="G4" i="105"/>
  <c r="C9" i="105"/>
  <c r="B8" i="106"/>
  <c r="G9" i="105"/>
  <c r="F8" i="106"/>
  <c r="F11" i="106"/>
  <c r="BV12" i="94"/>
  <c r="Q11" i="106" s="1"/>
  <c r="G10" i="105"/>
  <c r="F7" i="106"/>
  <c r="D4" i="106"/>
  <c r="D9" i="105"/>
  <c r="C8" i="106"/>
  <c r="B11" i="106"/>
  <c r="D10" i="105"/>
  <c r="C7" i="106"/>
  <c r="C4" i="105"/>
  <c r="G12" i="105"/>
  <c r="G4" i="106"/>
  <c r="H4" i="105"/>
  <c r="G6" i="106"/>
  <c r="BV4" i="94"/>
  <c r="C10" i="105"/>
  <c r="B7" i="106"/>
  <c r="BV19" i="94"/>
  <c r="BV13" i="94"/>
  <c r="BV17" i="94"/>
  <c r="BV14" i="94"/>
  <c r="BV6" i="94"/>
  <c r="BV10" i="94"/>
  <c r="R10" i="105" s="1"/>
  <c r="BV16" i="94"/>
  <c r="BV11" i="94"/>
  <c r="K4" i="105"/>
  <c r="K12" i="105"/>
  <c r="K8" i="105"/>
  <c r="K5" i="105"/>
  <c r="K9" i="105"/>
  <c r="K7" i="105"/>
  <c r="K11" i="105"/>
  <c r="K10" i="105"/>
  <c r="AH9" i="94"/>
  <c r="AO18" i="94"/>
  <c r="AO15" i="94"/>
  <c r="AH15" i="94"/>
  <c r="AK11" i="94"/>
  <c r="AO7" i="94"/>
  <c r="Q4" i="106" s="1"/>
  <c r="AT4" i="94"/>
  <c r="BA19" i="94"/>
  <c r="AT17" i="94"/>
  <c r="AO5" i="94"/>
  <c r="Q6" i="106" s="1"/>
  <c r="BG5" i="94"/>
  <c r="V21" i="94"/>
  <c r="W21" i="94" s="1"/>
  <c r="AK21" i="94"/>
  <c r="V14" i="94"/>
  <c r="W14" i="94" s="1"/>
  <c r="AK10" i="94"/>
  <c r="Q7" i="106" s="1"/>
  <c r="AK6" i="94"/>
  <c r="V4" i="94"/>
  <c r="W4" i="94" s="1"/>
  <c r="AH19" i="94"/>
  <c r="AK15" i="94"/>
  <c r="AT5" i="94"/>
  <c r="V15" i="94"/>
  <c r="W15" i="94" s="1"/>
  <c r="V5" i="94"/>
  <c r="W5" i="94" s="1"/>
  <c r="AD10" i="94"/>
  <c r="V11" i="94"/>
  <c r="W11" i="94" s="1"/>
  <c r="BL11" i="94"/>
  <c r="V7" i="94"/>
  <c r="W7" i="94" s="1"/>
  <c r="AH7" i="94"/>
  <c r="AK4" i="94"/>
  <c r="AO4" i="94"/>
  <c r="AO11" i="94"/>
  <c r="CK9" i="94"/>
  <c r="CA9" i="94"/>
  <c r="CD9" i="94"/>
  <c r="BQ9" i="94"/>
  <c r="BL9" i="94"/>
  <c r="BA9" i="94"/>
  <c r="BG9" i="94"/>
  <c r="AT9" i="94"/>
  <c r="AD9" i="94"/>
  <c r="AL20" i="94"/>
  <c r="AO19" i="94"/>
  <c r="CK19" i="94"/>
  <c r="BL19" i="94"/>
  <c r="CA19" i="94"/>
  <c r="BG19" i="94"/>
  <c r="AT19" i="94"/>
  <c r="AK19" i="94"/>
  <c r="CD19" i="94"/>
  <c r="AL17" i="94"/>
  <c r="AO16" i="94"/>
  <c r="V16" i="94"/>
  <c r="W16" i="94" s="1"/>
  <c r="CK16" i="94"/>
  <c r="BL16" i="94"/>
  <c r="BG16" i="94"/>
  <c r="CA16" i="94"/>
  <c r="BQ16" i="94"/>
  <c r="CD16" i="94"/>
  <c r="AT16" i="94"/>
  <c r="BA16" i="94"/>
  <c r="R8" i="105" s="1"/>
  <c r="AK16" i="94"/>
  <c r="AH16" i="94"/>
  <c r="AD16" i="94"/>
  <c r="AL13" i="94"/>
  <c r="AO12" i="94"/>
  <c r="V12" i="94"/>
  <c r="W12" i="94" s="1"/>
  <c r="CK12" i="94"/>
  <c r="BL12" i="94"/>
  <c r="CA12" i="94"/>
  <c r="BG12" i="94"/>
  <c r="BA12" i="94"/>
  <c r="AT12" i="94"/>
  <c r="CD12" i="94"/>
  <c r="AK12" i="94"/>
  <c r="BQ12" i="94"/>
  <c r="AH12" i="94"/>
  <c r="AL8" i="94"/>
  <c r="AO3" i="94"/>
  <c r="V3" i="94"/>
  <c r="W3" i="94" s="1"/>
  <c r="CK3" i="94"/>
  <c r="BL3" i="94"/>
  <c r="BG3" i="94"/>
  <c r="CA3" i="94"/>
  <c r="CD3" i="94"/>
  <c r="BQ3" i="94"/>
  <c r="AT3" i="94"/>
  <c r="AK3" i="94"/>
  <c r="AD3" i="94"/>
  <c r="BA3" i="94"/>
  <c r="AH3" i="94"/>
  <c r="AL5" i="94"/>
  <c r="V19" i="94"/>
  <c r="W19" i="94" s="1"/>
  <c r="AK9" i="94"/>
  <c r="AD19" i="94"/>
  <c r="AD12" i="94"/>
  <c r="BQ19" i="94"/>
  <c r="AL21" i="94"/>
  <c r="AO20" i="94"/>
  <c r="V20" i="94"/>
  <c r="W20" i="94" s="1"/>
  <c r="V17" i="94"/>
  <c r="W17" i="94" s="1"/>
  <c r="AO17" i="94"/>
  <c r="CK17" i="94"/>
  <c r="CD17" i="94"/>
  <c r="BQ17" i="94"/>
  <c r="BL17" i="94"/>
  <c r="CA17" i="94"/>
  <c r="BA17" i="94"/>
  <c r="BG17" i="94"/>
  <c r="AH17" i="94"/>
  <c r="AD17" i="94"/>
  <c r="AL14" i="94"/>
  <c r="AO13" i="94"/>
  <c r="V13" i="94"/>
  <c r="W13" i="94" s="1"/>
  <c r="CK13" i="94"/>
  <c r="CD13" i="94"/>
  <c r="BQ13" i="94"/>
  <c r="BL13" i="94"/>
  <c r="BA13" i="94"/>
  <c r="AH13" i="94"/>
  <c r="CA13" i="94"/>
  <c r="BG13" i="94"/>
  <c r="AK13" i="94"/>
  <c r="AT13" i="94"/>
  <c r="AD13" i="94"/>
  <c r="AL10" i="94"/>
  <c r="T7" i="106" s="1"/>
  <c r="V8" i="94"/>
  <c r="W8" i="94" s="1"/>
  <c r="AO8" i="94"/>
  <c r="AL6" i="94"/>
  <c r="CK5" i="94"/>
  <c r="CD5" i="94"/>
  <c r="BQ5" i="94"/>
  <c r="BL5" i="94"/>
  <c r="BA5" i="94"/>
  <c r="AH5" i="94"/>
  <c r="CA5" i="94"/>
  <c r="AK5" i="94"/>
  <c r="AD5" i="94"/>
  <c r="AK17" i="94"/>
  <c r="AO21" i="94"/>
  <c r="CK21" i="94"/>
  <c r="CA21" i="94"/>
  <c r="CD21" i="94"/>
  <c r="BQ21" i="94"/>
  <c r="BL21" i="94"/>
  <c r="BG21" i="94"/>
  <c r="AT21" i="94"/>
  <c r="AD21" i="94"/>
  <c r="BA21" i="94"/>
  <c r="AL18" i="94"/>
  <c r="AL15" i="94"/>
  <c r="AO14" i="94"/>
  <c r="CK14" i="94"/>
  <c r="CA14" i="94"/>
  <c r="CD14" i="94"/>
  <c r="BQ14" i="94"/>
  <c r="BL14" i="94"/>
  <c r="BG14" i="94"/>
  <c r="AT14" i="94"/>
  <c r="AD14" i="94"/>
  <c r="AH14" i="94"/>
  <c r="BA14" i="94"/>
  <c r="AL11" i="94"/>
  <c r="AO10" i="94"/>
  <c r="CK10" i="94"/>
  <c r="CA10" i="94"/>
  <c r="CD10" i="94"/>
  <c r="BQ10" i="94"/>
  <c r="BL10" i="94"/>
  <c r="BG10" i="94"/>
  <c r="BA10" i="94"/>
  <c r="AT10" i="94"/>
  <c r="AH10" i="94"/>
  <c r="AL7" i="94"/>
  <c r="AO6" i="94"/>
  <c r="CK6" i="94"/>
  <c r="CA6" i="94"/>
  <c r="CD6" i="94"/>
  <c r="BQ6" i="94"/>
  <c r="BL6" i="94"/>
  <c r="BG6" i="94"/>
  <c r="AT6" i="94"/>
  <c r="AD6" i="94"/>
  <c r="Q5" i="106" s="1"/>
  <c r="AH6" i="94"/>
  <c r="BA6" i="94"/>
  <c r="AL4" i="94"/>
  <c r="V10" i="94"/>
  <c r="W10" i="94" s="1"/>
  <c r="V6" i="94"/>
  <c r="W6" i="94" s="1"/>
  <c r="AD11" i="94"/>
  <c r="AK14" i="94"/>
  <c r="AT11" i="94"/>
  <c r="BA11" i="94"/>
  <c r="AL9" i="94"/>
  <c r="AL19" i="94"/>
  <c r="AL16" i="94"/>
  <c r="CK15" i="94"/>
  <c r="CA15" i="94"/>
  <c r="CD15" i="94"/>
  <c r="BQ15" i="94"/>
  <c r="BA15" i="94"/>
  <c r="AD15" i="94"/>
  <c r="BL15" i="94"/>
  <c r="BG15" i="94"/>
  <c r="AT15" i="94"/>
  <c r="AL12" i="94"/>
  <c r="CK11" i="94"/>
  <c r="CA11" i="94"/>
  <c r="CD11" i="94"/>
  <c r="BQ11" i="94"/>
  <c r="BG11" i="94"/>
  <c r="AH11" i="94"/>
  <c r="AL3" i="94"/>
  <c r="CK7" i="94"/>
  <c r="CA7" i="94"/>
  <c r="BA7" i="94"/>
  <c r="CD7" i="94"/>
  <c r="BQ7" i="94"/>
  <c r="BL7" i="94"/>
  <c r="AD7" i="94"/>
  <c r="BG7" i="94"/>
  <c r="AT7" i="94"/>
  <c r="CK4" i="94"/>
  <c r="CA4" i="94"/>
  <c r="CD4" i="94"/>
  <c r="BQ4" i="94"/>
  <c r="BA4" i="94"/>
  <c r="BG4" i="94"/>
  <c r="AD4" i="94"/>
  <c r="AH4" i="94"/>
  <c r="V18" i="94"/>
  <c r="W18" i="94" s="1"/>
  <c r="AH21" i="94"/>
  <c r="AK7" i="94"/>
  <c r="BL4" i="94"/>
  <c r="G6" i="94"/>
  <c r="U6" i="105" l="1"/>
  <c r="R3" i="106"/>
  <c r="Q3" i="106"/>
  <c r="R6" i="105"/>
  <c r="S4" i="105"/>
  <c r="R11" i="105"/>
  <c r="Q10" i="106"/>
  <c r="R4" i="105"/>
  <c r="R12" i="105"/>
  <c r="R5" i="105"/>
  <c r="R9" i="105"/>
  <c r="Q8" i="106"/>
  <c r="R7" i="105"/>
  <c r="Q9" i="106"/>
  <c r="H20" i="102"/>
  <c r="G20" i="102"/>
  <c r="Q9" i="94"/>
  <c r="E20" i="102"/>
  <c r="J3" i="106" l="1"/>
  <c r="K6" i="105"/>
  <c r="AO9" i="94"/>
  <c r="V9" i="94"/>
  <c r="W9" i="94" s="1"/>
  <c r="G19" i="102"/>
  <c r="P9" i="94"/>
  <c r="P21" i="94"/>
  <c r="S21" i="94" s="1"/>
  <c r="P17" i="94"/>
  <c r="S17" i="94" s="1"/>
  <c r="P8" i="94"/>
  <c r="S8" i="94" s="1"/>
  <c r="P15" i="94"/>
  <c r="S15" i="94" s="1"/>
  <c r="P11" i="94"/>
  <c r="S11" i="94" s="1"/>
  <c r="P12" i="94"/>
  <c r="S12" i="94" s="1"/>
  <c r="P19" i="94"/>
  <c r="S19" i="94" s="1"/>
  <c r="P5" i="94"/>
  <c r="P10" i="94"/>
  <c r="S10" i="94" s="1"/>
  <c r="P13" i="94"/>
  <c r="S13" i="94" s="1"/>
  <c r="P16" i="94"/>
  <c r="P14" i="94"/>
  <c r="S14" i="94" s="1"/>
  <c r="P7" i="94"/>
  <c r="S7" i="94" s="1"/>
  <c r="P6" i="94"/>
  <c r="P4" i="94"/>
  <c r="S4" i="94" s="1"/>
  <c r="S9" i="94" l="1"/>
  <c r="I3" i="106"/>
  <c r="J6" i="105"/>
  <c r="S6" i="94"/>
  <c r="I5" i="106"/>
  <c r="J8" i="105"/>
  <c r="S16" i="94"/>
  <c r="I6" i="106"/>
  <c r="S5" i="94"/>
  <c r="J9" i="105"/>
  <c r="I8" i="106"/>
  <c r="J5" i="105"/>
  <c r="J12" i="105"/>
  <c r="J4" i="105"/>
  <c r="J7" i="105"/>
  <c r="I9" i="106"/>
  <c r="I11" i="106"/>
  <c r="I4" i="106"/>
  <c r="J10" i="105"/>
  <c r="I7" i="106"/>
  <c r="J11" i="105"/>
  <c r="I10" i="106"/>
  <c r="P18" i="94"/>
  <c r="T6" i="94"/>
  <c r="V5" i="106" s="1"/>
  <c r="T12" i="94"/>
  <c r="T3" i="94"/>
  <c r="V2" i="106" s="1"/>
  <c r="T14" i="94"/>
  <c r="V8" i="106" s="1"/>
  <c r="T15" i="94"/>
  <c r="T4" i="94"/>
  <c r="T16" i="94"/>
  <c r="T19" i="94"/>
  <c r="T8" i="94"/>
  <c r="T7" i="94"/>
  <c r="V4" i="106" s="1"/>
  <c r="T10" i="94"/>
  <c r="T11" i="94"/>
  <c r="T21" i="94"/>
  <c r="T13" i="94"/>
  <c r="V9" i="106" s="1"/>
  <c r="T17" i="94"/>
  <c r="T5" i="94"/>
  <c r="V6" i="106" s="1"/>
  <c r="T9" i="94"/>
  <c r="W6" i="105" l="1"/>
  <c r="V3" i="106"/>
  <c r="T18" i="94"/>
  <c r="S18" i="94"/>
  <c r="V11" i="106"/>
  <c r="V10" i="106"/>
  <c r="W11" i="105"/>
  <c r="W12" i="105"/>
  <c r="V7" i="106"/>
  <c r="W10" i="105"/>
  <c r="W9" i="105"/>
  <c r="W7" i="105"/>
  <c r="W8" i="105"/>
  <c r="W3" i="105"/>
  <c r="W5" i="105"/>
  <c r="W4" i="105"/>
  <c r="O2" i="93" l="1"/>
  <c r="P2" i="93" s="1"/>
  <c r="M2" i="93"/>
  <c r="L2" i="93"/>
  <c r="O3" i="93"/>
  <c r="P3" i="93" s="1"/>
  <c r="M3" i="93"/>
  <c r="L3" i="93"/>
  <c r="H7" i="93"/>
  <c r="H2" i="93"/>
  <c r="H3" i="93"/>
  <c r="H4" i="93"/>
  <c r="H5" i="93"/>
  <c r="I5" i="93" s="1"/>
  <c r="I2" i="93"/>
  <c r="H6" i="93"/>
  <c r="I6" i="93" s="1"/>
  <c r="E10" i="93"/>
  <c r="F10" i="93"/>
  <c r="E9" i="93"/>
  <c r="F9" i="93"/>
  <c r="E8" i="93"/>
  <c r="F8" i="93"/>
  <c r="E7" i="93"/>
  <c r="F7" i="93"/>
  <c r="E6" i="93"/>
  <c r="F6" i="93"/>
  <c r="E5" i="93"/>
  <c r="F5" i="93"/>
  <c r="E4" i="93"/>
  <c r="F4" i="93"/>
  <c r="E3" i="93"/>
  <c r="F3" i="93"/>
  <c r="E2" i="93"/>
  <c r="F2" i="93"/>
  <c r="F11" i="93"/>
  <c r="E11" i="93"/>
  <c r="H8" i="93"/>
  <c r="I8" i="93" s="1"/>
  <c r="H9" i="93"/>
  <c r="I9" i="93" s="1"/>
  <c r="H10" i="93"/>
  <c r="I10" i="93" s="1"/>
  <c r="H11" i="93"/>
  <c r="I11" i="93" s="1"/>
  <c r="I7" i="93"/>
  <c r="I4" i="93"/>
  <c r="I3" i="93"/>
  <c r="A4" i="93"/>
  <c r="G7" i="93" s="1"/>
  <c r="L17" i="91"/>
  <c r="A7" i="85"/>
  <c r="G11" i="93" l="1"/>
  <c r="G2" i="93"/>
  <c r="G5" i="93"/>
  <c r="G6" i="93"/>
  <c r="G8" i="93"/>
  <c r="N2" i="93"/>
  <c r="N3" i="93"/>
  <c r="G4" i="93"/>
  <c r="G9" i="93"/>
  <c r="G10" i="93"/>
  <c r="G3" i="93"/>
  <c r="F12" i="92"/>
  <c r="K4" i="92"/>
  <c r="F21" i="92"/>
  <c r="C18" i="92"/>
  <c r="F16" i="92"/>
  <c r="C15" i="92"/>
  <c r="F14" i="92"/>
  <c r="F13" i="92"/>
  <c r="C12" i="92"/>
  <c r="C14" i="92"/>
  <c r="C13" i="92" l="1"/>
  <c r="C11" i="92" s="1"/>
  <c r="F15" i="92"/>
  <c r="C19" i="92"/>
  <c r="C17" i="92" l="1"/>
  <c r="E16" i="91" l="1"/>
  <c r="F16" i="91" s="1"/>
  <c r="G16" i="91" s="1"/>
  <c r="H16" i="91" s="1"/>
  <c r="I16" i="91" s="1"/>
  <c r="J16" i="91" s="1"/>
  <c r="K16" i="91" s="1"/>
  <c r="L16" i="91" s="1"/>
  <c r="M16" i="91" s="1"/>
  <c r="N16" i="91" s="1"/>
  <c r="O16" i="91" s="1"/>
  <c r="P16" i="91" s="1"/>
  <c r="Q16" i="91" s="1"/>
  <c r="R16" i="91" s="1"/>
  <c r="S16" i="91" s="1"/>
  <c r="E17" i="91"/>
  <c r="F17" i="91" s="1"/>
  <c r="G17" i="91" s="1"/>
  <c r="H17" i="91" s="1"/>
  <c r="I17" i="91" s="1"/>
  <c r="J17" i="91" s="1"/>
  <c r="K17" i="91" s="1"/>
  <c r="M17" i="91" s="1"/>
  <c r="N17" i="91" s="1"/>
  <c r="O17" i="91" s="1"/>
  <c r="P17" i="91" s="1"/>
  <c r="Q17" i="91" s="1"/>
  <c r="R17" i="91" s="1"/>
  <c r="S17" i="91" s="1"/>
  <c r="E18" i="91"/>
  <c r="F18" i="91" s="1"/>
  <c r="G18" i="91" s="1"/>
  <c r="H18" i="91" s="1"/>
  <c r="I18" i="91" s="1"/>
  <c r="J18" i="91" s="1"/>
  <c r="K18" i="91" s="1"/>
  <c r="L18" i="91" s="1"/>
  <c r="M18" i="91" s="1"/>
  <c r="N18" i="91" s="1"/>
  <c r="O18" i="91" s="1"/>
  <c r="P18" i="91" s="1"/>
  <c r="Q18" i="91" s="1"/>
  <c r="R18" i="91" s="1"/>
  <c r="S18" i="91" s="1"/>
  <c r="E19" i="91"/>
  <c r="F19" i="91" s="1"/>
  <c r="G19" i="91" s="1"/>
  <c r="H19" i="91" s="1"/>
  <c r="I19" i="91" s="1"/>
  <c r="J19" i="91" s="1"/>
  <c r="K19" i="91" s="1"/>
  <c r="L19" i="91" s="1"/>
  <c r="M19" i="91" s="1"/>
  <c r="N19" i="91" s="1"/>
  <c r="O19" i="91" s="1"/>
  <c r="P19" i="91" s="1"/>
  <c r="Q19" i="91" s="1"/>
  <c r="R19" i="91" s="1"/>
  <c r="S19" i="91" s="1"/>
  <c r="F20" i="91"/>
  <c r="E21" i="91"/>
  <c r="I21" i="91" s="1"/>
  <c r="J21" i="91" s="1"/>
  <c r="K21" i="91" s="1"/>
  <c r="M21" i="91" s="1"/>
  <c r="E22" i="91"/>
  <c r="F22" i="91" s="1"/>
  <c r="G22" i="91" s="1"/>
  <c r="H22" i="91" s="1"/>
  <c r="I22" i="91" s="1"/>
  <c r="J22" i="91" s="1"/>
  <c r="K22" i="91" s="1"/>
  <c r="L22" i="91" s="1"/>
  <c r="M22" i="91" s="1"/>
  <c r="N22" i="91" s="1"/>
  <c r="O22" i="91" s="1"/>
  <c r="P22" i="91" s="1"/>
  <c r="Q22" i="91" s="1"/>
  <c r="R22" i="91" s="1"/>
  <c r="S22" i="91" s="1"/>
  <c r="E15" i="91"/>
  <c r="F15" i="91" s="1"/>
  <c r="G15" i="91" s="1"/>
  <c r="H15" i="91" s="1"/>
  <c r="I15" i="91" s="1"/>
  <c r="J15" i="91" s="1"/>
  <c r="K15" i="91" s="1"/>
  <c r="L15" i="91" s="1"/>
  <c r="M15" i="91" s="1"/>
  <c r="N15" i="91" s="1"/>
  <c r="O15" i="91" s="1"/>
  <c r="P15" i="91" s="1"/>
  <c r="Q15" i="91" s="1"/>
  <c r="R15" i="91" s="1"/>
  <c r="S15" i="91" s="1"/>
  <c r="D23" i="91"/>
  <c r="S45" i="91"/>
  <c r="R45" i="91"/>
  <c r="Q45" i="91"/>
  <c r="P45" i="91"/>
  <c r="O45" i="91"/>
  <c r="N45" i="91"/>
  <c r="M45" i="91"/>
  <c r="L45" i="91"/>
  <c r="K45" i="91"/>
  <c r="J45" i="91"/>
  <c r="I45" i="91"/>
  <c r="H45" i="91"/>
  <c r="G45" i="91"/>
  <c r="F45" i="91"/>
  <c r="E45" i="91"/>
  <c r="S42" i="91"/>
  <c r="R42" i="91"/>
  <c r="Q42" i="91"/>
  <c r="P42" i="91"/>
  <c r="O42" i="91"/>
  <c r="N42" i="91"/>
  <c r="M42" i="91"/>
  <c r="L42" i="91"/>
  <c r="K42" i="91"/>
  <c r="J42" i="91"/>
  <c r="I42" i="91"/>
  <c r="H42" i="91"/>
  <c r="G42" i="91"/>
  <c r="F42" i="91"/>
  <c r="E42" i="91"/>
  <c r="D42" i="91"/>
  <c r="D30" i="91"/>
  <c r="S29" i="91"/>
  <c r="R29" i="91"/>
  <c r="Q29" i="91"/>
  <c r="P29" i="91"/>
  <c r="O29" i="91"/>
  <c r="N29" i="91"/>
  <c r="M29" i="91"/>
  <c r="L29" i="91"/>
  <c r="K29" i="91"/>
  <c r="J29" i="91"/>
  <c r="I29" i="91"/>
  <c r="H29" i="91"/>
  <c r="G29" i="91"/>
  <c r="F29" i="91"/>
  <c r="E29" i="91"/>
  <c r="D29" i="91"/>
  <c r="D31" i="91" s="1"/>
  <c r="R26" i="91"/>
  <c r="Q26" i="91"/>
  <c r="O26" i="91"/>
  <c r="N26" i="91"/>
  <c r="M26" i="91"/>
  <c r="L26" i="91"/>
  <c r="G26" i="91"/>
  <c r="F26" i="91"/>
  <c r="E26" i="91"/>
  <c r="B22" i="91"/>
  <c r="B18" i="91"/>
  <c r="B17" i="91"/>
  <c r="B15" i="91"/>
  <c r="B14" i="91"/>
  <c r="R13" i="91"/>
  <c r="Q13" i="91"/>
  <c r="P13" i="91"/>
  <c r="O13" i="91"/>
  <c r="N13" i="91"/>
  <c r="M13" i="91"/>
  <c r="L13" i="91"/>
  <c r="H13" i="91"/>
  <c r="G13" i="91"/>
  <c r="F13" i="91"/>
  <c r="E13" i="91"/>
  <c r="D13" i="91"/>
  <c r="C12" i="91"/>
  <c r="C25" i="92" s="1"/>
  <c r="C10" i="91"/>
  <c r="C28" i="92" s="1"/>
  <c r="C9" i="91"/>
  <c r="C8" i="91"/>
  <c r="P26" i="91"/>
  <c r="H26" i="91"/>
  <c r="E4" i="91"/>
  <c r="F4" i="91" s="1"/>
  <c r="G4" i="91" s="1"/>
  <c r="H4" i="91" s="1"/>
  <c r="I4" i="91" s="1"/>
  <c r="K4" i="91" s="1"/>
  <c r="L4" i="91" s="1"/>
  <c r="M4" i="91" s="1"/>
  <c r="N4" i="91" s="1"/>
  <c r="O4" i="91" s="1"/>
  <c r="P4" i="91" s="1"/>
  <c r="Q4" i="91" s="1"/>
  <c r="R4" i="91" s="1"/>
  <c r="S4" i="91" s="1"/>
  <c r="S11" i="88"/>
  <c r="F14" i="91" l="1"/>
  <c r="J14" i="91" s="1"/>
  <c r="P14" i="91" s="1"/>
  <c r="Q14" i="91" s="1"/>
  <c r="R14" i="91" s="1"/>
  <c r="F30" i="91"/>
  <c r="G20" i="91"/>
  <c r="H20" i="91" s="1"/>
  <c r="I20" i="91" s="1"/>
  <c r="J20" i="91" s="1"/>
  <c r="K20" i="91" s="1"/>
  <c r="L20" i="91" s="1"/>
  <c r="M20" i="91" s="1"/>
  <c r="N20" i="91" s="1"/>
  <c r="O20" i="91" s="1"/>
  <c r="P20" i="91" s="1"/>
  <c r="Q20" i="91" s="1"/>
  <c r="R20" i="91" s="1"/>
  <c r="S20" i="91" s="1"/>
  <c r="C21" i="91"/>
  <c r="F28" i="92" s="1"/>
  <c r="D27" i="91"/>
  <c r="C22" i="91"/>
  <c r="F29" i="92" s="1"/>
  <c r="C18" i="91"/>
  <c r="F27" i="92" s="1"/>
  <c r="I13" i="91"/>
  <c r="S13" i="91"/>
  <c r="C11" i="91"/>
  <c r="C24" i="92" s="1"/>
  <c r="S26" i="91"/>
  <c r="I26" i="91"/>
  <c r="E27" i="91"/>
  <c r="E28" i="91" s="1"/>
  <c r="F31" i="91"/>
  <c r="C29" i="91"/>
  <c r="E30" i="91"/>
  <c r="E31" i="91" s="1"/>
  <c r="D26" i="91"/>
  <c r="C6" i="91"/>
  <c r="C26" i="92" s="1"/>
  <c r="E23" i="91" l="1"/>
  <c r="C14" i="91"/>
  <c r="F24" i="92" s="1"/>
  <c r="C20" i="91"/>
  <c r="D28" i="91"/>
  <c r="F27" i="91"/>
  <c r="F28" i="91" s="1"/>
  <c r="F23" i="91"/>
  <c r="H27" i="91"/>
  <c r="H28" i="91" s="1"/>
  <c r="G30" i="91"/>
  <c r="G31" i="91" s="1"/>
  <c r="J13" i="91"/>
  <c r="J26" i="91"/>
  <c r="I27" i="91" l="1"/>
  <c r="I28" i="91" s="1"/>
  <c r="K13" i="91"/>
  <c r="C13" i="91" s="1"/>
  <c r="C7" i="91"/>
  <c r="C27" i="92" s="1"/>
  <c r="C23" i="92" s="1"/>
  <c r="K26" i="91"/>
  <c r="H30" i="91"/>
  <c r="H31" i="91" s="1"/>
  <c r="H23" i="91"/>
  <c r="G23" i="91"/>
  <c r="G27" i="91"/>
  <c r="G28" i="91" s="1"/>
  <c r="I30" i="91" l="1"/>
  <c r="I31" i="91" s="1"/>
  <c r="I23" i="91"/>
  <c r="J27" i="91"/>
  <c r="J28" i="91" s="1"/>
  <c r="Z7" i="91"/>
  <c r="C26" i="91"/>
  <c r="Y14" i="91"/>
  <c r="Z12" i="91"/>
  <c r="Z9" i="91"/>
  <c r="Z10" i="91"/>
  <c r="Z8" i="91"/>
  <c r="Z11" i="91"/>
  <c r="Z6" i="91"/>
  <c r="P6" i="88"/>
  <c r="P20" i="94"/>
  <c r="L21" i="94"/>
  <c r="M8" i="94"/>
  <c r="BV8" i="94" s="1"/>
  <c r="S20" i="94" l="1"/>
  <c r="I12" i="106"/>
  <c r="J13" i="105"/>
  <c r="BT21" i="94"/>
  <c r="BU21" i="94"/>
  <c r="CD8" i="94"/>
  <c r="CA8" i="94"/>
  <c r="AH8" i="94"/>
  <c r="BQ8" i="94"/>
  <c r="BG8" i="94"/>
  <c r="AK8" i="94"/>
  <c r="AT8" i="94"/>
  <c r="BL8" i="94"/>
  <c r="CK8" i="94"/>
  <c r="AD8" i="94"/>
  <c r="BA8" i="94"/>
  <c r="BK21" i="94"/>
  <c r="U21" i="94"/>
  <c r="Y21" i="94"/>
  <c r="AA21" i="94"/>
  <c r="AC21" i="94" s="1"/>
  <c r="X21" i="94"/>
  <c r="Z21" i="94" s="1"/>
  <c r="AJ21" i="94"/>
  <c r="AF21" i="94"/>
  <c r="AB21" i="94"/>
  <c r="BY21" i="94"/>
  <c r="BJ21" i="94"/>
  <c r="BZ21" i="94"/>
  <c r="BO21" i="94"/>
  <c r="AQ21" i="94"/>
  <c r="AS21" i="94" s="1"/>
  <c r="BP21" i="94"/>
  <c r="AM21" i="94"/>
  <c r="AR21" i="94"/>
  <c r="AY21" i="94"/>
  <c r="AI21" i="94"/>
  <c r="AN21" i="94"/>
  <c r="AX21" i="94"/>
  <c r="AZ21" i="94" s="1"/>
  <c r="BF21" i="94"/>
  <c r="AE21" i="94"/>
  <c r="AG21" i="94" s="1"/>
  <c r="BE21" i="94"/>
  <c r="T20" i="94"/>
  <c r="Z13" i="91"/>
  <c r="K27" i="91"/>
  <c r="K28" i="91" s="1"/>
  <c r="J30" i="91"/>
  <c r="J31" i="91" s="1"/>
  <c r="J23" i="91"/>
  <c r="BH25" i="86"/>
  <c r="BL25" i="86"/>
  <c r="BP25" i="86"/>
  <c r="BQ25" i="86"/>
  <c r="BH28" i="86"/>
  <c r="BI28" i="86"/>
  <c r="BP28" i="86"/>
  <c r="BQ28" i="86"/>
  <c r="BG28" i="86"/>
  <c r="BK12" i="86"/>
  <c r="BP12" i="86"/>
  <c r="BQ12" i="86"/>
  <c r="BG12" i="86"/>
  <c r="AT27" i="86"/>
  <c r="AU27" i="86"/>
  <c r="BB27" i="86"/>
  <c r="BC27" i="86"/>
  <c r="AS27" i="86"/>
  <c r="BK26" i="86"/>
  <c r="BK11" i="86" s="1"/>
  <c r="BP26" i="86"/>
  <c r="BP11" i="86" s="1"/>
  <c r="BQ26" i="86"/>
  <c r="BQ11" i="86" s="1"/>
  <c r="BG26" i="86"/>
  <c r="BG11" i="86" s="1"/>
  <c r="AW25" i="86"/>
  <c r="BB25" i="86"/>
  <c r="BC25" i="86"/>
  <c r="AS25" i="86"/>
  <c r="BK7" i="86"/>
  <c r="BM7" i="86"/>
  <c r="BG7" i="86"/>
  <c r="BH9" i="86"/>
  <c r="BL9" i="86"/>
  <c r="BP9" i="86"/>
  <c r="BQ9" i="86"/>
  <c r="AT23" i="86"/>
  <c r="AX23" i="86"/>
  <c r="BB23" i="86"/>
  <c r="BC23" i="86"/>
  <c r="BK21" i="86"/>
  <c r="BL21" i="86"/>
  <c r="BM21" i="86"/>
  <c r="BH19" i="86"/>
  <c r="BL19" i="86"/>
  <c r="BM19" i="86"/>
  <c r="V12" i="106" l="1"/>
  <c r="V13" i="106" s="1"/>
  <c r="W13" i="105"/>
  <c r="W14" i="105" s="1"/>
  <c r="K30" i="91"/>
  <c r="K31" i="91" s="1"/>
  <c r="L27" i="91"/>
  <c r="L28" i="91" s="1"/>
  <c r="L23" i="91"/>
  <c r="K23" i="91"/>
  <c r="C15" i="91"/>
  <c r="F25" i="92" s="1"/>
  <c r="BJ4" i="86"/>
  <c r="BJ18" i="86" s="1"/>
  <c r="BK4" i="86"/>
  <c r="BK18" i="86" s="1"/>
  <c r="BL4" i="86"/>
  <c r="BL18" i="86" s="1"/>
  <c r="BM4" i="86"/>
  <c r="BM18" i="86" s="1"/>
  <c r="BP4" i="86"/>
  <c r="BP18" i="86" s="1"/>
  <c r="BQ4" i="86"/>
  <c r="BQ18" i="86" s="1"/>
  <c r="AV18" i="86"/>
  <c r="AW18" i="86"/>
  <c r="AX18" i="86"/>
  <c r="AY18" i="86"/>
  <c r="BB18" i="86"/>
  <c r="BC18" i="86"/>
  <c r="BF28" i="86"/>
  <c r="BF27" i="86"/>
  <c r="BF12" i="86" s="1"/>
  <c r="BF26" i="86"/>
  <c r="BF25" i="86"/>
  <c r="BF24" i="86"/>
  <c r="BF23" i="86"/>
  <c r="BF7" i="86" s="1"/>
  <c r="BF22" i="86"/>
  <c r="BF10" i="86" s="1"/>
  <c r="BF21" i="86"/>
  <c r="BF20" i="86"/>
  <c r="BF6" i="86" s="1"/>
  <c r="BF19" i="86"/>
  <c r="BF13" i="86"/>
  <c r="BF11" i="86"/>
  <c r="BF9" i="86"/>
  <c r="BF8" i="86"/>
  <c r="AR27" i="86"/>
  <c r="AR25" i="86"/>
  <c r="AR23" i="86"/>
  <c r="AR10" i="86"/>
  <c r="AR24" i="86" s="1"/>
  <c r="L30" i="91" l="1"/>
  <c r="L31" i="91" s="1"/>
  <c r="C16" i="91"/>
  <c r="M27" i="91"/>
  <c r="M28" i="91" s="1"/>
  <c r="O20" i="94"/>
  <c r="O5" i="94"/>
  <c r="I13" i="105" l="1"/>
  <c r="H12" i="106"/>
  <c r="H6" i="106"/>
  <c r="BX5" i="94"/>
  <c r="BW5" i="94"/>
  <c r="BX20" i="94"/>
  <c r="BW20" i="94"/>
  <c r="D20" i="83"/>
  <c r="O11" i="94"/>
  <c r="AV3" i="94"/>
  <c r="O9" i="94"/>
  <c r="O8" i="94"/>
  <c r="O16" i="94"/>
  <c r="AU16" i="94" s="1"/>
  <c r="AW16" i="94" s="1"/>
  <c r="O21" i="94"/>
  <c r="O17" i="94"/>
  <c r="O4" i="94"/>
  <c r="O14" i="94"/>
  <c r="O19" i="94"/>
  <c r="O7" i="94"/>
  <c r="O13" i="94"/>
  <c r="O18" i="94"/>
  <c r="O10" i="94"/>
  <c r="BN20" i="94"/>
  <c r="CB20" i="94"/>
  <c r="BR20" i="94"/>
  <c r="BM20" i="94"/>
  <c r="CF20" i="94"/>
  <c r="AU20" i="94"/>
  <c r="AW20" i="94" s="1"/>
  <c r="BH20" i="94"/>
  <c r="CC20" i="94"/>
  <c r="BB20" i="94"/>
  <c r="BD20" i="94" s="1"/>
  <c r="CE20" i="94"/>
  <c r="BI20" i="94"/>
  <c r="BS20" i="94"/>
  <c r="AV20" i="94"/>
  <c r="CH20" i="94"/>
  <c r="CJ20" i="94" s="1"/>
  <c r="CI20" i="94"/>
  <c r="BC20" i="94"/>
  <c r="O6" i="94"/>
  <c r="H5" i="106" s="1"/>
  <c r="BR5" i="94"/>
  <c r="BM5" i="94"/>
  <c r="BH5" i="94"/>
  <c r="CE5" i="94"/>
  <c r="CG5" i="94" s="1"/>
  <c r="CB5" i="94"/>
  <c r="CF5" i="94"/>
  <c r="AU5" i="94"/>
  <c r="AW5" i="94" s="1"/>
  <c r="CC5" i="94"/>
  <c r="BB5" i="94"/>
  <c r="BD5" i="94" s="1"/>
  <c r="BN5" i="94"/>
  <c r="BI5" i="94"/>
  <c r="BS5" i="94"/>
  <c r="CH5" i="94"/>
  <c r="CJ5" i="94" s="1"/>
  <c r="BC5" i="94"/>
  <c r="AV5" i="94"/>
  <c r="CI5" i="94"/>
  <c r="N27" i="91"/>
  <c r="N28" i="91" s="1"/>
  <c r="N23" i="91"/>
  <c r="M30" i="91"/>
  <c r="M31" i="91" s="1"/>
  <c r="M23" i="91"/>
  <c r="P40" i="88"/>
  <c r="O40" i="88"/>
  <c r="P29" i="88"/>
  <c r="O29" i="88"/>
  <c r="O26" i="88"/>
  <c r="P13" i="88"/>
  <c r="O13" i="88"/>
  <c r="P26" i="88"/>
  <c r="CG20" i="94" l="1"/>
  <c r="R12" i="106"/>
  <c r="S13" i="105"/>
  <c r="U13" i="105" s="1"/>
  <c r="S12" i="106"/>
  <c r="T13" i="105"/>
  <c r="N2" i="83"/>
  <c r="E20" i="83"/>
  <c r="F20" i="83" s="1"/>
  <c r="I2" i="83"/>
  <c r="H3" i="106"/>
  <c r="I6" i="105"/>
  <c r="BX21" i="94"/>
  <c r="BW21" i="94"/>
  <c r="H7" i="106"/>
  <c r="BW10" i="94"/>
  <c r="S10" i="105" s="1"/>
  <c r="BX10" i="94"/>
  <c r="T10" i="105" s="1"/>
  <c r="BX9" i="94"/>
  <c r="BW9" i="94"/>
  <c r="BW19" i="94"/>
  <c r="BX19" i="94"/>
  <c r="BX8" i="94"/>
  <c r="BW8" i="94"/>
  <c r="H10" i="106"/>
  <c r="BW11" i="94"/>
  <c r="BX11" i="94"/>
  <c r="BW6" i="94"/>
  <c r="BX6" i="94"/>
  <c r="BX18" i="94"/>
  <c r="BW18" i="94"/>
  <c r="H4" i="106"/>
  <c r="BX7" i="94"/>
  <c r="BW7" i="94"/>
  <c r="BX4" i="94"/>
  <c r="BW4" i="94"/>
  <c r="H8" i="106"/>
  <c r="BX14" i="94"/>
  <c r="BW14" i="94"/>
  <c r="H9" i="106"/>
  <c r="BX13" i="94"/>
  <c r="BW13" i="94"/>
  <c r="BX17" i="94"/>
  <c r="BW17" i="94"/>
  <c r="BW16" i="94"/>
  <c r="BX16" i="94"/>
  <c r="BM8" i="94"/>
  <c r="BB11" i="94"/>
  <c r="BD11" i="94" s="1"/>
  <c r="I11" i="105"/>
  <c r="BM13" i="94"/>
  <c r="I7" i="105"/>
  <c r="CB17" i="94"/>
  <c r="CC16" i="94"/>
  <c r="I8" i="105"/>
  <c r="I4" i="105"/>
  <c r="BN18" i="94"/>
  <c r="BH7" i="94"/>
  <c r="BI4" i="94"/>
  <c r="BC21" i="94"/>
  <c r="BN19" i="94"/>
  <c r="I12" i="105"/>
  <c r="I10" i="105"/>
  <c r="CE14" i="94"/>
  <c r="CG14" i="94" s="1"/>
  <c r="I9" i="105"/>
  <c r="CF9" i="94"/>
  <c r="BH13" i="94"/>
  <c r="CE17" i="94"/>
  <c r="CG17" i="94" s="1"/>
  <c r="CB11" i="94"/>
  <c r="AU8" i="94"/>
  <c r="AW8" i="94" s="1"/>
  <c r="CC19" i="94"/>
  <c r="BN9" i="94"/>
  <c r="CI14" i="94"/>
  <c r="CE8" i="94"/>
  <c r="CG8" i="94" s="1"/>
  <c r="BS19" i="94"/>
  <c r="BH16" i="94"/>
  <c r="CH17" i="94"/>
  <c r="CJ17" i="94" s="1"/>
  <c r="CE13" i="94"/>
  <c r="CG13" i="94" s="1"/>
  <c r="AU11" i="94"/>
  <c r="AW11" i="94" s="1"/>
  <c r="BR16" i="94"/>
  <c r="BM17" i="94"/>
  <c r="AV13" i="94"/>
  <c r="BS11" i="94"/>
  <c r="AV16" i="94"/>
  <c r="BN17" i="94"/>
  <c r="CC13" i="94"/>
  <c r="CH11" i="94"/>
  <c r="CJ11" i="94" s="1"/>
  <c r="CB16" i="94"/>
  <c r="CI17" i="94"/>
  <c r="BI17" i="94"/>
  <c r="BC13" i="94"/>
  <c r="BM11" i="94"/>
  <c r="CC11" i="94"/>
  <c r="BH17" i="94"/>
  <c r="BR13" i="94"/>
  <c r="BC11" i="94"/>
  <c r="CE11" i="94"/>
  <c r="CG11" i="94" s="1"/>
  <c r="BI11" i="94"/>
  <c r="CF11" i="94"/>
  <c r="CH16" i="94"/>
  <c r="CJ16" i="94" s="1"/>
  <c r="CE16" i="94"/>
  <c r="CG16" i="94" s="1"/>
  <c r="BN16" i="94"/>
  <c r="BS17" i="94"/>
  <c r="BR17" i="94"/>
  <c r="CB13" i="94"/>
  <c r="BS13" i="94"/>
  <c r="BB13" i="94"/>
  <c r="BD13" i="94" s="1"/>
  <c r="AV11" i="94"/>
  <c r="BR11" i="94"/>
  <c r="CI16" i="94"/>
  <c r="BS16" i="94"/>
  <c r="BI16" i="94"/>
  <c r="CF16" i="94"/>
  <c r="AV17" i="94"/>
  <c r="AU17" i="94"/>
  <c r="AW17" i="94" s="1"/>
  <c r="CF17" i="94"/>
  <c r="CH13" i="94"/>
  <c r="CJ13" i="94" s="1"/>
  <c r="AU13" i="94"/>
  <c r="AW13" i="94" s="1"/>
  <c r="BN13" i="94"/>
  <c r="BC16" i="94"/>
  <c r="T8" i="105" s="1"/>
  <c r="BM16" i="94"/>
  <c r="BB16" i="94"/>
  <c r="BC17" i="94"/>
  <c r="CC17" i="94"/>
  <c r="BB17" i="94"/>
  <c r="BD17" i="94" s="1"/>
  <c r="CI13" i="94"/>
  <c r="CF13" i="94"/>
  <c r="BI13" i="94"/>
  <c r="CI11" i="94"/>
  <c r="BH11" i="94"/>
  <c r="BN11" i="94"/>
  <c r="BS9" i="94"/>
  <c r="BI8" i="94"/>
  <c r="BB9" i="94"/>
  <c r="BD9" i="94" s="1"/>
  <c r="BC19" i="94"/>
  <c r="AV14" i="94"/>
  <c r="BH14" i="94"/>
  <c r="AV8" i="94"/>
  <c r="BR8" i="94"/>
  <c r="BH9" i="94"/>
  <c r="BM19" i="94"/>
  <c r="BR14" i="94"/>
  <c r="AV9" i="94"/>
  <c r="BM9" i="94"/>
  <c r="BI14" i="94"/>
  <c r="CC14" i="94"/>
  <c r="BB8" i="94"/>
  <c r="BD8" i="94" s="1"/>
  <c r="CH9" i="94"/>
  <c r="CJ9" i="94" s="1"/>
  <c r="CE9" i="94"/>
  <c r="CG9" i="94" s="1"/>
  <c r="CI19" i="94"/>
  <c r="BR19" i="94"/>
  <c r="CB14" i="94"/>
  <c r="BS14" i="94"/>
  <c r="CH8" i="94"/>
  <c r="CJ8" i="94" s="1"/>
  <c r="BN8" i="94"/>
  <c r="CB8" i="94"/>
  <c r="AV19" i="94"/>
  <c r="BH19" i="94"/>
  <c r="CF19" i="94"/>
  <c r="CI8" i="94"/>
  <c r="CC8" i="94"/>
  <c r="BS8" i="94"/>
  <c r="CB19" i="94"/>
  <c r="BI19" i="94"/>
  <c r="CE19" i="94"/>
  <c r="CG19" i="94" s="1"/>
  <c r="BC4" i="94"/>
  <c r="BI18" i="94"/>
  <c r="CF18" i="94"/>
  <c r="CE18" i="94"/>
  <c r="CG18" i="94" s="1"/>
  <c r="CH18" i="94"/>
  <c r="CJ18" i="94" s="1"/>
  <c r="CC18" i="94"/>
  <c r="BB18" i="94"/>
  <c r="BD18" i="94" s="1"/>
  <c r="BM18" i="94"/>
  <c r="CI18" i="94"/>
  <c r="AU18" i="94"/>
  <c r="AW18" i="94" s="1"/>
  <c r="CB18" i="94"/>
  <c r="BR18" i="94"/>
  <c r="BC18" i="94"/>
  <c r="BN7" i="94"/>
  <c r="CE7" i="94"/>
  <c r="CG7" i="94" s="1"/>
  <c r="BM7" i="94"/>
  <c r="BC7" i="94"/>
  <c r="CC7" i="94"/>
  <c r="AU7" i="94"/>
  <c r="AW7" i="94" s="1"/>
  <c r="BR7" i="94"/>
  <c r="AV7" i="94"/>
  <c r="BS7" i="94"/>
  <c r="BB7" i="94"/>
  <c r="BD7" i="94" s="1"/>
  <c r="CB7" i="94"/>
  <c r="CI7" i="94"/>
  <c r="CF21" i="94"/>
  <c r="BS21" i="94"/>
  <c r="CC21" i="94"/>
  <c r="R21" i="94"/>
  <c r="AV21" i="94"/>
  <c r="BB21" i="94"/>
  <c r="BD21" i="94" s="1"/>
  <c r="CB21" i="94"/>
  <c r="BH21" i="94"/>
  <c r="CI21" i="94"/>
  <c r="BM21" i="94"/>
  <c r="AU21" i="94"/>
  <c r="AW21" i="94" s="1"/>
  <c r="BI21" i="94"/>
  <c r="BS3" i="94"/>
  <c r="BM3" i="94"/>
  <c r="BN3" i="94"/>
  <c r="BC3" i="94"/>
  <c r="AU3" i="94"/>
  <c r="AW3" i="94" s="1"/>
  <c r="CC3" i="94"/>
  <c r="BI3" i="94"/>
  <c r="CI3" i="94"/>
  <c r="BB3" i="94"/>
  <c r="BD3" i="94" s="1"/>
  <c r="BR3" i="94"/>
  <c r="CE3" i="94"/>
  <c r="CG3" i="94" s="1"/>
  <c r="CH3" i="94"/>
  <c r="CJ3" i="94" s="1"/>
  <c r="BR21" i="94"/>
  <c r="BS18" i="94"/>
  <c r="CH7" i="94"/>
  <c r="CJ7" i="94" s="1"/>
  <c r="CC4" i="94"/>
  <c r="BM4" i="94"/>
  <c r="CE4" i="94"/>
  <c r="CG4" i="94" s="1"/>
  <c r="AV4" i="94"/>
  <c r="CF4" i="94"/>
  <c r="BB4" i="94"/>
  <c r="BD4" i="94" s="1"/>
  <c r="CB4" i="94"/>
  <c r="CH4" i="94"/>
  <c r="CJ4" i="94" s="1"/>
  <c r="AU4" i="94"/>
  <c r="AW4" i="94" s="1"/>
  <c r="BH4" i="94"/>
  <c r="BS4" i="94"/>
  <c r="CI4" i="94"/>
  <c r="BH3" i="94"/>
  <c r="BR4" i="94"/>
  <c r="AV18" i="94"/>
  <c r="BI7" i="94"/>
  <c r="CE21" i="94"/>
  <c r="CG21" i="94" s="1"/>
  <c r="CF3" i="94"/>
  <c r="CH21" i="94"/>
  <c r="CJ21" i="94" s="1"/>
  <c r="BN21" i="94"/>
  <c r="CB3" i="94"/>
  <c r="BN4" i="94"/>
  <c r="BH18" i="94"/>
  <c r="CF7" i="94"/>
  <c r="CI9" i="94"/>
  <c r="BR9" i="94"/>
  <c r="CB9" i="94"/>
  <c r="AU9" i="94"/>
  <c r="AW9" i="94" s="1"/>
  <c r="CH14" i="94"/>
  <c r="CJ14" i="94" s="1"/>
  <c r="BM14" i="94"/>
  <c r="CF14" i="94"/>
  <c r="BN14" i="94"/>
  <c r="BC8" i="94"/>
  <c r="CF8" i="94"/>
  <c r="BH8" i="94"/>
  <c r="BC9" i="94"/>
  <c r="BI9" i="94"/>
  <c r="CC9" i="94"/>
  <c r="CH19" i="94"/>
  <c r="T12" i="106" s="1"/>
  <c r="AU19" i="94"/>
  <c r="AW19" i="94" s="1"/>
  <c r="BB19" i="94"/>
  <c r="BD19" i="94" s="1"/>
  <c r="BC14" i="94"/>
  <c r="BB14" i="94"/>
  <c r="BD14" i="94" s="1"/>
  <c r="AU14" i="94"/>
  <c r="AW14" i="94" s="1"/>
  <c r="CC10" i="94"/>
  <c r="CE10" i="94"/>
  <c r="CG10" i="94" s="1"/>
  <c r="CF10" i="94"/>
  <c r="BB10" i="94"/>
  <c r="BD10" i="94" s="1"/>
  <c r="AU10" i="94"/>
  <c r="AW10" i="94" s="1"/>
  <c r="BR10" i="94"/>
  <c r="BH10" i="94"/>
  <c r="BN10" i="94"/>
  <c r="BM10" i="94"/>
  <c r="BI10" i="94"/>
  <c r="CB10" i="94"/>
  <c r="BS10" i="94"/>
  <c r="CH10" i="94"/>
  <c r="CJ10" i="94" s="1"/>
  <c r="CI10" i="94"/>
  <c r="BC10" i="94"/>
  <c r="AV10" i="94"/>
  <c r="CF6" i="94"/>
  <c r="BB6" i="94"/>
  <c r="BD6" i="94" s="1"/>
  <c r="BN6" i="94"/>
  <c r="BS6" i="94"/>
  <c r="CE6" i="94"/>
  <c r="CG6" i="94" s="1"/>
  <c r="CC6" i="94"/>
  <c r="BI6" i="94"/>
  <c r="BR6" i="94"/>
  <c r="BH6" i="94"/>
  <c r="AU6" i="94"/>
  <c r="AW6" i="94" s="1"/>
  <c r="BM6" i="94"/>
  <c r="CB6" i="94"/>
  <c r="CH6" i="94"/>
  <c r="CJ6" i="94" s="1"/>
  <c r="BC6" i="94"/>
  <c r="CI6" i="94"/>
  <c r="AV6" i="94"/>
  <c r="N30" i="91"/>
  <c r="N31" i="91" s="1"/>
  <c r="O27" i="91"/>
  <c r="O28" i="91" s="1"/>
  <c r="O23" i="91"/>
  <c r="L20" i="94"/>
  <c r="L19" i="94"/>
  <c r="L18" i="94"/>
  <c r="L17" i="94"/>
  <c r="L16" i="94"/>
  <c r="L15" i="94"/>
  <c r="L14" i="94"/>
  <c r="L13" i="94"/>
  <c r="L12" i="94"/>
  <c r="L11" i="94"/>
  <c r="L8" i="94"/>
  <c r="L7" i="94"/>
  <c r="L5" i="94"/>
  <c r="L9" i="94"/>
  <c r="L4" i="94"/>
  <c r="F13" i="105" l="1"/>
  <c r="E12" i="106"/>
  <c r="P2" i="83"/>
  <c r="O2" i="83"/>
  <c r="F6" i="105"/>
  <c r="E3" i="106"/>
  <c r="E4" i="106"/>
  <c r="BT7" i="94"/>
  <c r="BU7" i="94"/>
  <c r="T7" i="105"/>
  <c r="S9" i="106"/>
  <c r="F7" i="105"/>
  <c r="E9" i="106"/>
  <c r="BT13" i="94"/>
  <c r="BU13" i="94"/>
  <c r="BT20" i="94"/>
  <c r="BU20" i="94"/>
  <c r="T9" i="105"/>
  <c r="S8" i="106"/>
  <c r="BT9" i="94"/>
  <c r="BU9" i="94"/>
  <c r="S7" i="105"/>
  <c r="T9" i="106"/>
  <c r="T11" i="105"/>
  <c r="S10" i="106"/>
  <c r="F11" i="105"/>
  <c r="E10" i="106"/>
  <c r="BT11" i="94"/>
  <c r="BU11" i="94"/>
  <c r="F5" i="105"/>
  <c r="BT15" i="94"/>
  <c r="BU15" i="94"/>
  <c r="BT18" i="94"/>
  <c r="BU18" i="94"/>
  <c r="U11" i="105"/>
  <c r="R10" i="106"/>
  <c r="BT4" i="94"/>
  <c r="BU4" i="94"/>
  <c r="BT17" i="94"/>
  <c r="BU17" i="94"/>
  <c r="U9" i="105"/>
  <c r="R8" i="106"/>
  <c r="BT8" i="94"/>
  <c r="BU8" i="94"/>
  <c r="F9" i="105"/>
  <c r="E8" i="106"/>
  <c r="BT14" i="94"/>
  <c r="BU14" i="94"/>
  <c r="E6" i="106"/>
  <c r="BT5" i="94"/>
  <c r="BU5" i="94"/>
  <c r="E11" i="106"/>
  <c r="BT12" i="94"/>
  <c r="P11" i="106" s="1"/>
  <c r="BU12" i="94"/>
  <c r="O11" i="106" s="1"/>
  <c r="F8" i="105"/>
  <c r="BT16" i="94"/>
  <c r="BU16" i="94"/>
  <c r="F12" i="105"/>
  <c r="BU19" i="94"/>
  <c r="BT19" i="94"/>
  <c r="T12" i="105"/>
  <c r="CJ19" i="94"/>
  <c r="S12" i="105"/>
  <c r="U12" i="105" s="1"/>
  <c r="BD16" i="94"/>
  <c r="S8" i="105" s="1"/>
  <c r="U8" i="105" s="1"/>
  <c r="AP21" i="94"/>
  <c r="R3" i="94"/>
  <c r="Y3" i="94"/>
  <c r="BO3" i="94"/>
  <c r="AM3" i="94"/>
  <c r="AY3" i="94"/>
  <c r="AJ3" i="94"/>
  <c r="AX3" i="94"/>
  <c r="AZ3" i="94" s="1"/>
  <c r="BK3" i="94"/>
  <c r="AA3" i="94"/>
  <c r="AC3" i="94" s="1"/>
  <c r="BJ3" i="94"/>
  <c r="AR3" i="94"/>
  <c r="BZ3" i="94"/>
  <c r="BY3" i="94"/>
  <c r="AE3" i="94"/>
  <c r="AG3" i="94" s="1"/>
  <c r="AB3" i="94"/>
  <c r="X3" i="94"/>
  <c r="N2" i="106" s="1"/>
  <c r="BE3" i="94"/>
  <c r="AF3" i="94"/>
  <c r="BP3" i="94"/>
  <c r="AI3" i="94"/>
  <c r="U3" i="94"/>
  <c r="W2" i="106" s="1"/>
  <c r="BF3" i="94"/>
  <c r="AN3" i="94"/>
  <c r="AQ3" i="94"/>
  <c r="AS3" i="94" s="1"/>
  <c r="BY19" i="94"/>
  <c r="BE19" i="94"/>
  <c r="AY19" i="94"/>
  <c r="AE19" i="94"/>
  <c r="AG19" i="94" s="1"/>
  <c r="AA19" i="94"/>
  <c r="AC19" i="94" s="1"/>
  <c r="BP19" i="94"/>
  <c r="BZ19" i="94"/>
  <c r="BF19" i="94"/>
  <c r="AJ19" i="94"/>
  <c r="AF19" i="94"/>
  <c r="AI19" i="94"/>
  <c r="AQ19" i="94"/>
  <c r="AS19" i="94" s="1"/>
  <c r="BJ19" i="94"/>
  <c r="U19" i="94"/>
  <c r="AB19" i="94"/>
  <c r="X19" i="94"/>
  <c r="Z19" i="94" s="1"/>
  <c r="BO19" i="94"/>
  <c r="AM19" i="94"/>
  <c r="AN19" i="94"/>
  <c r="Y19" i="94"/>
  <c r="AX19" i="94"/>
  <c r="AZ19" i="94" s="1"/>
  <c r="AR19" i="94"/>
  <c r="BK19" i="94"/>
  <c r="R19" i="94"/>
  <c r="U5" i="94"/>
  <c r="W6" i="106" s="1"/>
  <c r="BZ5" i="94"/>
  <c r="BO5" i="94"/>
  <c r="AN5" i="94"/>
  <c r="O6" i="106" s="1"/>
  <c r="AQ5" i="94"/>
  <c r="AS5" i="94" s="1"/>
  <c r="BY5" i="94"/>
  <c r="BF5" i="94"/>
  <c r="AB5" i="94"/>
  <c r="AF5" i="94"/>
  <c r="AJ5" i="94"/>
  <c r="BK5" i="94"/>
  <c r="BE5" i="94"/>
  <c r="X5" i="94"/>
  <c r="Z5" i="94" s="1"/>
  <c r="AY5" i="94"/>
  <c r="AE5" i="94"/>
  <c r="AG5" i="94" s="1"/>
  <c r="BP5" i="94"/>
  <c r="BJ5" i="94"/>
  <c r="Y5" i="94"/>
  <c r="AX5" i="94"/>
  <c r="AZ5" i="94" s="1"/>
  <c r="AI5" i="94"/>
  <c r="AA5" i="94"/>
  <c r="AC5" i="94" s="1"/>
  <c r="AM5" i="94"/>
  <c r="P6" i="106" s="1"/>
  <c r="AR5" i="94"/>
  <c r="R5" i="94"/>
  <c r="U6" i="106" s="1"/>
  <c r="AE4" i="94"/>
  <c r="AG4" i="94" s="1"/>
  <c r="BO4" i="94"/>
  <c r="BZ4" i="94"/>
  <c r="AX4" i="94"/>
  <c r="AZ4" i="94" s="1"/>
  <c r="BY4" i="94"/>
  <c r="AJ4" i="94"/>
  <c r="BK4" i="94"/>
  <c r="AA4" i="94"/>
  <c r="AC4" i="94" s="1"/>
  <c r="AR4" i="94"/>
  <c r="BE4" i="94"/>
  <c r="U4" i="94"/>
  <c r="AF4" i="94"/>
  <c r="AY4" i="94"/>
  <c r="Y4" i="94"/>
  <c r="BP4" i="94"/>
  <c r="AM4" i="94"/>
  <c r="X4" i="94"/>
  <c r="Z4" i="94" s="1"/>
  <c r="AN4" i="94"/>
  <c r="AQ4" i="94"/>
  <c r="AS4" i="94" s="1"/>
  <c r="AI4" i="94"/>
  <c r="BJ4" i="94"/>
  <c r="BF4" i="94"/>
  <c r="AB4" i="94"/>
  <c r="R4" i="94"/>
  <c r="L6" i="94"/>
  <c r="E5" i="106" s="1"/>
  <c r="L10" i="94"/>
  <c r="AB9" i="94"/>
  <c r="BJ9" i="94"/>
  <c r="AR9" i="94"/>
  <c r="AJ9" i="94"/>
  <c r="AQ9" i="94"/>
  <c r="AS9" i="94" s="1"/>
  <c r="Y9" i="94"/>
  <c r="AF9" i="94"/>
  <c r="BO9" i="94"/>
  <c r="BF9" i="94"/>
  <c r="AN9" i="94"/>
  <c r="AE9" i="94"/>
  <c r="AG9" i="94" s="1"/>
  <c r="AI9" i="94"/>
  <c r="X9" i="94"/>
  <c r="Z9" i="94" s="1"/>
  <c r="BY9" i="94"/>
  <c r="AA9" i="94"/>
  <c r="AC9" i="94" s="1"/>
  <c r="AX9" i="94"/>
  <c r="AZ9" i="94" s="1"/>
  <c r="AY9" i="94"/>
  <c r="BZ9" i="94"/>
  <c r="AM9" i="94"/>
  <c r="BP9" i="94"/>
  <c r="U9" i="94"/>
  <c r="BK9" i="94"/>
  <c r="BE9" i="94"/>
  <c r="R9" i="94"/>
  <c r="AQ7" i="94"/>
  <c r="AS7" i="94" s="1"/>
  <c r="U7" i="94"/>
  <c r="W4" i="106" s="1"/>
  <c r="BZ7" i="94"/>
  <c r="BY7" i="94"/>
  <c r="BP7" i="94"/>
  <c r="AJ7" i="94"/>
  <c r="BJ7" i="94"/>
  <c r="AX7" i="94"/>
  <c r="AZ7" i="94" s="1"/>
  <c r="AE7" i="94"/>
  <c r="AG7" i="94" s="1"/>
  <c r="AY7" i="94"/>
  <c r="BF7" i="94"/>
  <c r="BE7" i="94"/>
  <c r="X7" i="94"/>
  <c r="Z7" i="94" s="1"/>
  <c r="AI7" i="94"/>
  <c r="AF7" i="94"/>
  <c r="AR7" i="94"/>
  <c r="BO7" i="94"/>
  <c r="AB7" i="94"/>
  <c r="AN7" i="94"/>
  <c r="O4" i="106" s="1"/>
  <c r="AM7" i="94"/>
  <c r="N4" i="106" s="1"/>
  <c r="AA7" i="94"/>
  <c r="AC7" i="94" s="1"/>
  <c r="Y7" i="94"/>
  <c r="BK7" i="94"/>
  <c r="R7" i="94"/>
  <c r="U4" i="106" s="1"/>
  <c r="BJ11" i="94"/>
  <c r="AA11" i="94"/>
  <c r="AC11" i="94" s="1"/>
  <c r="AN11" i="94"/>
  <c r="AJ11" i="94"/>
  <c r="AE11" i="94"/>
  <c r="AG11" i="94" s="1"/>
  <c r="Y11" i="94"/>
  <c r="BF11" i="94"/>
  <c r="AF11" i="94"/>
  <c r="AY11" i="94"/>
  <c r="BE11" i="94"/>
  <c r="U11" i="94"/>
  <c r="BK11" i="94"/>
  <c r="AR11" i="94"/>
  <c r="BY11" i="94"/>
  <c r="BZ11" i="94"/>
  <c r="AM11" i="94"/>
  <c r="AB11" i="94"/>
  <c r="AI11" i="94"/>
  <c r="BP11" i="94"/>
  <c r="BO11" i="94"/>
  <c r="AQ11" i="94"/>
  <c r="AS11" i="94" s="1"/>
  <c r="X11" i="94"/>
  <c r="Z11" i="94" s="1"/>
  <c r="AX11" i="94"/>
  <c r="AZ11" i="94" s="1"/>
  <c r="R11" i="94"/>
  <c r="U15" i="94"/>
  <c r="BZ15" i="94"/>
  <c r="AI15" i="94"/>
  <c r="BE15" i="94"/>
  <c r="AF15" i="94"/>
  <c r="M25" i="94"/>
  <c r="BJ15" i="94"/>
  <c r="AX15" i="94"/>
  <c r="AZ15" i="94" s="1"/>
  <c r="BP15" i="94"/>
  <c r="AQ15" i="94"/>
  <c r="AS15" i="94" s="1"/>
  <c r="L25" i="94"/>
  <c r="BO15" i="94"/>
  <c r="AR15" i="94"/>
  <c r="AA15" i="94"/>
  <c r="X15" i="94"/>
  <c r="Z15" i="94" s="1"/>
  <c r="BK15" i="94"/>
  <c r="AN15" i="94"/>
  <c r="AM15" i="94"/>
  <c r="AE15" i="94"/>
  <c r="AG15" i="94" s="1"/>
  <c r="BY15" i="94"/>
  <c r="AY15" i="94"/>
  <c r="AJ15" i="94"/>
  <c r="AB15" i="94"/>
  <c r="BF15" i="94"/>
  <c r="Y15" i="94"/>
  <c r="AI18" i="94"/>
  <c r="AJ18" i="94"/>
  <c r="BK18" i="94"/>
  <c r="AA18" i="94"/>
  <c r="AC18" i="94" s="1"/>
  <c r="AR18" i="94"/>
  <c r="AM18" i="94"/>
  <c r="Y18" i="94"/>
  <c r="BJ18" i="94"/>
  <c r="AF18" i="94"/>
  <c r="AN18" i="94"/>
  <c r="AQ18" i="94"/>
  <c r="AS18" i="94" s="1"/>
  <c r="BZ18" i="94"/>
  <c r="AY18" i="94"/>
  <c r="U18" i="94"/>
  <c r="BP18" i="94"/>
  <c r="AE18" i="94"/>
  <c r="AG18" i="94" s="1"/>
  <c r="BO18" i="94"/>
  <c r="AB18" i="94"/>
  <c r="BY18" i="94"/>
  <c r="BF18" i="94"/>
  <c r="X18" i="94"/>
  <c r="Z18" i="94" s="1"/>
  <c r="AX18" i="94"/>
  <c r="AZ18" i="94" s="1"/>
  <c r="BE18" i="94"/>
  <c r="R18" i="94"/>
  <c r="X16" i="94"/>
  <c r="Z16" i="94" s="1"/>
  <c r="AR16" i="94"/>
  <c r="BK16" i="94"/>
  <c r="AA16" i="94"/>
  <c r="AC16" i="94" s="1"/>
  <c r="BZ16" i="94"/>
  <c r="AB16" i="94"/>
  <c r="BY16" i="94"/>
  <c r="BE16" i="94"/>
  <c r="AE16" i="94"/>
  <c r="AG16" i="94" s="1"/>
  <c r="AN16" i="94"/>
  <c r="U16" i="94"/>
  <c r="AQ16" i="94"/>
  <c r="AS16" i="94" s="1"/>
  <c r="BJ16" i="94"/>
  <c r="AI16" i="94"/>
  <c r="AM16" i="94"/>
  <c r="AX16" i="94"/>
  <c r="BP16" i="94"/>
  <c r="AJ16" i="94"/>
  <c r="AF16" i="94"/>
  <c r="BF16" i="94"/>
  <c r="AY16" i="94"/>
  <c r="P8" i="105" s="1"/>
  <c r="Y16" i="94"/>
  <c r="BO16" i="94"/>
  <c r="R16" i="94"/>
  <c r="U13" i="94"/>
  <c r="W9" i="106" s="1"/>
  <c r="AY13" i="94"/>
  <c r="BK13" i="94"/>
  <c r="AX13" i="94"/>
  <c r="AZ13" i="94" s="1"/>
  <c r="BE13" i="94"/>
  <c r="Y13" i="94"/>
  <c r="AI13" i="94"/>
  <c r="AF13" i="94"/>
  <c r="BZ13" i="94"/>
  <c r="BO13" i="94"/>
  <c r="AR13" i="94"/>
  <c r="AQ13" i="94"/>
  <c r="AS13" i="94" s="1"/>
  <c r="AJ13" i="94"/>
  <c r="BF13" i="94"/>
  <c r="BJ13" i="94"/>
  <c r="AE13" i="94"/>
  <c r="AG13" i="94" s="1"/>
  <c r="BY13" i="94"/>
  <c r="AN13" i="94"/>
  <c r="AA13" i="94"/>
  <c r="AC13" i="94" s="1"/>
  <c r="X13" i="94"/>
  <c r="Z13" i="94" s="1"/>
  <c r="BP13" i="94"/>
  <c r="AB13" i="94"/>
  <c r="AM13" i="94"/>
  <c r="R13" i="94"/>
  <c r="X17" i="94"/>
  <c r="Z17" i="94" s="1"/>
  <c r="U17" i="94"/>
  <c r="Y17" i="94"/>
  <c r="AF17" i="94"/>
  <c r="BP17" i="94"/>
  <c r="BF17" i="94"/>
  <c r="AN17" i="94"/>
  <c r="AB17" i="94"/>
  <c r="AQ17" i="94"/>
  <c r="AS17" i="94" s="1"/>
  <c r="BO17" i="94"/>
  <c r="BE17" i="94"/>
  <c r="AE17" i="94"/>
  <c r="AG17" i="94" s="1"/>
  <c r="AM17" i="94"/>
  <c r="BY17" i="94"/>
  <c r="AR17" i="94"/>
  <c r="AI17" i="94"/>
  <c r="BZ17" i="94"/>
  <c r="AX17" i="94"/>
  <c r="AZ17" i="94" s="1"/>
  <c r="BK17" i="94"/>
  <c r="AJ17" i="94"/>
  <c r="AY17" i="94"/>
  <c r="BJ17" i="94"/>
  <c r="AA17" i="94"/>
  <c r="AC17" i="94" s="1"/>
  <c r="R17" i="94"/>
  <c r="Y20" i="94"/>
  <c r="AM20" i="94"/>
  <c r="AF20" i="94"/>
  <c r="AI20" i="94"/>
  <c r="BZ20" i="94"/>
  <c r="BO20" i="94"/>
  <c r="AR20" i="94"/>
  <c r="AQ20" i="94"/>
  <c r="AS20" i="94" s="1"/>
  <c r="AE20" i="94"/>
  <c r="AG20" i="94" s="1"/>
  <c r="AJ20" i="94"/>
  <c r="BY20" i="94"/>
  <c r="BJ20" i="94"/>
  <c r="AN20" i="94"/>
  <c r="AA20" i="94"/>
  <c r="AC20" i="94" s="1"/>
  <c r="BP20" i="94"/>
  <c r="AB20" i="94"/>
  <c r="X20" i="94"/>
  <c r="Z20" i="94" s="1"/>
  <c r="AX20" i="94"/>
  <c r="AZ20" i="94" s="1"/>
  <c r="AY20" i="94"/>
  <c r="BK20" i="94"/>
  <c r="BE20" i="94"/>
  <c r="BF20" i="94"/>
  <c r="U20" i="94"/>
  <c r="R20" i="94"/>
  <c r="BY12" i="94"/>
  <c r="BE12" i="94"/>
  <c r="AY12" i="94"/>
  <c r="AF12" i="94"/>
  <c r="AB12" i="94"/>
  <c r="AJ12" i="94"/>
  <c r="BP12" i="94"/>
  <c r="AQ12" i="94"/>
  <c r="AS12" i="94" s="1"/>
  <c r="AX12" i="94"/>
  <c r="AZ12" i="94" s="1"/>
  <c r="AN12" i="94"/>
  <c r="AR12" i="94"/>
  <c r="BK12" i="94"/>
  <c r="AA12" i="94"/>
  <c r="AC12" i="94" s="1"/>
  <c r="AI12" i="94"/>
  <c r="BZ12" i="94"/>
  <c r="AM12" i="94"/>
  <c r="AE12" i="94"/>
  <c r="AG12" i="94" s="1"/>
  <c r="U12" i="94"/>
  <c r="BF12" i="94"/>
  <c r="X12" i="94"/>
  <c r="Z12" i="94" s="1"/>
  <c r="BO12" i="94"/>
  <c r="BJ12" i="94"/>
  <c r="Y12" i="94"/>
  <c r="U8" i="94"/>
  <c r="AA8" i="94"/>
  <c r="AC8" i="94" s="1"/>
  <c r="Y8" i="94"/>
  <c r="X8" i="94"/>
  <c r="Z8" i="94" s="1"/>
  <c r="BP8" i="94"/>
  <c r="BF8" i="94"/>
  <c r="AN8" i="94"/>
  <c r="AB8" i="94"/>
  <c r="AQ8" i="94"/>
  <c r="AS8" i="94" s="1"/>
  <c r="BO8" i="94"/>
  <c r="BE8" i="94"/>
  <c r="AE8" i="94"/>
  <c r="AG8" i="94" s="1"/>
  <c r="AI8" i="94"/>
  <c r="BY8" i="94"/>
  <c r="AR8" i="94"/>
  <c r="BZ8" i="94"/>
  <c r="AX8" i="94"/>
  <c r="AZ8" i="94" s="1"/>
  <c r="BK8" i="94"/>
  <c r="AJ8" i="94"/>
  <c r="AF8" i="94"/>
  <c r="AY8" i="94"/>
  <c r="BJ8" i="94"/>
  <c r="AM8" i="94"/>
  <c r="R8" i="94"/>
  <c r="L27" i="94"/>
  <c r="U14" i="94"/>
  <c r="W8" i="106" s="1"/>
  <c r="AB14" i="94"/>
  <c r="X14" i="94"/>
  <c r="Z14" i="94" s="1"/>
  <c r="AA14" i="94"/>
  <c r="AC14" i="94" s="1"/>
  <c r="AF14" i="94"/>
  <c r="AI14" i="94"/>
  <c r="BK14" i="94"/>
  <c r="AR14" i="94"/>
  <c r="M27" i="94"/>
  <c r="Y14" i="94"/>
  <c r="BY14" i="94"/>
  <c r="BJ14" i="94"/>
  <c r="AE14" i="94"/>
  <c r="AG14" i="94" s="1"/>
  <c r="AN14" i="94"/>
  <c r="BZ14" i="94"/>
  <c r="BF14" i="94"/>
  <c r="AQ14" i="94"/>
  <c r="AS14" i="94" s="1"/>
  <c r="AJ14" i="94"/>
  <c r="BO14" i="94"/>
  <c r="AY14" i="94"/>
  <c r="BP14" i="94"/>
  <c r="AX14" i="94"/>
  <c r="AZ14" i="94" s="1"/>
  <c r="BE14" i="94"/>
  <c r="AM14" i="94"/>
  <c r="R14" i="94"/>
  <c r="O30" i="91"/>
  <c r="O31" i="91" s="1"/>
  <c r="P27" i="91"/>
  <c r="P28" i="91" s="1"/>
  <c r="W12" i="106" l="1"/>
  <c r="X13" i="105"/>
  <c r="X6" i="105"/>
  <c r="W3" i="106"/>
  <c r="Q6" i="105"/>
  <c r="N3" i="106"/>
  <c r="O3" i="106"/>
  <c r="P6" i="105"/>
  <c r="U3" i="106"/>
  <c r="V6" i="105"/>
  <c r="Q11" i="105"/>
  <c r="N10" i="106"/>
  <c r="P7" i="105"/>
  <c r="O9" i="106"/>
  <c r="P5" i="105"/>
  <c r="F4" i="105"/>
  <c r="BT6" i="94"/>
  <c r="BU6" i="94"/>
  <c r="O7" i="105"/>
  <c r="P9" i="106"/>
  <c r="P9" i="105"/>
  <c r="O8" i="106"/>
  <c r="W11" i="106"/>
  <c r="W10" i="106"/>
  <c r="X11" i="105"/>
  <c r="P11" i="105"/>
  <c r="O10" i="106"/>
  <c r="Q9" i="105"/>
  <c r="N8" i="106"/>
  <c r="F10" i="105"/>
  <c r="E7" i="106"/>
  <c r="BT10" i="94"/>
  <c r="O10" i="105" s="1"/>
  <c r="BU10" i="94"/>
  <c r="P10" i="105" s="1"/>
  <c r="X12" i="105"/>
  <c r="P3" i="105"/>
  <c r="O2" i="106"/>
  <c r="X9" i="105"/>
  <c r="AP20" i="94"/>
  <c r="AP17" i="94"/>
  <c r="AP13" i="94"/>
  <c r="AP16" i="94"/>
  <c r="AZ16" i="94"/>
  <c r="O8" i="105" s="1"/>
  <c r="Q8" i="105" s="1"/>
  <c r="AP18" i="94"/>
  <c r="X5" i="105"/>
  <c r="AP8" i="94"/>
  <c r="X8" i="105"/>
  <c r="AP11" i="94"/>
  <c r="AP7" i="94"/>
  <c r="R4" i="106" s="1"/>
  <c r="R13" i="106" s="1"/>
  <c r="R14" i="106" s="1"/>
  <c r="AP9" i="94"/>
  <c r="X3" i="105"/>
  <c r="AP3" i="94"/>
  <c r="AP14" i="94"/>
  <c r="X7" i="105"/>
  <c r="AC15" i="94"/>
  <c r="O5" i="105" s="1"/>
  <c r="Q5" i="105" s="1"/>
  <c r="AP4" i="94"/>
  <c r="AP5" i="94"/>
  <c r="T6" i="106" s="1"/>
  <c r="AP19" i="94"/>
  <c r="Z3" i="94"/>
  <c r="O3" i="105"/>
  <c r="M29" i="94"/>
  <c r="AX10" i="94"/>
  <c r="AZ10" i="94" s="1"/>
  <c r="BO10" i="94"/>
  <c r="Y10" i="94"/>
  <c r="BZ10" i="94"/>
  <c r="BJ10" i="94"/>
  <c r="AJ10" i="94"/>
  <c r="O7" i="106" s="1"/>
  <c r="AM10" i="94"/>
  <c r="U10" i="94"/>
  <c r="AN10" i="94"/>
  <c r="AE10" i="94"/>
  <c r="AG10" i="94" s="1"/>
  <c r="X10" i="94"/>
  <c r="Z10" i="94" s="1"/>
  <c r="AI10" i="94"/>
  <c r="P7" i="106" s="1"/>
  <c r="BY10" i="94"/>
  <c r="AY10" i="94"/>
  <c r="BK10" i="94"/>
  <c r="AR10" i="94"/>
  <c r="AA10" i="94"/>
  <c r="AC10" i="94" s="1"/>
  <c r="AB10" i="94"/>
  <c r="BP10" i="94"/>
  <c r="AQ10" i="94"/>
  <c r="AS10" i="94" s="1"/>
  <c r="BF10" i="94"/>
  <c r="BE10" i="94"/>
  <c r="AF10" i="94"/>
  <c r="R10" i="94"/>
  <c r="U7" i="106" s="1"/>
  <c r="L29" i="94"/>
  <c r="AB6" i="94"/>
  <c r="O5" i="106" s="1"/>
  <c r="AR6" i="94"/>
  <c r="X6" i="94"/>
  <c r="Z6" i="94" s="1"/>
  <c r="AI6" i="94"/>
  <c r="AE6" i="94"/>
  <c r="AG6" i="94" s="1"/>
  <c r="BP6" i="94"/>
  <c r="BF6" i="94"/>
  <c r="BK6" i="94"/>
  <c r="Y6" i="94"/>
  <c r="BE6" i="94"/>
  <c r="AY6" i="94"/>
  <c r="AX6" i="94"/>
  <c r="AZ6" i="94" s="1"/>
  <c r="U6" i="94"/>
  <c r="W5" i="106" s="1"/>
  <c r="AJ6" i="94"/>
  <c r="BO6" i="94"/>
  <c r="AF6" i="94"/>
  <c r="AN6" i="94"/>
  <c r="BY6" i="94"/>
  <c r="AA6" i="94"/>
  <c r="AQ6" i="94"/>
  <c r="AS6" i="94" s="1"/>
  <c r="BZ6" i="94"/>
  <c r="AM6" i="94"/>
  <c r="BJ6" i="94"/>
  <c r="R6" i="94"/>
  <c r="U5" i="106" s="1"/>
  <c r="P30" i="91"/>
  <c r="P31" i="91" s="1"/>
  <c r="P23" i="91"/>
  <c r="Q27" i="91"/>
  <c r="Q28" i="91" s="1"/>
  <c r="Q23" i="91"/>
  <c r="P8" i="89"/>
  <c r="N8" i="89"/>
  <c r="O8" i="89" s="1"/>
  <c r="AC6" i="94" l="1"/>
  <c r="N5" i="106" s="1"/>
  <c r="P5" i="106" s="1"/>
  <c r="Q3" i="105"/>
  <c r="Q14" i="105" s="1"/>
  <c r="Q15" i="105" s="1"/>
  <c r="P2" i="106"/>
  <c r="P4" i="105"/>
  <c r="P14" i="105" s="1"/>
  <c r="P15" i="105" s="1"/>
  <c r="P17" i="105" s="1"/>
  <c r="O13" i="106"/>
  <c r="O14" i="106" s="1"/>
  <c r="R15" i="106"/>
  <c r="R16" i="106"/>
  <c r="W7" i="106"/>
  <c r="W13" i="106" s="1"/>
  <c r="X10" i="105"/>
  <c r="O4" i="105"/>
  <c r="O14" i="105" s="1"/>
  <c r="O15" i="105" s="1"/>
  <c r="AP10" i="94"/>
  <c r="X4" i="105"/>
  <c r="AP6" i="94"/>
  <c r="V4" i="105"/>
  <c r="Q30" i="91"/>
  <c r="Q31" i="91" s="1"/>
  <c r="R27" i="91"/>
  <c r="R28" i="91" s="1"/>
  <c r="R23" i="91"/>
  <c r="X14" i="105" l="1"/>
  <c r="P16" i="105"/>
  <c r="O16" i="106"/>
  <c r="O15" i="106"/>
  <c r="P13" i="106"/>
  <c r="P14" i="106" s="1"/>
  <c r="N13" i="106"/>
  <c r="N14" i="106" s="1"/>
  <c r="O17" i="105"/>
  <c r="O16" i="105"/>
  <c r="Q16" i="105"/>
  <c r="Q17" i="105"/>
  <c r="O12" i="94"/>
  <c r="O15" i="94"/>
  <c r="S27" i="91"/>
  <c r="S28" i="91" s="1"/>
  <c r="S23" i="91"/>
  <c r="C23" i="91" s="1"/>
  <c r="C17" i="91"/>
  <c r="F26" i="92" s="1"/>
  <c r="F23" i="92" s="1"/>
  <c r="F17" i="92" s="1"/>
  <c r="F11" i="92" s="1"/>
  <c r="F9" i="101" s="1"/>
  <c r="R30" i="91"/>
  <c r="R31" i="91" s="1"/>
  <c r="M20" i="94"/>
  <c r="BV20" i="94" l="1"/>
  <c r="G13" i="105"/>
  <c r="F12" i="106"/>
  <c r="BX15" i="94"/>
  <c r="BW15" i="94"/>
  <c r="N16" i="106"/>
  <c r="N15" i="106"/>
  <c r="P15" i="106"/>
  <c r="P16" i="106"/>
  <c r="H11" i="106"/>
  <c r="BX12" i="94"/>
  <c r="S11" i="106" s="1"/>
  <c r="S13" i="106" s="1"/>
  <c r="S14" i="106" s="1"/>
  <c r="BW12" i="94"/>
  <c r="T11" i="106" s="1"/>
  <c r="T13" i="106" s="1"/>
  <c r="T14" i="106" s="1"/>
  <c r="CF15" i="94"/>
  <c r="I5" i="105"/>
  <c r="R12" i="94"/>
  <c r="M18" i="94"/>
  <c r="BN12" i="94"/>
  <c r="BH12" i="94"/>
  <c r="CB12" i="94"/>
  <c r="BI15" i="94"/>
  <c r="AV12" i="94"/>
  <c r="BC12" i="94"/>
  <c r="CI12" i="94"/>
  <c r="T14" i="105" s="1"/>
  <c r="T15" i="105" s="1"/>
  <c r="BS12" i="94"/>
  <c r="BR12" i="94"/>
  <c r="AU12" i="94"/>
  <c r="AW12" i="94" s="1"/>
  <c r="BI12" i="94"/>
  <c r="CE12" i="94"/>
  <c r="CG12" i="94" s="1"/>
  <c r="BM12" i="94"/>
  <c r="CC12" i="94"/>
  <c r="CH12" i="94"/>
  <c r="BB12" i="94"/>
  <c r="BD12" i="94" s="1"/>
  <c r="CF12" i="94"/>
  <c r="CH15" i="94"/>
  <c r="CJ15" i="94" s="1"/>
  <c r="BR15" i="94"/>
  <c r="R15" i="94"/>
  <c r="U13" i="106" s="1"/>
  <c r="CC15" i="94"/>
  <c r="CB15" i="94"/>
  <c r="BM15" i="94"/>
  <c r="BS15" i="94"/>
  <c r="BH15" i="94"/>
  <c r="AU15" i="94"/>
  <c r="AW15" i="94" s="1"/>
  <c r="CI15" i="94"/>
  <c r="BC15" i="94"/>
  <c r="CE15" i="94"/>
  <c r="CG15" i="94" s="1"/>
  <c r="AV15" i="94"/>
  <c r="BB15" i="94"/>
  <c r="BD15" i="94" s="1"/>
  <c r="BN15" i="94"/>
  <c r="BL20" i="94"/>
  <c r="AD20" i="94"/>
  <c r="CK20" i="94"/>
  <c r="BA20" i="94"/>
  <c r="AK20" i="94"/>
  <c r="CD20" i="94"/>
  <c r="CA20" i="94"/>
  <c r="BQ20" i="94"/>
  <c r="AH20" i="94"/>
  <c r="BG20" i="94"/>
  <c r="AT20" i="94"/>
  <c r="F33" i="92"/>
  <c r="Y34" i="91"/>
  <c r="Z30" i="91"/>
  <c r="Z23" i="91"/>
  <c r="Z31" i="91"/>
  <c r="Z27" i="91"/>
  <c r="Z29" i="91"/>
  <c r="Z24" i="91"/>
  <c r="Z25" i="91"/>
  <c r="S30" i="91"/>
  <c r="S31" i="91" s="1"/>
  <c r="C19" i="91"/>
  <c r="F20" i="92" s="1"/>
  <c r="F19" i="92" s="1"/>
  <c r="Z26" i="91"/>
  <c r="C27" i="91"/>
  <c r="C28" i="91" s="1"/>
  <c r="Q12" i="106" l="1"/>
  <c r="Q13" i="106" s="1"/>
  <c r="Q14" i="106" s="1"/>
  <c r="Q15" i="106" s="1"/>
  <c r="Q16" i="106" s="1"/>
  <c r="R13" i="105"/>
  <c r="R14" i="105" s="1"/>
  <c r="R15" i="105" s="1"/>
  <c r="R16" i="105" s="1"/>
  <c r="R17" i="105" s="1"/>
  <c r="O7" i="83"/>
  <c r="J7" i="83"/>
  <c r="T15" i="106"/>
  <c r="T16" i="106"/>
  <c r="CJ12" i="94"/>
  <c r="T17" i="105"/>
  <c r="T16" i="105"/>
  <c r="AK18" i="94"/>
  <c r="BV18" i="94"/>
  <c r="S15" i="106"/>
  <c r="S16" i="106"/>
  <c r="AP15" i="94"/>
  <c r="V5" i="105"/>
  <c r="V14" i="105" s="1"/>
  <c r="AP12" i="94"/>
  <c r="BG18" i="94"/>
  <c r="AT18" i="94"/>
  <c r="BL18" i="94"/>
  <c r="BA18" i="94"/>
  <c r="CK18" i="94"/>
  <c r="BQ18" i="94"/>
  <c r="CA18" i="94"/>
  <c r="AD18" i="94"/>
  <c r="CD18" i="94"/>
  <c r="AH18" i="94"/>
  <c r="Z28" i="91"/>
  <c r="Z32" i="91" s="1"/>
  <c r="C30" i="91"/>
  <c r="C31" i="91" s="1"/>
  <c r="U14" i="105" l="1"/>
  <c r="U15" i="105" s="1"/>
  <c r="S14" i="105"/>
  <c r="S15" i="105" s="1"/>
  <c r="K7" i="83"/>
  <c r="P7" i="83"/>
  <c r="K6" i="88"/>
  <c r="P7" i="89"/>
  <c r="N7" i="89"/>
  <c r="O7" i="89" s="1"/>
  <c r="S17" i="105" l="1"/>
  <c r="S16" i="105"/>
  <c r="U16" i="105"/>
  <c r="U17" i="105"/>
  <c r="H6" i="88"/>
  <c r="P6" i="89" l="1"/>
  <c r="N6" i="89"/>
  <c r="O6" i="89" s="1"/>
  <c r="U13" i="49" l="1"/>
  <c r="D6" i="88"/>
  <c r="N5" i="89"/>
  <c r="P5" i="89"/>
  <c r="O5" i="89"/>
  <c r="H3" i="76" l="1"/>
  <c r="S3" i="76" s="1"/>
  <c r="Q18" i="76" l="1"/>
  <c r="Z3" i="76"/>
  <c r="E19" i="86"/>
  <c r="Q19" i="86" s="1"/>
  <c r="I19" i="86"/>
  <c r="J19" i="86"/>
  <c r="AB19" i="86" s="1"/>
  <c r="K19" i="86"/>
  <c r="AC19" i="86" s="1"/>
  <c r="L19" i="86"/>
  <c r="AD19" i="86" s="1"/>
  <c r="M19" i="86"/>
  <c r="AE19" i="86" s="1"/>
  <c r="N19" i="86"/>
  <c r="AF19" i="86" s="1"/>
  <c r="O19" i="86"/>
  <c r="AG19" i="86" s="1"/>
  <c r="P19" i="86"/>
  <c r="AH19" i="86" s="1"/>
  <c r="I14" i="88" l="1"/>
  <c r="J14" i="88" s="1"/>
  <c r="F22" i="88"/>
  <c r="G22" i="88" s="1"/>
  <c r="H22" i="88" s="1"/>
  <c r="I22" i="88" s="1"/>
  <c r="J22" i="88" s="1"/>
  <c r="K22" i="88" s="1"/>
  <c r="L22" i="88" s="1"/>
  <c r="M22" i="88" s="1"/>
  <c r="N22" i="88" s="1"/>
  <c r="E17" i="88"/>
  <c r="F17" i="88" s="1"/>
  <c r="G17" i="88" s="1"/>
  <c r="H17" i="88" s="1"/>
  <c r="I17" i="88" s="1"/>
  <c r="J17" i="88" s="1"/>
  <c r="K17" i="88" s="1"/>
  <c r="L17" i="88" s="1"/>
  <c r="M17" i="88" s="1"/>
  <c r="N17" i="88" s="1"/>
  <c r="E18" i="88"/>
  <c r="F18" i="88" s="1"/>
  <c r="G18" i="88" s="1"/>
  <c r="H18" i="88" s="1"/>
  <c r="I18" i="88" s="1"/>
  <c r="J18" i="88" s="1"/>
  <c r="K18" i="88" s="1"/>
  <c r="L18" i="88" s="1"/>
  <c r="M18" i="88" s="1"/>
  <c r="N18" i="88" s="1"/>
  <c r="E19" i="88"/>
  <c r="F19" i="88" s="1"/>
  <c r="G19" i="88" s="1"/>
  <c r="H19" i="88" s="1"/>
  <c r="I19" i="88" s="1"/>
  <c r="J19" i="88" s="1"/>
  <c r="K19" i="88" s="1"/>
  <c r="L19" i="88" s="1"/>
  <c r="M19" i="88" s="1"/>
  <c r="N19" i="88" s="1"/>
  <c r="E20" i="88"/>
  <c r="E21" i="88"/>
  <c r="E22" i="88"/>
  <c r="E16" i="88"/>
  <c r="E15" i="88"/>
  <c r="F15" i="88" s="1"/>
  <c r="G15" i="88" s="1"/>
  <c r="I15" i="88" s="1"/>
  <c r="J15" i="88" s="1"/>
  <c r="K15" i="88" s="1"/>
  <c r="L15" i="88" s="1"/>
  <c r="M15" i="88" s="1"/>
  <c r="N15" i="88" s="1"/>
  <c r="S12" i="81"/>
  <c r="S11" i="81"/>
  <c r="E13" i="88"/>
  <c r="F21" i="89"/>
  <c r="C19" i="89"/>
  <c r="C18" i="89"/>
  <c r="F16" i="89"/>
  <c r="F15" i="89"/>
  <c r="C15" i="89"/>
  <c r="C14" i="89"/>
  <c r="F13" i="89"/>
  <c r="C12" i="89"/>
  <c r="F14" i="89"/>
  <c r="O4" i="89"/>
  <c r="F12" i="89" s="1"/>
  <c r="K4" i="89"/>
  <c r="P4" i="89" s="1"/>
  <c r="C13" i="89" s="1"/>
  <c r="S43" i="88"/>
  <c r="R43" i="88"/>
  <c r="Q43" i="88"/>
  <c r="P43" i="88"/>
  <c r="O43" i="88"/>
  <c r="N43" i="88"/>
  <c r="M43" i="88"/>
  <c r="L43" i="88"/>
  <c r="K43" i="88"/>
  <c r="J43" i="88"/>
  <c r="I43" i="88"/>
  <c r="I7" i="88" s="1"/>
  <c r="J7" i="88" s="1"/>
  <c r="K7" i="88" s="1"/>
  <c r="H43" i="88"/>
  <c r="G43" i="88"/>
  <c r="F43" i="88"/>
  <c r="E43" i="88"/>
  <c r="Q40" i="88"/>
  <c r="N40" i="88"/>
  <c r="M40" i="88"/>
  <c r="L40" i="88"/>
  <c r="K40" i="88"/>
  <c r="J40" i="88"/>
  <c r="I40" i="88"/>
  <c r="H40" i="88"/>
  <c r="G40" i="88"/>
  <c r="F40" i="88"/>
  <c r="E40" i="88"/>
  <c r="D40" i="88"/>
  <c r="R40" i="88"/>
  <c r="S40" i="88"/>
  <c r="D30" i="88"/>
  <c r="R29" i="88"/>
  <c r="Q29" i="88"/>
  <c r="N29" i="88"/>
  <c r="M29" i="88"/>
  <c r="L29" i="88"/>
  <c r="K29" i="88"/>
  <c r="J29" i="88"/>
  <c r="I29" i="88"/>
  <c r="H29" i="88"/>
  <c r="G29" i="88"/>
  <c r="F29" i="88"/>
  <c r="E29" i="88"/>
  <c r="D29" i="88"/>
  <c r="D27" i="88"/>
  <c r="F26" i="88"/>
  <c r="E26" i="88"/>
  <c r="D26" i="88"/>
  <c r="D23" i="88"/>
  <c r="B22" i="88"/>
  <c r="B18" i="88"/>
  <c r="B17" i="88"/>
  <c r="B15" i="88"/>
  <c r="B14" i="88"/>
  <c r="F13" i="88"/>
  <c r="D13" i="88"/>
  <c r="S29" i="88"/>
  <c r="C12" i="88"/>
  <c r="C24" i="89" s="1"/>
  <c r="C10" i="88"/>
  <c r="C27" i="89" s="1"/>
  <c r="C9" i="88"/>
  <c r="C8" i="88"/>
  <c r="C6" i="88"/>
  <c r="C25" i="89" s="1"/>
  <c r="E4" i="88"/>
  <c r="F4" i="88" s="1"/>
  <c r="R15" i="88" l="1"/>
  <c r="S15" i="88" s="1"/>
  <c r="O15" i="88"/>
  <c r="O19" i="88"/>
  <c r="O18" i="88"/>
  <c r="P18" i="88" s="1"/>
  <c r="Q18" i="88" s="1"/>
  <c r="R18" i="88" s="1"/>
  <c r="S18" i="88" s="1"/>
  <c r="O17" i="88"/>
  <c r="P17" i="88" s="1"/>
  <c r="Q17" i="88" s="1"/>
  <c r="R17" i="88" s="1"/>
  <c r="S17" i="88" s="1"/>
  <c r="O22" i="88"/>
  <c r="P22" i="88" s="1"/>
  <c r="Q22" i="88" s="1"/>
  <c r="G4" i="88"/>
  <c r="H4" i="88" s="1"/>
  <c r="I4" i="88" s="1"/>
  <c r="J4" i="88" s="1"/>
  <c r="K4" i="88" s="1"/>
  <c r="L4" i="88" s="1"/>
  <c r="M4" i="88" s="1"/>
  <c r="N4" i="88" s="1"/>
  <c r="E30" i="88"/>
  <c r="E31" i="88" s="1"/>
  <c r="F20" i="88"/>
  <c r="G20" i="88" s="1"/>
  <c r="H20" i="88" s="1"/>
  <c r="I20" i="88" s="1"/>
  <c r="J20" i="88" s="1"/>
  <c r="K20" i="88" s="1"/>
  <c r="L20" i="88" s="1"/>
  <c r="M20" i="88" s="1"/>
  <c r="N20" i="88" s="1"/>
  <c r="E27" i="88"/>
  <c r="E28" i="88" s="1"/>
  <c r="C17" i="89"/>
  <c r="G26" i="88"/>
  <c r="R21" i="88"/>
  <c r="H16" i="88"/>
  <c r="D31" i="88"/>
  <c r="H26" i="88"/>
  <c r="H13" i="88"/>
  <c r="G13" i="88"/>
  <c r="C11" i="89"/>
  <c r="F27" i="88"/>
  <c r="F28" i="88" s="1"/>
  <c r="C29" i="88"/>
  <c r="C14" i="88"/>
  <c r="F28" i="89" s="1"/>
  <c r="E23" i="88"/>
  <c r="D28" i="88"/>
  <c r="R22" i="88" l="1"/>
  <c r="S22" i="88" s="1"/>
  <c r="C22" i="88"/>
  <c r="F33" i="89" s="1"/>
  <c r="O20" i="88"/>
  <c r="P20" i="88" s="1"/>
  <c r="Q20" i="88" s="1"/>
  <c r="F30" i="88"/>
  <c r="F31" i="88" s="1"/>
  <c r="C18" i="88"/>
  <c r="F31" i="89" s="1"/>
  <c r="O30" i="88"/>
  <c r="O31" i="88" s="1"/>
  <c r="P19" i="88"/>
  <c r="O27" i="88"/>
  <c r="O28" i="88" s="1"/>
  <c r="P15" i="88"/>
  <c r="P27" i="88" s="1"/>
  <c r="P28" i="88" s="1"/>
  <c r="O4" i="88"/>
  <c r="P4" i="88" s="1"/>
  <c r="Q4" i="88" s="1"/>
  <c r="R4" i="88" s="1"/>
  <c r="G30" i="88"/>
  <c r="G31" i="88" s="1"/>
  <c r="C21" i="88"/>
  <c r="F32" i="89" s="1"/>
  <c r="I16" i="88"/>
  <c r="H30" i="88"/>
  <c r="H31" i="88" s="1"/>
  <c r="I13" i="88"/>
  <c r="I26" i="88"/>
  <c r="F23" i="88"/>
  <c r="R20" i="88" l="1"/>
  <c r="S20" i="88" s="1"/>
  <c r="O23" i="88"/>
  <c r="P23" i="88"/>
  <c r="P30" i="88"/>
  <c r="P31" i="88" s="1"/>
  <c r="Q19" i="88"/>
  <c r="J16" i="88"/>
  <c r="I30" i="88"/>
  <c r="I31" i="88" s="1"/>
  <c r="J13" i="88"/>
  <c r="J26" i="88"/>
  <c r="J27" i="88"/>
  <c r="C11" i="88"/>
  <c r="C23" i="89" s="1"/>
  <c r="Q27" i="88"/>
  <c r="G27" i="88"/>
  <c r="G28" i="88" s="1"/>
  <c r="G23" i="88"/>
  <c r="R19" i="88" l="1"/>
  <c r="S19" i="88" s="1"/>
  <c r="C19" i="88"/>
  <c r="F20" i="89" s="1"/>
  <c r="F19" i="89" s="1"/>
  <c r="C20" i="88"/>
  <c r="F25" i="89" s="1"/>
  <c r="J28" i="88"/>
  <c r="J30" i="88"/>
  <c r="J31" i="88" s="1"/>
  <c r="K16" i="88"/>
  <c r="J23" i="88"/>
  <c r="K26" i="88"/>
  <c r="K13" i="88"/>
  <c r="K27" i="88"/>
  <c r="S4" i="88"/>
  <c r="R27" i="88"/>
  <c r="H23" i="88"/>
  <c r="H27" i="88"/>
  <c r="H28" i="88" s="1"/>
  <c r="S35" i="81"/>
  <c r="S34" i="81"/>
  <c r="K28" i="88" l="1"/>
  <c r="L16" i="88"/>
  <c r="K30" i="88"/>
  <c r="K31" i="88" s="1"/>
  <c r="K23" i="88"/>
  <c r="L26" i="88"/>
  <c r="L13" i="88"/>
  <c r="I23" i="88"/>
  <c r="I27" i="88"/>
  <c r="I28" i="88" s="1"/>
  <c r="C17" i="88"/>
  <c r="F30" i="89" s="1"/>
  <c r="L27" i="88"/>
  <c r="S27" i="88"/>
  <c r="M16" i="88" l="1"/>
  <c r="M23" i="88" s="1"/>
  <c r="L30" i="88"/>
  <c r="L31" i="88" s="1"/>
  <c r="L23" i="88"/>
  <c r="L28" i="88"/>
  <c r="M13" i="88"/>
  <c r="M26" i="88"/>
  <c r="M27" i="88"/>
  <c r="R35" i="81"/>
  <c r="R34" i="81"/>
  <c r="N16" i="88" l="1"/>
  <c r="M30" i="88"/>
  <c r="M31" i="88" s="1"/>
  <c r="M28" i="88"/>
  <c r="N13" i="88"/>
  <c r="N26" i="88"/>
  <c r="N27" i="88"/>
  <c r="C15" i="88"/>
  <c r="F29" i="89" s="1"/>
  <c r="F27" i="89" s="1"/>
  <c r="N28" i="88" l="1"/>
  <c r="N30" i="88"/>
  <c r="N31" i="88" s="1"/>
  <c r="N23" i="88"/>
  <c r="C27" i="88"/>
  <c r="P6" i="82"/>
  <c r="O6" i="82"/>
  <c r="Q16" i="88" l="1"/>
  <c r="Q26" i="88"/>
  <c r="Q28" i="88" s="1"/>
  <c r="Q13" i="88"/>
  <c r="V4" i="85"/>
  <c r="N6" i="32"/>
  <c r="N8" i="32"/>
  <c r="N9" i="32"/>
  <c r="N10" i="32"/>
  <c r="N11" i="32"/>
  <c r="N12" i="32"/>
  <c r="N13" i="32"/>
  <c r="N14" i="32"/>
  <c r="N15" i="32"/>
  <c r="N16" i="32"/>
  <c r="N17" i="32"/>
  <c r="N18" i="32"/>
  <c r="N19" i="32"/>
  <c r="N21" i="32"/>
  <c r="N22" i="32"/>
  <c r="N23" i="32"/>
  <c r="N7" i="32"/>
  <c r="S13" i="88" l="1"/>
  <c r="S26" i="88"/>
  <c r="S28" i="88" s="1"/>
  <c r="R16" i="88"/>
  <c r="Q30" i="88"/>
  <c r="Q31" i="88" s="1"/>
  <c r="Q23" i="88"/>
  <c r="R26" i="88"/>
  <c r="R28" i="88" s="1"/>
  <c r="R13" i="88"/>
  <c r="C7" i="88"/>
  <c r="C13" i="88" l="1"/>
  <c r="Z7" i="88" s="1"/>
  <c r="R30" i="88"/>
  <c r="R31" i="88" s="1"/>
  <c r="S16" i="88"/>
  <c r="R23" i="88"/>
  <c r="C26" i="89"/>
  <c r="C22" i="89" s="1"/>
  <c r="C26" i="88"/>
  <c r="C28" i="88" s="1"/>
  <c r="U4" i="49"/>
  <c r="U16" i="49"/>
  <c r="Z6" i="88" l="1"/>
  <c r="Z9" i="88"/>
  <c r="Z8" i="88"/>
  <c r="Z11" i="88"/>
  <c r="Z12" i="88"/>
  <c r="Z10" i="88"/>
  <c r="Y14" i="88"/>
  <c r="S30" i="88"/>
  <c r="S31" i="88" s="1"/>
  <c r="S23" i="88"/>
  <c r="C23" i="88" s="1"/>
  <c r="C16" i="88"/>
  <c r="BX6" i="86"/>
  <c r="BW6" i="86"/>
  <c r="BX5" i="86"/>
  <c r="BW5" i="86"/>
  <c r="BX4" i="86"/>
  <c r="BW4" i="86"/>
  <c r="BX3" i="86"/>
  <c r="BW3" i="86"/>
  <c r="BX2" i="86"/>
  <c r="BW2" i="86"/>
  <c r="Z13" i="88" l="1"/>
  <c r="Y34" i="88"/>
  <c r="Z28" i="88"/>
  <c r="Z26" i="88"/>
  <c r="Z31" i="88"/>
  <c r="Z24" i="88"/>
  <c r="Z29" i="88"/>
  <c r="Z23" i="88"/>
  <c r="Z30" i="88"/>
  <c r="Z27" i="88"/>
  <c r="F24" i="89"/>
  <c r="F23" i="89" s="1"/>
  <c r="C30" i="88"/>
  <c r="C31" i="88" s="1"/>
  <c r="Z25" i="88"/>
  <c r="Z32" i="88" l="1"/>
  <c r="AR14" i="86"/>
  <c r="AR28" i="86" s="1"/>
  <c r="AR13" i="86"/>
  <c r="AR12" i="86"/>
  <c r="AR26" i="86" s="1"/>
  <c r="AR11" i="86"/>
  <c r="AR9" i="86"/>
  <c r="AR8" i="86"/>
  <c r="AR22" i="86" s="1"/>
  <c r="Z24" i="86"/>
  <c r="V24" i="86"/>
  <c r="U24" i="86"/>
  <c r="S24" i="86"/>
  <c r="P23" i="86"/>
  <c r="AH23" i="86" s="1"/>
  <c r="O23" i="86"/>
  <c r="AG23" i="86" s="1"/>
  <c r="N23" i="86"/>
  <c r="AF23" i="86" s="1"/>
  <c r="L23" i="86"/>
  <c r="AD23" i="86" s="1"/>
  <c r="K23" i="86"/>
  <c r="AC23" i="86" s="1"/>
  <c r="J23" i="86"/>
  <c r="AB23" i="86" s="1"/>
  <c r="I23" i="86"/>
  <c r="E23" i="86"/>
  <c r="Q23" i="86" s="1"/>
  <c r="X24" i="86"/>
  <c r="W24" i="86"/>
  <c r="P22" i="86"/>
  <c r="AH22" i="86" s="1"/>
  <c r="O22" i="86"/>
  <c r="AG22" i="86" s="1"/>
  <c r="N22" i="86"/>
  <c r="AF22" i="86" s="1"/>
  <c r="M22" i="86"/>
  <c r="AE22" i="86" s="1"/>
  <c r="L22" i="86"/>
  <c r="AD22" i="86" s="1"/>
  <c r="K22" i="86"/>
  <c r="AC22" i="86" s="1"/>
  <c r="J22" i="86"/>
  <c r="AB22" i="86" s="1"/>
  <c r="I22" i="86"/>
  <c r="AA22" i="86" s="1"/>
  <c r="E22" i="86"/>
  <c r="Q22" i="86" s="1"/>
  <c r="P21" i="86"/>
  <c r="AH21" i="86" s="1"/>
  <c r="O21" i="86"/>
  <c r="AG21" i="86" s="1"/>
  <c r="N21" i="86"/>
  <c r="AF21" i="86" s="1"/>
  <c r="L21" i="86"/>
  <c r="AD21" i="86" s="1"/>
  <c r="J21" i="86"/>
  <c r="AB21" i="86" s="1"/>
  <c r="I21" i="86"/>
  <c r="E21" i="86"/>
  <c r="Q21" i="86" s="1"/>
  <c r="AH20" i="86"/>
  <c r="AB20" i="86"/>
  <c r="AA20" i="86"/>
  <c r="Q20" i="86"/>
  <c r="P18" i="86"/>
  <c r="AH18" i="86" s="1"/>
  <c r="O18" i="86"/>
  <c r="AG18" i="86" s="1"/>
  <c r="N18" i="86"/>
  <c r="AF18" i="86" s="1"/>
  <c r="M18" i="86"/>
  <c r="AE18" i="86" s="1"/>
  <c r="L18" i="86"/>
  <c r="AD18" i="86" s="1"/>
  <c r="K18" i="86"/>
  <c r="AC18" i="86" s="1"/>
  <c r="J18" i="86"/>
  <c r="AB18" i="86" s="1"/>
  <c r="I18" i="86"/>
  <c r="E18" i="86"/>
  <c r="Q18" i="86" s="1"/>
  <c r="P17" i="86"/>
  <c r="AH17" i="86" s="1"/>
  <c r="O17" i="86"/>
  <c r="AG17" i="86" s="1"/>
  <c r="N17" i="86"/>
  <c r="AF17" i="86" s="1"/>
  <c r="M17" i="86"/>
  <c r="AE17" i="86" s="1"/>
  <c r="L17" i="86"/>
  <c r="AD17" i="86" s="1"/>
  <c r="K17" i="86"/>
  <c r="AC17" i="86" s="1"/>
  <c r="J17" i="86"/>
  <c r="AB17" i="86" s="1"/>
  <c r="I17" i="86"/>
  <c r="AA17" i="86" s="1"/>
  <c r="E17" i="86"/>
  <c r="Q17" i="86" s="1"/>
  <c r="P16" i="86"/>
  <c r="AH16" i="86" s="1"/>
  <c r="O16" i="86"/>
  <c r="AG16" i="86" s="1"/>
  <c r="N16" i="86"/>
  <c r="AF16" i="86" s="1"/>
  <c r="M16" i="86"/>
  <c r="AE16" i="86" s="1"/>
  <c r="L16" i="86"/>
  <c r="AD16" i="86" s="1"/>
  <c r="K16" i="86"/>
  <c r="AC16" i="86" s="1"/>
  <c r="J16" i="86"/>
  <c r="AB16" i="86" s="1"/>
  <c r="I16" i="86"/>
  <c r="AA16" i="86" s="1"/>
  <c r="E16" i="86"/>
  <c r="Q16" i="86" s="1"/>
  <c r="P15" i="86"/>
  <c r="AH15" i="86" s="1"/>
  <c r="O15" i="86"/>
  <c r="AG15" i="86" s="1"/>
  <c r="N15" i="86"/>
  <c r="AF15" i="86" s="1"/>
  <c r="L15" i="86"/>
  <c r="AD15" i="86" s="1"/>
  <c r="K15" i="86"/>
  <c r="AC15" i="86" s="1"/>
  <c r="J15" i="86"/>
  <c r="AB15" i="86" s="1"/>
  <c r="I15" i="86"/>
  <c r="E15" i="86"/>
  <c r="Q15" i="86" s="1"/>
  <c r="P14" i="86"/>
  <c r="AH14" i="86" s="1"/>
  <c r="O14" i="86"/>
  <c r="AG14" i="86" s="1"/>
  <c r="N14" i="86"/>
  <c r="AF14" i="86" s="1"/>
  <c r="M14" i="86"/>
  <c r="AE14" i="86" s="1"/>
  <c r="L14" i="86"/>
  <c r="AD14" i="86" s="1"/>
  <c r="K14" i="86"/>
  <c r="AC14" i="86" s="1"/>
  <c r="J14" i="86"/>
  <c r="AB14" i="86" s="1"/>
  <c r="I14" i="86"/>
  <c r="E14" i="86"/>
  <c r="Q14" i="86" s="1"/>
  <c r="P13" i="86"/>
  <c r="AH13" i="86" s="1"/>
  <c r="O13" i="86"/>
  <c r="AG13" i="86" s="1"/>
  <c r="N13" i="86"/>
  <c r="AF13" i="86" s="1"/>
  <c r="L13" i="86"/>
  <c r="AD13" i="86" s="1"/>
  <c r="K13" i="86"/>
  <c r="AC13" i="86" s="1"/>
  <c r="J13" i="86"/>
  <c r="AB13" i="86" s="1"/>
  <c r="I13" i="86"/>
  <c r="E13" i="86"/>
  <c r="Q13" i="86" s="1"/>
  <c r="P12" i="86"/>
  <c r="AH12" i="86" s="1"/>
  <c r="O12" i="86"/>
  <c r="AG12" i="86" s="1"/>
  <c r="N12" i="86"/>
  <c r="AF12" i="86" s="1"/>
  <c r="L12" i="86"/>
  <c r="AD12" i="86" s="1"/>
  <c r="K12" i="86"/>
  <c r="AC12" i="86" s="1"/>
  <c r="J12" i="86"/>
  <c r="AB12" i="86" s="1"/>
  <c r="I12" i="86"/>
  <c r="AA12" i="86" s="1"/>
  <c r="E12" i="86"/>
  <c r="Q12" i="86" s="1"/>
  <c r="P11" i="86"/>
  <c r="AH11" i="86" s="1"/>
  <c r="O11" i="86"/>
  <c r="AG11" i="86" s="1"/>
  <c r="N11" i="86"/>
  <c r="M11" i="86"/>
  <c r="AE11" i="86" s="1"/>
  <c r="L11" i="86"/>
  <c r="AD11" i="86" s="1"/>
  <c r="K11" i="86"/>
  <c r="AC11" i="86" s="1"/>
  <c r="J11" i="86"/>
  <c r="AB11" i="86" s="1"/>
  <c r="I11" i="86"/>
  <c r="E11" i="86"/>
  <c r="Q11" i="86" s="1"/>
  <c r="P10" i="86"/>
  <c r="AH10" i="86" s="1"/>
  <c r="O10" i="86"/>
  <c r="AG10" i="86" s="1"/>
  <c r="N10" i="86"/>
  <c r="AF10" i="86" s="1"/>
  <c r="M10" i="86"/>
  <c r="AE10" i="86" s="1"/>
  <c r="L10" i="86"/>
  <c r="AD10" i="86" s="1"/>
  <c r="K10" i="86"/>
  <c r="AC10" i="86" s="1"/>
  <c r="J10" i="86"/>
  <c r="AB10" i="86" s="1"/>
  <c r="I10" i="86"/>
  <c r="E10" i="86"/>
  <c r="Q10" i="86" s="1"/>
  <c r="AG4" i="86"/>
  <c r="AD4" i="86"/>
  <c r="Q4" i="86"/>
  <c r="P9" i="86"/>
  <c r="AH9" i="86" s="1"/>
  <c r="O9" i="86"/>
  <c r="AG9" i="86" s="1"/>
  <c r="N9" i="86"/>
  <c r="AF9" i="86" s="1"/>
  <c r="M9" i="86"/>
  <c r="AE9" i="86" s="1"/>
  <c r="L9" i="86"/>
  <c r="AD9" i="86" s="1"/>
  <c r="K9" i="86"/>
  <c r="AC9" i="86" s="1"/>
  <c r="J9" i="86"/>
  <c r="AB9" i="86" s="1"/>
  <c r="I9" i="86"/>
  <c r="AA9" i="86" s="1"/>
  <c r="E9" i="86"/>
  <c r="Q9" i="86" s="1"/>
  <c r="P8" i="86"/>
  <c r="AH8" i="86" s="1"/>
  <c r="O8" i="86"/>
  <c r="AG8" i="86" s="1"/>
  <c r="N8" i="86"/>
  <c r="AF8" i="86" s="1"/>
  <c r="L8" i="86"/>
  <c r="AD8" i="86" s="1"/>
  <c r="K8" i="86"/>
  <c r="AC8" i="86" s="1"/>
  <c r="J8" i="86"/>
  <c r="AB8" i="86" s="1"/>
  <c r="I8" i="86"/>
  <c r="E8" i="86"/>
  <c r="Q8" i="86" s="1"/>
  <c r="P7" i="86"/>
  <c r="AH7" i="86" s="1"/>
  <c r="O7" i="86"/>
  <c r="AG7" i="86" s="1"/>
  <c r="N7" i="86"/>
  <c r="AF7" i="86" s="1"/>
  <c r="M7" i="86"/>
  <c r="AE7" i="86" s="1"/>
  <c r="L7" i="86"/>
  <c r="AD7" i="86" s="1"/>
  <c r="K7" i="86"/>
  <c r="AC7" i="86" s="1"/>
  <c r="J7" i="86"/>
  <c r="AB7" i="86" s="1"/>
  <c r="I7" i="86"/>
  <c r="E7" i="86"/>
  <c r="Q7" i="86" s="1"/>
  <c r="P6" i="86"/>
  <c r="AH6" i="86" s="1"/>
  <c r="O6" i="86"/>
  <c r="AG6" i="86" s="1"/>
  <c r="N6" i="86"/>
  <c r="AF6" i="86" s="1"/>
  <c r="M6" i="86"/>
  <c r="AE6" i="86" s="1"/>
  <c r="L6" i="86"/>
  <c r="AD6" i="86" s="1"/>
  <c r="K6" i="86"/>
  <c r="AC6" i="86" s="1"/>
  <c r="J6" i="86"/>
  <c r="AB6" i="86" s="1"/>
  <c r="I6" i="86"/>
  <c r="E6" i="86"/>
  <c r="Q6" i="86" s="1"/>
  <c r="AO19" i="86"/>
  <c r="AN19" i="86"/>
  <c r="AM19" i="86"/>
  <c r="AL19" i="86"/>
  <c r="AK19" i="86"/>
  <c r="AI19" i="86"/>
  <c r="P5" i="86"/>
  <c r="AH5" i="86" s="1"/>
  <c r="O5" i="86"/>
  <c r="AG5" i="86" s="1"/>
  <c r="N5" i="86"/>
  <c r="AF5" i="86" s="1"/>
  <c r="M5" i="86"/>
  <c r="AE5" i="86" s="1"/>
  <c r="L5" i="86"/>
  <c r="AD5" i="86" s="1"/>
  <c r="K5" i="86"/>
  <c r="AC5" i="86" s="1"/>
  <c r="J5" i="86"/>
  <c r="AB5" i="86" s="1"/>
  <c r="I5" i="86"/>
  <c r="E5" i="86"/>
  <c r="Q5" i="86" s="1"/>
  <c r="D2" i="86"/>
  <c r="Z1" i="86"/>
  <c r="BB7" i="86" l="1"/>
  <c r="AF11" i="86"/>
  <c r="BP23" i="86" s="1"/>
  <c r="BB6" i="86"/>
  <c r="BP21" i="86" s="1"/>
  <c r="BP6" i="86"/>
  <c r="BB20" i="86"/>
  <c r="BP20" i="86"/>
  <c r="AI5" i="86"/>
  <c r="AM5" i="86"/>
  <c r="AL6" i="86"/>
  <c r="AI7" i="86"/>
  <c r="AM7" i="86"/>
  <c r="AO8" i="86"/>
  <c r="AL9" i="86"/>
  <c r="AI4" i="86"/>
  <c r="AM4" i="86"/>
  <c r="AL10" i="86"/>
  <c r="AI11" i="86"/>
  <c r="AK12" i="86"/>
  <c r="AI13" i="86"/>
  <c r="AN13" i="86"/>
  <c r="AK14" i="86"/>
  <c r="AO14" i="86"/>
  <c r="AI15" i="86"/>
  <c r="AN15" i="86"/>
  <c r="AK16" i="86"/>
  <c r="AV6" i="86" s="1"/>
  <c r="AO16" i="86"/>
  <c r="AL17" i="86"/>
  <c r="AI20" i="86"/>
  <c r="AM20" i="86"/>
  <c r="AJ22" i="86"/>
  <c r="AN22" i="86"/>
  <c r="AI23" i="86"/>
  <c r="AN23" i="86"/>
  <c r="AJ5" i="86"/>
  <c r="AN5" i="86"/>
  <c r="AI6" i="86"/>
  <c r="AJ7" i="86"/>
  <c r="AN7" i="86"/>
  <c r="AK8" i="86"/>
  <c r="AV7" i="86" s="1"/>
  <c r="AI9" i="86"/>
  <c r="AJ4" i="86"/>
  <c r="AN4" i="86"/>
  <c r="AI10" i="86"/>
  <c r="AM10" i="86"/>
  <c r="AN11" i="86"/>
  <c r="AJ13" i="86"/>
  <c r="AO13" i="86"/>
  <c r="AL14" i="86"/>
  <c r="AJ15" i="86"/>
  <c r="AO15" i="86"/>
  <c r="AL16" i="86"/>
  <c r="AI17" i="86"/>
  <c r="AJ20" i="86"/>
  <c r="AN20" i="86"/>
  <c r="AN21" i="86"/>
  <c r="AK22" i="86"/>
  <c r="AO22" i="86"/>
  <c r="AJ23" i="86"/>
  <c r="AO23" i="86"/>
  <c r="AK5" i="86"/>
  <c r="AO5" i="86"/>
  <c r="AN6" i="86"/>
  <c r="AK7" i="86"/>
  <c r="AO7" i="86"/>
  <c r="AN9" i="86"/>
  <c r="AK4" i="86"/>
  <c r="AO4" i="86"/>
  <c r="AJ10" i="86"/>
  <c r="AN10" i="86"/>
  <c r="AK11" i="86"/>
  <c r="BJ23" i="86" s="1"/>
  <c r="AI12" i="86"/>
  <c r="AN12" i="86"/>
  <c r="AK13" i="86"/>
  <c r="BJ27" i="86" s="1"/>
  <c r="AI14" i="86"/>
  <c r="AK15" i="86"/>
  <c r="AI16" i="86"/>
  <c r="AJ17" i="86"/>
  <c r="AK20" i="86"/>
  <c r="AO20" i="86"/>
  <c r="AI21" i="86"/>
  <c r="AL22" i="86"/>
  <c r="AK23" i="86"/>
  <c r="AL5" i="86"/>
  <c r="AK6" i="86"/>
  <c r="AO6" i="86"/>
  <c r="AL7" i="86"/>
  <c r="AI8" i="86"/>
  <c r="AN8" i="86"/>
  <c r="AK9" i="86"/>
  <c r="AO9" i="86"/>
  <c r="AL4" i="86"/>
  <c r="AK10" i="86"/>
  <c r="AO10" i="86"/>
  <c r="AL11" i="86"/>
  <c r="BL23" i="86" s="1"/>
  <c r="AJ12" i="86"/>
  <c r="AO12" i="86"/>
  <c r="AJ14" i="86"/>
  <c r="AJ16" i="86"/>
  <c r="AN16" i="86"/>
  <c r="AK17" i="86"/>
  <c r="AO17" i="86"/>
  <c r="AL20" i="86"/>
  <c r="AK21" i="86"/>
  <c r="AI22" i="86"/>
  <c r="AM22" i="86"/>
  <c r="AM23" i="86"/>
  <c r="AN17" i="86"/>
  <c r="AN14" i="86"/>
  <c r="AO21" i="86"/>
  <c r="AI18" i="86"/>
  <c r="AJ18" i="86"/>
  <c r="AN18" i="86"/>
  <c r="AK18" i="86"/>
  <c r="AO18" i="86"/>
  <c r="AL18" i="86"/>
  <c r="AM18" i="86"/>
  <c r="AO11" i="86"/>
  <c r="AA11" i="86"/>
  <c r="AJ6" i="86"/>
  <c r="AJ9" i="86"/>
  <c r="BP22" i="86"/>
  <c r="BP10" i="86" s="1"/>
  <c r="AJ8" i="86"/>
  <c r="AM8" i="86"/>
  <c r="AM12" i="86"/>
  <c r="AM9" i="86"/>
  <c r="AM13" i="86"/>
  <c r="AM16" i="86"/>
  <c r="AM6" i="86"/>
  <c r="AA5" i="86"/>
  <c r="AA19" i="86"/>
  <c r="AA10" i="86"/>
  <c r="AA8" i="86"/>
  <c r="AA4" i="86"/>
  <c r="T24" i="86"/>
  <c r="AA13" i="86"/>
  <c r="AA21" i="86"/>
  <c r="AA6" i="86"/>
  <c r="AA14" i="86"/>
  <c r="AA7" i="86"/>
  <c r="AA15" i="86"/>
  <c r="AA23" i="86"/>
  <c r="AA18" i="86"/>
  <c r="F44" i="81"/>
  <c r="G44" i="81"/>
  <c r="H44" i="81"/>
  <c r="I44" i="81"/>
  <c r="J44" i="81"/>
  <c r="K44" i="81"/>
  <c r="L44" i="81"/>
  <c r="M44" i="81"/>
  <c r="N44" i="81"/>
  <c r="O44" i="81"/>
  <c r="P44" i="81"/>
  <c r="E44" i="81"/>
  <c r="R2" i="85"/>
  <c r="Q4" i="85"/>
  <c r="T4" i="85" s="1"/>
  <c r="U4" i="85" s="1"/>
  <c r="A9" i="85"/>
  <c r="A10" i="85" s="1"/>
  <c r="Q2" i="85"/>
  <c r="J4" i="85"/>
  <c r="I4" i="85"/>
  <c r="J2" i="85"/>
  <c r="I2" i="85"/>
  <c r="AZ6" i="86" l="1"/>
  <c r="BN21" i="86" s="1"/>
  <c r="AZ7" i="86"/>
  <c r="BN22" i="86" s="1"/>
  <c r="AW5" i="86"/>
  <c r="AW19" i="86"/>
  <c r="BK5" i="86" s="1"/>
  <c r="BM27" i="86"/>
  <c r="AV5" i="86"/>
  <c r="AV19" i="86"/>
  <c r="BJ5" i="86" s="1"/>
  <c r="AT7" i="86"/>
  <c r="BC7" i="86"/>
  <c r="BQ22" i="86" s="1"/>
  <c r="BQ10" i="86" s="1"/>
  <c r="BA7" i="86"/>
  <c r="AU7" i="86"/>
  <c r="BH27" i="86"/>
  <c r="BI27" i="86"/>
  <c r="BC19" i="86"/>
  <c r="BQ5" i="86" s="1"/>
  <c r="AU19" i="86"/>
  <c r="BI5" i="86" s="1"/>
  <c r="AS19" i="86"/>
  <c r="BG5" i="86" s="1"/>
  <c r="BC6" i="86"/>
  <c r="BQ21" i="86" s="1"/>
  <c r="AU6" i="86"/>
  <c r="BI21" i="86" s="1"/>
  <c r="BA6" i="86"/>
  <c r="BO21" i="86" s="1"/>
  <c r="AS6" i="86"/>
  <c r="AZ5" i="86"/>
  <c r="AZ19" i="86" s="1"/>
  <c r="BN5" i="86" s="1"/>
  <c r="BC5" i="86"/>
  <c r="BC21" i="86" s="1"/>
  <c r="AS5" i="86"/>
  <c r="BA5" i="86"/>
  <c r="BA19" i="86" s="1"/>
  <c r="BO5" i="86" s="1"/>
  <c r="AU5" i="86"/>
  <c r="BQ6" i="86"/>
  <c r="AS4" i="86"/>
  <c r="AS9" i="86"/>
  <c r="BG25" i="86" s="1"/>
  <c r="AV21" i="86"/>
  <c r="BJ7" i="86" s="1"/>
  <c r="AU21" i="86"/>
  <c r="AT21" i="86"/>
  <c r="BA4" i="86"/>
  <c r="BO4" i="86" s="1"/>
  <c r="BO18" i="86" s="1"/>
  <c r="AU4" i="86"/>
  <c r="W18" i="76"/>
  <c r="BO6" i="86"/>
  <c r="BO20" i="86" s="1"/>
  <c r="BA12" i="86"/>
  <c r="BO24" i="86" s="1"/>
  <c r="BO8" i="86" s="1"/>
  <c r="BA11" i="86"/>
  <c r="AZ10" i="86"/>
  <c r="AZ24" i="86" s="1"/>
  <c r="AZ8" i="86"/>
  <c r="BN23" i="86" s="1"/>
  <c r="BN7" i="86" s="1"/>
  <c r="BN6" i="86"/>
  <c r="BN20" i="86" s="1"/>
  <c r="AZ14" i="86"/>
  <c r="BN27" i="86" s="1"/>
  <c r="BA10" i="86"/>
  <c r="BA20" i="86"/>
  <c r="BO14" i="86" s="1"/>
  <c r="BA14" i="86"/>
  <c r="BO27" i="86" s="1"/>
  <c r="BA9" i="86"/>
  <c r="AZ11" i="86"/>
  <c r="AZ12" i="86"/>
  <c r="BN24" i="86" s="1"/>
  <c r="BN8" i="86" s="1"/>
  <c r="AZ9" i="86"/>
  <c r="AZ13" i="86"/>
  <c r="BN13" i="86" s="1"/>
  <c r="AZ20" i="86"/>
  <c r="BN14" i="86" s="1"/>
  <c r="BC20" i="86"/>
  <c r="BJ14" i="86"/>
  <c r="AV20" i="86"/>
  <c r="BM14" i="86"/>
  <c r="AY20" i="86"/>
  <c r="T2" i="85"/>
  <c r="U2" i="85" s="1"/>
  <c r="AY14" i="86"/>
  <c r="AY28" i="86" s="1"/>
  <c r="BL22" i="86"/>
  <c r="BK20" i="86"/>
  <c r="BK6" i="86" s="1"/>
  <c r="BJ22" i="86"/>
  <c r="BJ10" i="86" s="1"/>
  <c r="BJ21" i="86"/>
  <c r="BJ13" i="86"/>
  <c r="AV13" i="86"/>
  <c r="BJ20" i="86"/>
  <c r="BJ6" i="86" s="1"/>
  <c r="AV10" i="86"/>
  <c r="AV24" i="86" s="1"/>
  <c r="AV14" i="86"/>
  <c r="AV28" i="86" s="1"/>
  <c r="AT12" i="86"/>
  <c r="BI20" i="86"/>
  <c r="BI6" i="86" s="1"/>
  <c r="BQ20" i="86"/>
  <c r="BG20" i="86"/>
  <c r="BG6" i="86" s="1"/>
  <c r="BI22" i="86"/>
  <c r="BI10" i="86" s="1"/>
  <c r="BH22" i="86"/>
  <c r="BH10" i="86" s="1"/>
  <c r="AU10" i="86"/>
  <c r="AU24" i="86" s="1"/>
  <c r="AS10" i="86"/>
  <c r="AS24" i="86" s="1"/>
  <c r="AV8" i="86"/>
  <c r="AV22" i="86" s="1"/>
  <c r="AM21" i="86"/>
  <c r="AU9" i="86"/>
  <c r="BI25" i="86" s="1"/>
  <c r="AU11" i="86"/>
  <c r="AT11" i="86"/>
  <c r="AV12" i="86"/>
  <c r="AM15" i="86"/>
  <c r="AV11" i="86"/>
  <c r="AJ11" i="86"/>
  <c r="AV9" i="86"/>
  <c r="BJ25" i="86" s="1"/>
  <c r="AM11" i="86"/>
  <c r="AU12" i="86"/>
  <c r="AM14" i="86"/>
  <c r="AM17" i="86"/>
  <c r="AY12" i="86"/>
  <c r="R4" i="85"/>
  <c r="AZ21" i="86" l="1"/>
  <c r="AY26" i="86"/>
  <c r="BM12" i="86" s="1"/>
  <c r="BM24" i="86"/>
  <c r="BM8" i="86" s="1"/>
  <c r="AV26" i="86"/>
  <c r="BJ12" i="86" s="1"/>
  <c r="BJ24" i="86"/>
  <c r="BJ8" i="86" s="1"/>
  <c r="BQ23" i="86"/>
  <c r="BQ7" i="86" s="1"/>
  <c r="BI23" i="86"/>
  <c r="BI7" i="86" s="1"/>
  <c r="BH23" i="86"/>
  <c r="BH7" i="86" s="1"/>
  <c r="AU26" i="86"/>
  <c r="BI12" i="86" s="1"/>
  <c r="BI24" i="86"/>
  <c r="BI8" i="86" s="1"/>
  <c r="AT26" i="86"/>
  <c r="BH12" i="86" s="1"/>
  <c r="BG24" i="86"/>
  <c r="BG8" i="86" s="1"/>
  <c r="BG9" i="86"/>
  <c r="AS23" i="86"/>
  <c r="BA8" i="86"/>
  <c r="BO23" i="86" s="1"/>
  <c r="BO7" i="86" s="1"/>
  <c r="BA26" i="86"/>
  <c r="BA18" i="86"/>
  <c r="BN10" i="86"/>
  <c r="AZ22" i="86"/>
  <c r="AZ28" i="86"/>
  <c r="BN28" i="86"/>
  <c r="BO22" i="86"/>
  <c r="BO12" i="86"/>
  <c r="BA28" i="86"/>
  <c r="BB21" i="86"/>
  <c r="BP7" i="86" s="1"/>
  <c r="BO10" i="86"/>
  <c r="AZ27" i="86"/>
  <c r="AZ23" i="86"/>
  <c r="BN9" i="86"/>
  <c r="BN25" i="86"/>
  <c r="AZ26" i="86"/>
  <c r="BN12" i="86" s="1"/>
  <c r="BA21" i="86"/>
  <c r="BN26" i="86"/>
  <c r="BN11" i="86" s="1"/>
  <c r="AZ25" i="86"/>
  <c r="BN19" i="86"/>
  <c r="AZ18" i="86"/>
  <c r="AZ2" i="86"/>
  <c r="BN4" i="86"/>
  <c r="BL10" i="86"/>
  <c r="AV2" i="86"/>
  <c r="BB2" i="86"/>
  <c r="BP19" i="86"/>
  <c r="AW10" i="86"/>
  <c r="AW24" i="86" s="1"/>
  <c r="BA24" i="86"/>
  <c r="AY10" i="86"/>
  <c r="AY24" i="86" s="1"/>
  <c r="AY8" i="86"/>
  <c r="BM13" i="86"/>
  <c r="AY13" i="86"/>
  <c r="BO19" i="86"/>
  <c r="BJ9" i="86"/>
  <c r="AV23" i="86"/>
  <c r="BJ19" i="86"/>
  <c r="AV25" i="86"/>
  <c r="BJ26" i="86"/>
  <c r="BJ11" i="86" s="1"/>
  <c r="AV27" i="86"/>
  <c r="BJ28" i="86"/>
  <c r="AU25" i="86"/>
  <c r="BI26" i="86"/>
  <c r="BI11" i="86" s="1"/>
  <c r="BI19" i="86"/>
  <c r="BH26" i="86"/>
  <c r="BH11" i="86" s="1"/>
  <c r="AT25" i="86"/>
  <c r="BG4" i="86"/>
  <c r="AS18" i="86"/>
  <c r="AU23" i="86"/>
  <c r="BI9" i="86"/>
  <c r="BQ19" i="86"/>
  <c r="BG19" i="86"/>
  <c r="AU8" i="86"/>
  <c r="AU22" i="86" s="1"/>
  <c r="AS8" i="86"/>
  <c r="AS22" i="86" s="1"/>
  <c r="AU18" i="86"/>
  <c r="BI4" i="86"/>
  <c r="AT6" i="86"/>
  <c r="BH21" i="86" s="1"/>
  <c r="BG21" i="86"/>
  <c r="AW8" i="86"/>
  <c r="AW22" i="86" s="1"/>
  <c r="AT10" i="86"/>
  <c r="AT24" i="86" s="1"/>
  <c r="AW9" i="86"/>
  <c r="BK25" i="86" s="1"/>
  <c r="AY9" i="86"/>
  <c r="BM25" i="86" s="1"/>
  <c r="AY11" i="86"/>
  <c r="BO25" i="86"/>
  <c r="AT4" i="86"/>
  <c r="BC2" i="86"/>
  <c r="BA22" i="86" l="1"/>
  <c r="BP16" i="86"/>
  <c r="BP2" i="86"/>
  <c r="AZ16" i="86"/>
  <c r="BN18" i="86"/>
  <c r="BN16" i="86" s="1"/>
  <c r="BN2" i="86"/>
  <c r="BJ2" i="86"/>
  <c r="AS2" i="86"/>
  <c r="AU16" i="86"/>
  <c r="BQ2" i="86"/>
  <c r="BG2" i="86"/>
  <c r="AS16" i="86"/>
  <c r="AV16" i="86"/>
  <c r="AY2" i="86"/>
  <c r="AY22" i="86"/>
  <c r="AT2" i="86"/>
  <c r="BI2" i="86"/>
  <c r="AU2" i="86"/>
  <c r="BJ16" i="86"/>
  <c r="AX10" i="86"/>
  <c r="BO9" i="86"/>
  <c r="BA23" i="86"/>
  <c r="BM26" i="86"/>
  <c r="BM11" i="86" s="1"/>
  <c r="AY25" i="86"/>
  <c r="BA25" i="86"/>
  <c r="BO26" i="86"/>
  <c r="BO11" i="86" s="1"/>
  <c r="BM9" i="86"/>
  <c r="AY23" i="86"/>
  <c r="BM28" i="86"/>
  <c r="AY27" i="86"/>
  <c r="BK9" i="86"/>
  <c r="AW23" i="86"/>
  <c r="AT18" i="86"/>
  <c r="AT16" i="86" s="1"/>
  <c r="BH4" i="86"/>
  <c r="BH2" i="86" s="1"/>
  <c r="BG18" i="86"/>
  <c r="BG16" i="86" s="1"/>
  <c r="BI18" i="86"/>
  <c r="BQ16" i="86"/>
  <c r="M23" i="86"/>
  <c r="AE23" i="86" s="1"/>
  <c r="M21" i="86"/>
  <c r="AE21" i="86" s="1"/>
  <c r="M8" i="86"/>
  <c r="AE8" i="86" s="1"/>
  <c r="M15" i="86"/>
  <c r="AE15" i="86" s="1"/>
  <c r="M12" i="86"/>
  <c r="AE12" i="86" s="1"/>
  <c r="M13" i="86"/>
  <c r="AE13" i="86" s="1"/>
  <c r="BM2" i="86" l="1"/>
  <c r="AY16" i="86"/>
  <c r="BM16" i="86"/>
  <c r="BI16" i="86"/>
  <c r="AX24" i="86"/>
  <c r="AL8" i="86"/>
  <c r="AX7" i="86" s="1"/>
  <c r="AL13" i="86"/>
  <c r="BL27" i="86" s="1"/>
  <c r="AL15" i="86"/>
  <c r="AL21" i="86"/>
  <c r="AL12" i="86"/>
  <c r="AL23" i="86"/>
  <c r="BL14" i="86" s="1"/>
  <c r="BH18" i="86"/>
  <c r="BH16" i="86" s="1"/>
  <c r="AC2" i="32"/>
  <c r="AB2" i="32"/>
  <c r="AA2" i="32"/>
  <c r="Z2" i="32"/>
  <c r="AX11" i="86" l="1"/>
  <c r="AX25" i="86" s="1"/>
  <c r="BK13" i="86"/>
  <c r="AX21" i="86"/>
  <c r="BL7" i="86" s="1"/>
  <c r="AW20" i="86"/>
  <c r="AW13" i="86"/>
  <c r="AW27" i="86" s="1"/>
  <c r="AX12" i="86"/>
  <c r="BK24" i="86" s="1"/>
  <c r="BK8" i="86" s="1"/>
  <c r="AW14" i="86"/>
  <c r="AW28" i="86" s="1"/>
  <c r="BL26" i="86" l="1"/>
  <c r="BK19" i="86"/>
  <c r="AW2" i="86"/>
  <c r="AX26" i="86"/>
  <c r="BL12" i="86" s="1"/>
  <c r="BL11" i="86"/>
  <c r="AX20" i="86"/>
  <c r="AW16" i="86"/>
  <c r="AX13" i="86"/>
  <c r="BL28" i="86" s="1"/>
  <c r="BK28" i="86"/>
  <c r="AX14" i="86"/>
  <c r="AX28" i="86" s="1"/>
  <c r="BK2" i="86"/>
  <c r="BL16" i="86" l="1"/>
  <c r="BL2" i="86"/>
  <c r="BK16" i="86"/>
  <c r="AX2" i="86"/>
  <c r="AX27" i="86"/>
  <c r="AX16" i="86" s="1"/>
  <c r="I1" i="83" l="1"/>
  <c r="N1" i="83" s="1"/>
  <c r="K11" i="81" l="1"/>
  <c r="K40" i="81"/>
  <c r="J40" i="81"/>
  <c r="K30" i="81"/>
  <c r="J30" i="81"/>
  <c r="K29" i="81"/>
  <c r="K31" i="81" s="1"/>
  <c r="J29" i="81"/>
  <c r="J31" i="81" s="1"/>
  <c r="K17" i="81"/>
  <c r="J14" i="81"/>
  <c r="K26" i="81" l="1"/>
  <c r="K13" i="81" l="1"/>
  <c r="P5" i="82" l="1"/>
  <c r="O5" i="82"/>
  <c r="I11" i="81"/>
  <c r="L11" i="81" l="1"/>
  <c r="N11" i="81" s="1"/>
  <c r="O11" i="81" s="1"/>
  <c r="P11" i="81" s="1"/>
  <c r="Q11" i="81" s="1"/>
  <c r="R11" i="81" s="1"/>
  <c r="J11" i="81"/>
  <c r="X18" i="76"/>
  <c r="W14" i="76"/>
  <c r="J26" i="81" l="1"/>
  <c r="J13" i="81"/>
  <c r="X14" i="76"/>
  <c r="U8" i="49"/>
  <c r="G15" i="81" l="1"/>
  <c r="H15" i="81" s="1"/>
  <c r="I15" i="81" s="1"/>
  <c r="F40" i="81"/>
  <c r="E40" i="81"/>
  <c r="F30" i="81"/>
  <c r="E30" i="81"/>
  <c r="F29" i="81"/>
  <c r="F31" i="81" s="1"/>
  <c r="E29" i="81"/>
  <c r="E26" i="81"/>
  <c r="E18" i="81"/>
  <c r="F18" i="81" s="1"/>
  <c r="E17" i="81"/>
  <c r="F17" i="81" s="1"/>
  <c r="E14" i="81"/>
  <c r="F14" i="81" s="1"/>
  <c r="F13" i="81"/>
  <c r="E13" i="81"/>
  <c r="F26" i="81"/>
  <c r="J15" i="81" l="1"/>
  <c r="E31" i="81"/>
  <c r="F27" i="81"/>
  <c r="F28" i="81" s="1"/>
  <c r="F23" i="81"/>
  <c r="E23" i="81"/>
  <c r="E27" i="81"/>
  <c r="E28" i="81" s="1"/>
  <c r="K15" i="81" l="1"/>
  <c r="G18" i="81"/>
  <c r="H18" i="81" s="1"/>
  <c r="I18" i="81" s="1"/>
  <c r="G17" i="81"/>
  <c r="H17" i="81" s="1"/>
  <c r="I17" i="81" s="1"/>
  <c r="L17" i="81" s="1"/>
  <c r="M17" i="81" s="1"/>
  <c r="N17" i="81" s="1"/>
  <c r="O17" i="81" s="1"/>
  <c r="P17" i="81" s="1"/>
  <c r="Q17" i="81" s="1"/>
  <c r="R17" i="81" s="1"/>
  <c r="S17" i="81" s="1"/>
  <c r="F43" i="81"/>
  <c r="G43" i="81"/>
  <c r="H43" i="81"/>
  <c r="I43" i="81"/>
  <c r="J43" i="81"/>
  <c r="K43" i="81"/>
  <c r="L43" i="81"/>
  <c r="M43" i="81"/>
  <c r="N43" i="81"/>
  <c r="O43" i="81"/>
  <c r="P43" i="81"/>
  <c r="P7" i="81" s="1"/>
  <c r="Q7" i="81" s="1"/>
  <c r="R7" i="81" s="1"/>
  <c r="Q43" i="81"/>
  <c r="R43" i="81"/>
  <c r="S43" i="81"/>
  <c r="E43" i="81"/>
  <c r="K4" i="82"/>
  <c r="P4" i="82" s="1"/>
  <c r="C13" i="82" s="1"/>
  <c r="F13" i="82"/>
  <c r="D4" i="81"/>
  <c r="E4" i="81" s="1"/>
  <c r="F4" i="81" s="1"/>
  <c r="G40" i="81"/>
  <c r="H40" i="81"/>
  <c r="I40" i="81"/>
  <c r="L40" i="81"/>
  <c r="M40" i="81"/>
  <c r="N40" i="81"/>
  <c r="O40" i="81"/>
  <c r="P40" i="81"/>
  <c r="Q40" i="81"/>
  <c r="R40" i="81"/>
  <c r="S40" i="81"/>
  <c r="D40" i="81"/>
  <c r="F21" i="82"/>
  <c r="C18" i="82"/>
  <c r="F16" i="82"/>
  <c r="F15" i="82"/>
  <c r="C15" i="82"/>
  <c r="C14" i="82"/>
  <c r="C12" i="82"/>
  <c r="O4" i="82"/>
  <c r="F12" i="82" s="1"/>
  <c r="C19" i="82"/>
  <c r="H30" i="81"/>
  <c r="G30" i="81"/>
  <c r="D30" i="81"/>
  <c r="S29" i="81"/>
  <c r="R29" i="81"/>
  <c r="Q29" i="81"/>
  <c r="P29" i="81"/>
  <c r="O29" i="81"/>
  <c r="N29" i="81"/>
  <c r="M29" i="81"/>
  <c r="L29" i="81"/>
  <c r="I29" i="81"/>
  <c r="H29" i="81"/>
  <c r="G29" i="81"/>
  <c r="D29" i="81"/>
  <c r="D26" i="81"/>
  <c r="D23" i="81"/>
  <c r="S30" i="81"/>
  <c r="B22" i="81"/>
  <c r="C20" i="81"/>
  <c r="F25" i="82" s="1"/>
  <c r="C19" i="81"/>
  <c r="F20" i="82" s="1"/>
  <c r="D27" i="81"/>
  <c r="B18" i="81"/>
  <c r="B17" i="81"/>
  <c r="I30" i="81"/>
  <c r="B15" i="81"/>
  <c r="B14" i="81"/>
  <c r="D13" i="81"/>
  <c r="C12" i="81"/>
  <c r="C24" i="82" s="1"/>
  <c r="C11" i="81"/>
  <c r="C23" i="82" s="1"/>
  <c r="C10" i="81"/>
  <c r="C27" i="82" s="1"/>
  <c r="C9" i="81"/>
  <c r="C8" i="81"/>
  <c r="G4" i="81"/>
  <c r="H4" i="81" s="1"/>
  <c r="I4" i="81" s="1"/>
  <c r="F15" i="79"/>
  <c r="F16" i="79"/>
  <c r="F21" i="79"/>
  <c r="N10" i="79"/>
  <c r="P10" i="79"/>
  <c r="O10" i="79"/>
  <c r="J18" i="81" l="1"/>
  <c r="D31" i="81"/>
  <c r="L15" i="81"/>
  <c r="M15" i="81" s="1"/>
  <c r="N15" i="81" s="1"/>
  <c r="P15" i="81" s="1"/>
  <c r="Q15" i="81" s="1"/>
  <c r="R15" i="81" s="1"/>
  <c r="S15" i="81" s="1"/>
  <c r="J4" i="81"/>
  <c r="K4" i="81" s="1"/>
  <c r="L4" i="81" s="1"/>
  <c r="M4" i="81" s="1"/>
  <c r="N4" i="81" s="1"/>
  <c r="O4" i="81" s="1"/>
  <c r="P4" i="81" s="1"/>
  <c r="Q4" i="81" s="1"/>
  <c r="R4" i="81" s="1"/>
  <c r="S4" i="81" s="1"/>
  <c r="H13" i="81"/>
  <c r="H26" i="81"/>
  <c r="G26" i="81"/>
  <c r="P14" i="81"/>
  <c r="I27" i="81"/>
  <c r="I31" i="81"/>
  <c r="F19" i="82"/>
  <c r="G31" i="81"/>
  <c r="H31" i="81"/>
  <c r="C17" i="82"/>
  <c r="C11" i="82"/>
  <c r="F14" i="82"/>
  <c r="C6" i="81"/>
  <c r="C25" i="82" s="1"/>
  <c r="I23" i="81"/>
  <c r="D28" i="81"/>
  <c r="S31" i="81"/>
  <c r="C29" i="81"/>
  <c r="C17" i="81"/>
  <c r="F30" i="82" s="1"/>
  <c r="C21" i="81"/>
  <c r="F32" i="82" s="1"/>
  <c r="C22" i="81"/>
  <c r="F33" i="82" s="1"/>
  <c r="G13" i="81"/>
  <c r="K18" i="81" l="1"/>
  <c r="J27" i="81"/>
  <c r="J28" i="81" s="1"/>
  <c r="J23" i="81"/>
  <c r="I13" i="81"/>
  <c r="I26" i="81"/>
  <c r="I28" i="81" s="1"/>
  <c r="L18" i="81" l="1"/>
  <c r="M18" i="81" s="1"/>
  <c r="N18" i="81" s="1"/>
  <c r="O18" i="81" s="1"/>
  <c r="P18" i="81" s="1"/>
  <c r="Q18" i="81" s="1"/>
  <c r="R18" i="81" s="1"/>
  <c r="S18" i="81" s="1"/>
  <c r="C18" i="81"/>
  <c r="F31" i="82" s="1"/>
  <c r="K23" i="81"/>
  <c r="K27" i="81"/>
  <c r="K28" i="81" s="1"/>
  <c r="L13" i="81"/>
  <c r="G27" i="81"/>
  <c r="G28" i="81" s="1"/>
  <c r="G23" i="81"/>
  <c r="L27" i="81"/>
  <c r="S40" i="78"/>
  <c r="N9" i="79"/>
  <c r="P9" i="79"/>
  <c r="O9" i="79"/>
  <c r="L26" i="81" l="1"/>
  <c r="L28" i="81" s="1"/>
  <c r="M27" i="81"/>
  <c r="H23" i="81"/>
  <c r="H27" i="81"/>
  <c r="H28" i="81" s="1"/>
  <c r="L30" i="81"/>
  <c r="L31" i="81" s="1"/>
  <c r="L23" i="81"/>
  <c r="C14" i="81"/>
  <c r="F28" i="82" s="1"/>
  <c r="R40" i="78"/>
  <c r="R11" i="78"/>
  <c r="Q40" i="78"/>
  <c r="Q11" i="78"/>
  <c r="Q7" i="78"/>
  <c r="P40" i="78"/>
  <c r="N14" i="78"/>
  <c r="M6" i="78"/>
  <c r="M26" i="78" s="1"/>
  <c r="P11" i="78"/>
  <c r="U7" i="49"/>
  <c r="M40" i="78"/>
  <c r="N7" i="78"/>
  <c r="L40" i="78"/>
  <c r="I6" i="78"/>
  <c r="I13" i="78" s="1"/>
  <c r="U10" i="49"/>
  <c r="U22" i="49"/>
  <c r="U15" i="49"/>
  <c r="U11" i="49"/>
  <c r="U14" i="49"/>
  <c r="U6" i="49"/>
  <c r="U9" i="49"/>
  <c r="U5" i="49"/>
  <c r="U3" i="49"/>
  <c r="K40" i="78"/>
  <c r="N8" i="79"/>
  <c r="O8" i="79" s="1"/>
  <c r="P8" i="79"/>
  <c r="P7" i="79"/>
  <c r="C13" i="79" s="1"/>
  <c r="O7" i="79"/>
  <c r="F12" i="79" s="1"/>
  <c r="N6" i="79"/>
  <c r="O6" i="79" s="1"/>
  <c r="P6" i="79"/>
  <c r="E19" i="78"/>
  <c r="C19" i="78" s="1"/>
  <c r="F20" i="79" s="1"/>
  <c r="F21" i="78"/>
  <c r="F6" i="78"/>
  <c r="F26" i="78" s="1"/>
  <c r="G6" i="78"/>
  <c r="J40" i="78"/>
  <c r="W23" i="32"/>
  <c r="K23" i="32"/>
  <c r="L23" i="32"/>
  <c r="E40" i="78"/>
  <c r="J14" i="78"/>
  <c r="I21" i="78"/>
  <c r="C18" i="79"/>
  <c r="C15" i="79"/>
  <c r="C14" i="79"/>
  <c r="F13" i="79"/>
  <c r="C12" i="79"/>
  <c r="P5" i="79"/>
  <c r="O5" i="79"/>
  <c r="P4" i="79"/>
  <c r="N4" i="79"/>
  <c r="D30" i="78"/>
  <c r="S29" i="78"/>
  <c r="R29" i="78"/>
  <c r="Q29" i="78"/>
  <c r="P29" i="78"/>
  <c r="O29" i="78"/>
  <c r="N29" i="78"/>
  <c r="M29" i="78"/>
  <c r="L29" i="78"/>
  <c r="K29" i="78"/>
  <c r="J29" i="78"/>
  <c r="I29" i="78"/>
  <c r="H29" i="78"/>
  <c r="G29" i="78"/>
  <c r="F29" i="78"/>
  <c r="E29" i="78"/>
  <c r="D29" i="78"/>
  <c r="D31" i="78" s="1"/>
  <c r="K26" i="78"/>
  <c r="G26" i="78"/>
  <c r="E26" i="78"/>
  <c r="D26" i="78"/>
  <c r="J22" i="78"/>
  <c r="K22" i="78" s="1"/>
  <c r="L22" i="78" s="1"/>
  <c r="M22" i="78" s="1"/>
  <c r="N22" i="78" s="1"/>
  <c r="O22" i="78" s="1"/>
  <c r="P22" i="78" s="1"/>
  <c r="Q22" i="78" s="1"/>
  <c r="R22" i="78" s="1"/>
  <c r="S22" i="78" s="1"/>
  <c r="S30" i="78" s="1"/>
  <c r="E22" i="78"/>
  <c r="B22" i="78"/>
  <c r="C20" i="78"/>
  <c r="F25" i="79" s="1"/>
  <c r="B18" i="78"/>
  <c r="Q17" i="78"/>
  <c r="R17" i="78" s="1"/>
  <c r="S17" i="78" s="1"/>
  <c r="E17" i="78"/>
  <c r="J17" i="78" s="1"/>
  <c r="K17" i="78" s="1"/>
  <c r="L17" i="78" s="1"/>
  <c r="M17" i="78" s="1"/>
  <c r="N17" i="78" s="1"/>
  <c r="O17" i="78" s="1"/>
  <c r="B17" i="78"/>
  <c r="E16" i="78"/>
  <c r="B15" i="78"/>
  <c r="E14" i="78"/>
  <c r="F14" i="78" s="1"/>
  <c r="G14" i="78" s="1"/>
  <c r="H14" i="78" s="1"/>
  <c r="B14" i="78"/>
  <c r="K13" i="78"/>
  <c r="G13" i="78"/>
  <c r="E13" i="78"/>
  <c r="D13" i="78"/>
  <c r="C12" i="78"/>
  <c r="C24" i="79" s="1"/>
  <c r="L11" i="78"/>
  <c r="C11" i="78" s="1"/>
  <c r="C23" i="79" s="1"/>
  <c r="C10" i="78"/>
  <c r="C27" i="79" s="1"/>
  <c r="C9" i="78"/>
  <c r="C8" i="78"/>
  <c r="J26" i="78"/>
  <c r="H26" i="78"/>
  <c r="S6" i="69"/>
  <c r="S40" i="69"/>
  <c r="S11" i="69"/>
  <c r="R6" i="69"/>
  <c r="R40" i="69"/>
  <c r="Q40" i="69"/>
  <c r="P40" i="69"/>
  <c r="E3" i="76"/>
  <c r="P3" i="76" s="1"/>
  <c r="W3" i="76" s="1"/>
  <c r="O40" i="69"/>
  <c r="F12" i="102"/>
  <c r="N40" i="69"/>
  <c r="M40" i="69"/>
  <c r="P5" i="70"/>
  <c r="O5" i="70"/>
  <c r="L40" i="69"/>
  <c r="W14" i="32"/>
  <c r="L14" i="32"/>
  <c r="K14" i="32"/>
  <c r="M13" i="81" l="1"/>
  <c r="M26" i="81"/>
  <c r="M28" i="81" s="1"/>
  <c r="N26" i="81"/>
  <c r="N13" i="81"/>
  <c r="M30" i="81"/>
  <c r="M31" i="81" s="1"/>
  <c r="N23" i="81"/>
  <c r="N27" i="81"/>
  <c r="M23" i="81"/>
  <c r="C19" i="79"/>
  <c r="C17" i="79" s="1"/>
  <c r="O4" i="79"/>
  <c r="F14" i="79" s="1"/>
  <c r="M13" i="78"/>
  <c r="I26" i="78"/>
  <c r="F19" i="79"/>
  <c r="C11" i="79"/>
  <c r="E30" i="78"/>
  <c r="E31" i="78" s="1"/>
  <c r="H27" i="78"/>
  <c r="H28" i="78" s="1"/>
  <c r="C22" i="78"/>
  <c r="F33" i="79" s="1"/>
  <c r="S31" i="78"/>
  <c r="C29" i="78"/>
  <c r="G27" i="78"/>
  <c r="G28" i="78" s="1"/>
  <c r="H13" i="78"/>
  <c r="L13" i="78"/>
  <c r="L26" i="78"/>
  <c r="F27" i="78"/>
  <c r="F28" i="78" s="1"/>
  <c r="C17" i="78"/>
  <c r="F30" i="79" s="1"/>
  <c r="C6" i="78"/>
  <c r="C25" i="79" s="1"/>
  <c r="F13" i="78"/>
  <c r="J13" i="78"/>
  <c r="I3" i="76"/>
  <c r="F3" i="76"/>
  <c r="Q3" i="76" s="1"/>
  <c r="X3" i="76" s="1"/>
  <c r="W16" i="76" l="1"/>
  <c r="W17" i="76" s="1"/>
  <c r="W19" i="76"/>
  <c r="W20" i="76" s="1"/>
  <c r="Q19" i="76"/>
  <c r="Q20" i="76" s="1"/>
  <c r="N28" i="81"/>
  <c r="O13" i="81"/>
  <c r="O26" i="81"/>
  <c r="N30" i="81"/>
  <c r="N31" i="81" s="1"/>
  <c r="O27" i="81"/>
  <c r="O23" i="81"/>
  <c r="N26" i="78"/>
  <c r="N13" i="78"/>
  <c r="J3" i="76"/>
  <c r="C14" i="78"/>
  <c r="F28" i="79" s="1"/>
  <c r="C21" i="78"/>
  <c r="F32" i="79" s="1"/>
  <c r="J15" i="78"/>
  <c r="I27" i="78"/>
  <c r="I28" i="78" s="1"/>
  <c r="F30" i="78"/>
  <c r="F31" i="78" s="1"/>
  <c r="F23" i="78"/>
  <c r="P19" i="76"/>
  <c r="P20" i="76" s="1"/>
  <c r="P16" i="76"/>
  <c r="P17" i="76" s="1"/>
  <c r="P14" i="76"/>
  <c r="W21" i="76" l="1"/>
  <c r="X16" i="76"/>
  <c r="X17" i="76" s="1"/>
  <c r="X19" i="76"/>
  <c r="X20" i="76" s="1"/>
  <c r="Q14" i="76"/>
  <c r="O28" i="81"/>
  <c r="P26" i="81"/>
  <c r="P13" i="81"/>
  <c r="O30" i="81"/>
  <c r="O31" i="81" s="1"/>
  <c r="P27" i="81"/>
  <c r="O26" i="78"/>
  <c r="O13" i="78"/>
  <c r="K15" i="78"/>
  <c r="G30" i="78"/>
  <c r="G31" i="78" s="1"/>
  <c r="G23" i="78"/>
  <c r="P21" i="76"/>
  <c r="Q16" i="76"/>
  <c r="Q17" i="76" l="1"/>
  <c r="Q21" i="76" s="1"/>
  <c r="X21" i="76"/>
  <c r="P28" i="81"/>
  <c r="Q13" i="81"/>
  <c r="Q26" i="81"/>
  <c r="P30" i="81"/>
  <c r="P31" i="81" s="1"/>
  <c r="Q27" i="81"/>
  <c r="Q23" i="81"/>
  <c r="P23" i="81"/>
  <c r="P26" i="78"/>
  <c r="P13" i="78"/>
  <c r="H30" i="78"/>
  <c r="H31" i="78" s="1"/>
  <c r="I16" i="78"/>
  <c r="H23" i="78"/>
  <c r="L15" i="78"/>
  <c r="K40" i="69"/>
  <c r="J6" i="69"/>
  <c r="J40" i="69"/>
  <c r="H6" i="69"/>
  <c r="F6" i="69"/>
  <c r="W22" i="32"/>
  <c r="L22" i="32"/>
  <c r="K22" i="32"/>
  <c r="P4" i="70"/>
  <c r="Q28" i="81" l="1"/>
  <c r="R13" i="81"/>
  <c r="R26" i="81"/>
  <c r="Q30" i="81"/>
  <c r="Q31" i="81" s="1"/>
  <c r="R23" i="81"/>
  <c r="R27" i="81"/>
  <c r="R28" i="81" s="1"/>
  <c r="Q13" i="78"/>
  <c r="Q26" i="78"/>
  <c r="M15" i="78"/>
  <c r="I30" i="78"/>
  <c r="I31" i="78" s="1"/>
  <c r="J16" i="78"/>
  <c r="I23" i="78"/>
  <c r="S26" i="81" l="1"/>
  <c r="S13" i="81"/>
  <c r="C13" i="81" s="1"/>
  <c r="C7" i="81"/>
  <c r="R30" i="81"/>
  <c r="R31" i="81" s="1"/>
  <c r="C16" i="81"/>
  <c r="S27" i="81"/>
  <c r="S23" i="81"/>
  <c r="C23" i="81" s="1"/>
  <c r="C15" i="81"/>
  <c r="F29" i="82" s="1"/>
  <c r="F27" i="82" s="1"/>
  <c r="R13" i="78"/>
  <c r="R26" i="78"/>
  <c r="J30" i="78"/>
  <c r="J31" i="78" s="1"/>
  <c r="K16" i="78"/>
  <c r="N15" i="78"/>
  <c r="C26" i="82" l="1"/>
  <c r="C22" i="82" s="1"/>
  <c r="C26" i="81"/>
  <c r="Z7" i="81"/>
  <c r="S28" i="81"/>
  <c r="Z6" i="81"/>
  <c r="Z8" i="81"/>
  <c r="Z12" i="81"/>
  <c r="Z11" i="81"/>
  <c r="Z10" i="81"/>
  <c r="Z9" i="81"/>
  <c r="Y14" i="81"/>
  <c r="F24" i="82"/>
  <c r="F23" i="82" s="1"/>
  <c r="Y34" i="81"/>
  <c r="Z29" i="81"/>
  <c r="Z28" i="81"/>
  <c r="Z27" i="81"/>
  <c r="Z31" i="81"/>
  <c r="Z30" i="81"/>
  <c r="Z26" i="81"/>
  <c r="Z23" i="81"/>
  <c r="C30" i="81"/>
  <c r="C31" i="81" s="1"/>
  <c r="Z25" i="81"/>
  <c r="Z24" i="81"/>
  <c r="C27" i="81"/>
  <c r="C7" i="78"/>
  <c r="S13" i="78"/>
  <c r="C13" i="78" s="1"/>
  <c r="S26" i="78"/>
  <c r="O15" i="78"/>
  <c r="K30" i="78"/>
  <c r="K31" i="78" s="1"/>
  <c r="L16" i="78"/>
  <c r="N4" i="70"/>
  <c r="E40" i="69"/>
  <c r="D40" i="69"/>
  <c r="D26" i="69"/>
  <c r="E17" i="69"/>
  <c r="E14" i="69"/>
  <c r="E13" i="69"/>
  <c r="F21" i="70"/>
  <c r="C18" i="70"/>
  <c r="F16" i="70"/>
  <c r="F15" i="70"/>
  <c r="C15" i="70"/>
  <c r="C14" i="70"/>
  <c r="F13" i="70"/>
  <c r="C13" i="70"/>
  <c r="F12" i="70"/>
  <c r="C12" i="70"/>
  <c r="D30" i="69"/>
  <c r="S29" i="69"/>
  <c r="R29" i="69"/>
  <c r="Q29" i="69"/>
  <c r="P29" i="69"/>
  <c r="O29" i="69"/>
  <c r="N29" i="69"/>
  <c r="M29" i="69"/>
  <c r="L29" i="69"/>
  <c r="K29" i="69"/>
  <c r="J29" i="69"/>
  <c r="I29" i="69"/>
  <c r="H29" i="69"/>
  <c r="G29" i="69"/>
  <c r="F29" i="69"/>
  <c r="E29" i="69"/>
  <c r="D29" i="69"/>
  <c r="D31" i="69" s="1"/>
  <c r="J22" i="69"/>
  <c r="K22" i="69" s="1"/>
  <c r="L22" i="69" s="1"/>
  <c r="M22" i="69" s="1"/>
  <c r="N22" i="69" s="1"/>
  <c r="O22" i="69" s="1"/>
  <c r="P22" i="69" s="1"/>
  <c r="Q22" i="69" s="1"/>
  <c r="R22" i="69" s="1"/>
  <c r="S22" i="69" s="1"/>
  <c r="E22" i="69"/>
  <c r="F22" i="69" s="1"/>
  <c r="B22" i="69"/>
  <c r="B18" i="69"/>
  <c r="B17" i="69"/>
  <c r="E16" i="69"/>
  <c r="F16" i="69" s="1"/>
  <c r="B15" i="69"/>
  <c r="B14" i="69"/>
  <c r="C12" i="69"/>
  <c r="C24" i="70" s="1"/>
  <c r="C10" i="69"/>
  <c r="C27" i="70" s="1"/>
  <c r="C9" i="69"/>
  <c r="C8" i="69"/>
  <c r="C7" i="69"/>
  <c r="C26" i="70" s="1"/>
  <c r="C28" i="81" l="1"/>
  <c r="Z13" i="81"/>
  <c r="Z32" i="81"/>
  <c r="C19" i="70"/>
  <c r="C17" i="70" s="1"/>
  <c r="O4" i="70"/>
  <c r="F14" i="70" s="1"/>
  <c r="Z7" i="78"/>
  <c r="Z9" i="78"/>
  <c r="Z12" i="78"/>
  <c r="Z11" i="78"/>
  <c r="Z10" i="78"/>
  <c r="Z8" i="78"/>
  <c r="Z6" i="78"/>
  <c r="Y14" i="78"/>
  <c r="C26" i="79"/>
  <c r="C22" i="79" s="1"/>
  <c r="C26" i="78"/>
  <c r="L30" i="78"/>
  <c r="L31" i="78" s="1"/>
  <c r="M16" i="78"/>
  <c r="P15" i="78"/>
  <c r="C11" i="70"/>
  <c r="D13" i="69"/>
  <c r="F13" i="69"/>
  <c r="F26" i="69"/>
  <c r="F17" i="69"/>
  <c r="E26" i="69"/>
  <c r="E30" i="69"/>
  <c r="E31" i="69" s="1"/>
  <c r="C19" i="69"/>
  <c r="F20" i="70" s="1"/>
  <c r="F19" i="70" s="1"/>
  <c r="G22" i="69"/>
  <c r="C22" i="69" s="1"/>
  <c r="F33" i="70" s="1"/>
  <c r="C20" i="69"/>
  <c r="F30" i="69"/>
  <c r="F31" i="69" s="1"/>
  <c r="S30" i="69"/>
  <c r="S31" i="69" s="1"/>
  <c r="C6" i="69"/>
  <c r="C25" i="70" s="1"/>
  <c r="G16" i="69"/>
  <c r="F15" i="69"/>
  <c r="C29" i="69"/>
  <c r="S39" i="46"/>
  <c r="R39" i="46"/>
  <c r="Q39" i="46"/>
  <c r="P7" i="46"/>
  <c r="Z13" i="78" l="1"/>
  <c r="Q15" i="78"/>
  <c r="M30" i="78"/>
  <c r="M31" i="78" s="1"/>
  <c r="N16" i="78"/>
  <c r="F25" i="70"/>
  <c r="G13" i="69"/>
  <c r="G26" i="69"/>
  <c r="C21" i="69"/>
  <c r="F32" i="70" s="1"/>
  <c r="G17" i="69"/>
  <c r="G15" i="69"/>
  <c r="G30" i="69"/>
  <c r="G31" i="69" s="1"/>
  <c r="H16" i="69"/>
  <c r="P39" i="46"/>
  <c r="O39" i="46"/>
  <c r="N6" i="46"/>
  <c r="N39" i="46"/>
  <c r="R15" i="78" l="1"/>
  <c r="N30" i="78"/>
  <c r="N31" i="78" s="1"/>
  <c r="O16" i="78"/>
  <c r="H13" i="69"/>
  <c r="H26" i="69"/>
  <c r="P14" i="69"/>
  <c r="Q14" i="69" s="1"/>
  <c r="H17" i="69"/>
  <c r="H15" i="69"/>
  <c r="H30" i="69"/>
  <c r="H31" i="69" s="1"/>
  <c r="I16" i="69"/>
  <c r="L6" i="46"/>
  <c r="M39" i="46"/>
  <c r="L39" i="46"/>
  <c r="L11" i="46"/>
  <c r="O30" i="78" l="1"/>
  <c r="O31" i="78" s="1"/>
  <c r="P16" i="78"/>
  <c r="S15" i="78"/>
  <c r="I13" i="69"/>
  <c r="I26" i="69"/>
  <c r="C14" i="69"/>
  <c r="F28" i="70" s="1"/>
  <c r="I17" i="69"/>
  <c r="I30" i="69"/>
  <c r="I31" i="69" s="1"/>
  <c r="J16" i="69"/>
  <c r="I15" i="69"/>
  <c r="K39" i="46"/>
  <c r="C15" i="78" l="1"/>
  <c r="F29" i="79" s="1"/>
  <c r="P30" i="78"/>
  <c r="P31" i="78" s="1"/>
  <c r="Q16" i="78"/>
  <c r="J13" i="69"/>
  <c r="J26" i="69"/>
  <c r="J17" i="69"/>
  <c r="J15" i="69"/>
  <c r="J30" i="69"/>
  <c r="J31" i="69" s="1"/>
  <c r="K16" i="69"/>
  <c r="J6" i="46"/>
  <c r="J39" i="46"/>
  <c r="W7" i="32"/>
  <c r="W9" i="32"/>
  <c r="W12" i="32"/>
  <c r="W16" i="32"/>
  <c r="W17" i="32"/>
  <c r="W18" i="32"/>
  <c r="W15" i="32"/>
  <c r="W19" i="32"/>
  <c r="W13" i="32"/>
  <c r="W21" i="32"/>
  <c r="W10" i="32"/>
  <c r="W8" i="32"/>
  <c r="W11" i="32"/>
  <c r="W6" i="32"/>
  <c r="Q30" i="78" l="1"/>
  <c r="Q31" i="78" s="1"/>
  <c r="R16" i="78"/>
  <c r="K26" i="69"/>
  <c r="L11" i="69"/>
  <c r="K13" i="69"/>
  <c r="K17" i="69"/>
  <c r="K30" i="69"/>
  <c r="K31" i="69" s="1"/>
  <c r="L16" i="69"/>
  <c r="K15" i="69"/>
  <c r="R30" i="78" l="1"/>
  <c r="R31" i="78" s="1"/>
  <c r="C16" i="78"/>
  <c r="L13" i="69"/>
  <c r="L26" i="69"/>
  <c r="L17" i="69"/>
  <c r="L30" i="69"/>
  <c r="L31" i="69" s="1"/>
  <c r="M16" i="69"/>
  <c r="L15" i="69"/>
  <c r="I39" i="46"/>
  <c r="I11" i="46"/>
  <c r="H39" i="46"/>
  <c r="AJ19" i="86"/>
  <c r="G39" i="46"/>
  <c r="F39" i="46"/>
  <c r="F24" i="79" l="1"/>
  <c r="C30" i="78"/>
  <c r="C31" i="78" s="1"/>
  <c r="M13" i="69"/>
  <c r="M26" i="69"/>
  <c r="M17" i="69"/>
  <c r="M15" i="69"/>
  <c r="M30" i="69"/>
  <c r="M31" i="69" s="1"/>
  <c r="N16" i="69"/>
  <c r="W24" i="32"/>
  <c r="D3" i="48"/>
  <c r="D4" i="48" s="1"/>
  <c r="C3" i="48"/>
  <c r="E3" i="48" s="1"/>
  <c r="G3" i="48" s="1"/>
  <c r="C4" i="48"/>
  <c r="C5" i="48"/>
  <c r="C6" i="48"/>
  <c r="C7" i="48"/>
  <c r="C8" i="48"/>
  <c r="C9" i="48"/>
  <c r="C10" i="48"/>
  <c r="C11" i="48"/>
  <c r="C12" i="48"/>
  <c r="C13" i="48"/>
  <c r="C14" i="48"/>
  <c r="C15" i="48"/>
  <c r="C16" i="48"/>
  <c r="C17" i="48"/>
  <c r="C2" i="48"/>
  <c r="E2" i="48" s="1"/>
  <c r="G2" i="48" s="1"/>
  <c r="K15" i="32"/>
  <c r="L15" i="32"/>
  <c r="K7" i="32"/>
  <c r="L7" i="32"/>
  <c r="K8" i="32"/>
  <c r="L8" i="32"/>
  <c r="K10" i="32"/>
  <c r="L10" i="32"/>
  <c r="K12" i="32"/>
  <c r="L12" i="32"/>
  <c r="K9" i="32"/>
  <c r="L9" i="32"/>
  <c r="K17" i="32"/>
  <c r="L17" i="32"/>
  <c r="K16" i="32"/>
  <c r="L16" i="32"/>
  <c r="K18" i="32"/>
  <c r="L18" i="32"/>
  <c r="K19" i="32"/>
  <c r="L19" i="32"/>
  <c r="K11" i="32"/>
  <c r="L11" i="32"/>
  <c r="K13" i="32"/>
  <c r="L13" i="32"/>
  <c r="K21" i="32"/>
  <c r="L21" i="32"/>
  <c r="L6" i="32"/>
  <c r="K6" i="32"/>
  <c r="F23" i="79" l="1"/>
  <c r="N26" i="69"/>
  <c r="N13" i="69"/>
  <c r="N17" i="69"/>
  <c r="N30" i="69"/>
  <c r="N31" i="69" s="1"/>
  <c r="O16" i="69"/>
  <c r="N15" i="69"/>
  <c r="E4" i="48"/>
  <c r="G4" i="48" s="1"/>
  <c r="D5" i="48"/>
  <c r="I20" i="46"/>
  <c r="J20" i="46" s="1"/>
  <c r="K20" i="46" s="1"/>
  <c r="L20" i="46" s="1"/>
  <c r="M20" i="46" s="1"/>
  <c r="N20" i="46" s="1"/>
  <c r="O20" i="46" s="1"/>
  <c r="P20" i="46" s="1"/>
  <c r="Q20" i="46" s="1"/>
  <c r="R20" i="46" s="1"/>
  <c r="S20" i="46" s="1"/>
  <c r="E15" i="46"/>
  <c r="F15" i="46" s="1"/>
  <c r="G15" i="46" s="1"/>
  <c r="H15" i="46" s="1"/>
  <c r="I15" i="46" s="1"/>
  <c r="J15" i="46" s="1"/>
  <c r="K15" i="46" s="1"/>
  <c r="L15" i="46" s="1"/>
  <c r="M15" i="46" s="1"/>
  <c r="N15" i="46" s="1"/>
  <c r="O15" i="46" s="1"/>
  <c r="P15" i="46" s="1"/>
  <c r="Q15" i="46" s="1"/>
  <c r="R15" i="46" s="1"/>
  <c r="S15" i="46" s="1"/>
  <c r="E16" i="46"/>
  <c r="F16" i="46" s="1"/>
  <c r="G16" i="46" s="1"/>
  <c r="H16" i="46" s="1"/>
  <c r="I16" i="46" s="1"/>
  <c r="J16" i="46" s="1"/>
  <c r="K16" i="46" s="1"/>
  <c r="L16" i="46" s="1"/>
  <c r="M16" i="46" s="1"/>
  <c r="N16" i="46" s="1"/>
  <c r="O16" i="46" s="1"/>
  <c r="P16" i="46" s="1"/>
  <c r="Q16" i="46" s="1"/>
  <c r="R16" i="46" s="1"/>
  <c r="G17" i="46"/>
  <c r="H17" i="46" s="1"/>
  <c r="I17" i="46" s="1"/>
  <c r="L17" i="46" s="1"/>
  <c r="M17" i="46" s="1"/>
  <c r="N17" i="46" s="1"/>
  <c r="O17" i="46" s="1"/>
  <c r="P17" i="46" s="1"/>
  <c r="Q17" i="46" s="1"/>
  <c r="R17" i="46" s="1"/>
  <c r="S17" i="46" s="1"/>
  <c r="E19" i="46"/>
  <c r="F19" i="46" s="1"/>
  <c r="G19" i="46" s="1"/>
  <c r="H19" i="46" s="1"/>
  <c r="I19" i="46" s="1"/>
  <c r="J19" i="46" s="1"/>
  <c r="K19" i="46" s="1"/>
  <c r="L19" i="46" s="1"/>
  <c r="M19" i="46" s="1"/>
  <c r="N19" i="46" s="1"/>
  <c r="O19" i="46" s="1"/>
  <c r="P19" i="46" s="1"/>
  <c r="Q19" i="46" s="1"/>
  <c r="R19" i="46" s="1"/>
  <c r="S19" i="46" s="1"/>
  <c r="E20" i="46"/>
  <c r="E22" i="46"/>
  <c r="F22" i="46" s="1"/>
  <c r="G22" i="46" s="1"/>
  <c r="J22" i="46" s="1"/>
  <c r="K22" i="46" s="1"/>
  <c r="L22" i="46" s="1"/>
  <c r="M22" i="46" s="1"/>
  <c r="N22" i="46" s="1"/>
  <c r="O22" i="46" s="1"/>
  <c r="P22" i="46" s="1"/>
  <c r="Q22" i="46" s="1"/>
  <c r="R22" i="46" s="1"/>
  <c r="S22" i="46" s="1"/>
  <c r="G14" i="46"/>
  <c r="E13" i="46"/>
  <c r="O4" i="47"/>
  <c r="F21" i="47"/>
  <c r="C19" i="47"/>
  <c r="C18" i="47"/>
  <c r="F16" i="47"/>
  <c r="C15" i="47"/>
  <c r="F14" i="47"/>
  <c r="F13" i="47"/>
  <c r="C12" i="47"/>
  <c r="F12" i="47"/>
  <c r="C14" i="47"/>
  <c r="C13" i="47"/>
  <c r="F15" i="47"/>
  <c r="D30" i="46"/>
  <c r="R29" i="46"/>
  <c r="Q29" i="46"/>
  <c r="P29" i="46"/>
  <c r="O29" i="46"/>
  <c r="N29" i="46"/>
  <c r="M29" i="46"/>
  <c r="L29" i="46"/>
  <c r="K29" i="46"/>
  <c r="J29" i="46"/>
  <c r="I29" i="46"/>
  <c r="H29" i="46"/>
  <c r="G29" i="46"/>
  <c r="F29" i="46"/>
  <c r="E29" i="46"/>
  <c r="D29" i="46"/>
  <c r="D31" i="46" s="1"/>
  <c r="B22" i="46"/>
  <c r="B18" i="46"/>
  <c r="B17" i="46"/>
  <c r="B15" i="46"/>
  <c r="B14" i="46"/>
  <c r="D13" i="46"/>
  <c r="S29" i="46"/>
  <c r="C12" i="46"/>
  <c r="C24" i="47" s="1"/>
  <c r="C10" i="46"/>
  <c r="C27" i="47" s="1"/>
  <c r="C9" i="46"/>
  <c r="C8" i="46"/>
  <c r="D26" i="46"/>
  <c r="C7" i="46"/>
  <c r="C26" i="47" s="1"/>
  <c r="C6" i="46"/>
  <c r="C25" i="47" s="1"/>
  <c r="S12" i="42"/>
  <c r="R11" i="42"/>
  <c r="E30" i="46" l="1"/>
  <c r="O13" i="69"/>
  <c r="O26" i="69"/>
  <c r="O15" i="69"/>
  <c r="O30" i="69"/>
  <c r="O31" i="69" s="1"/>
  <c r="P16" i="69"/>
  <c r="C17" i="47"/>
  <c r="D6" i="48"/>
  <c r="E5" i="48"/>
  <c r="G5" i="48" s="1"/>
  <c r="G26" i="46"/>
  <c r="E26" i="46"/>
  <c r="G13" i="46"/>
  <c r="J14" i="46"/>
  <c r="L14" i="46" s="1"/>
  <c r="C20" i="46"/>
  <c r="C29" i="46"/>
  <c r="C11" i="47"/>
  <c r="C19" i="46"/>
  <c r="F20" i="47" s="1"/>
  <c r="F19" i="47" s="1"/>
  <c r="E31" i="46"/>
  <c r="C17" i="46"/>
  <c r="F30" i="47" s="1"/>
  <c r="F26" i="46"/>
  <c r="F30" i="46"/>
  <c r="F31" i="46" s="1"/>
  <c r="P26" i="69" l="1"/>
  <c r="P13" i="69"/>
  <c r="P17" i="69"/>
  <c r="P30" i="69"/>
  <c r="P31" i="69" s="1"/>
  <c r="Q16" i="69"/>
  <c r="P15" i="69"/>
  <c r="H26" i="46"/>
  <c r="H13" i="46"/>
  <c r="F13" i="46"/>
  <c r="E6" i="48"/>
  <c r="G6" i="48" s="1"/>
  <c r="D7" i="48"/>
  <c r="F25" i="47"/>
  <c r="P14" i="46"/>
  <c r="C21" i="46"/>
  <c r="F32" i="47" s="1"/>
  <c r="R30" i="46"/>
  <c r="R31" i="46" s="1"/>
  <c r="I26" i="46"/>
  <c r="I13" i="46"/>
  <c r="G30" i="46"/>
  <c r="G31" i="46" s="1"/>
  <c r="C22" i="46"/>
  <c r="F33" i="47" s="1"/>
  <c r="S30" i="46"/>
  <c r="S31" i="46" s="1"/>
  <c r="M6" i="42"/>
  <c r="M7" i="42"/>
  <c r="N7" i="42" s="1"/>
  <c r="F6" i="42"/>
  <c r="D7" i="42"/>
  <c r="D13" i="42" s="1"/>
  <c r="P27" i="43"/>
  <c r="O27" i="43"/>
  <c r="P26" i="43"/>
  <c r="O26" i="43"/>
  <c r="P25" i="43"/>
  <c r="O25" i="43"/>
  <c r="P24" i="43"/>
  <c r="O24" i="43"/>
  <c r="G15" i="42"/>
  <c r="H15" i="42" s="1"/>
  <c r="I15" i="42" s="1"/>
  <c r="J15" i="42" s="1"/>
  <c r="K15" i="42" s="1"/>
  <c r="L15" i="42" s="1"/>
  <c r="M15" i="42" s="1"/>
  <c r="N15" i="42" s="1"/>
  <c r="O15" i="42" s="1"/>
  <c r="P15" i="42" s="1"/>
  <c r="Q15" i="42" s="1"/>
  <c r="R15" i="42" s="1"/>
  <c r="S15" i="42" s="1"/>
  <c r="E22" i="42"/>
  <c r="F22" i="42" s="1"/>
  <c r="G22" i="42" s="1"/>
  <c r="H22" i="42" s="1"/>
  <c r="E16" i="42"/>
  <c r="F16" i="42" s="1"/>
  <c r="G16" i="42" s="1"/>
  <c r="E19" i="42"/>
  <c r="F19" i="42" s="1"/>
  <c r="G19" i="42" s="1"/>
  <c r="E20" i="42"/>
  <c r="F20" i="42" s="1"/>
  <c r="G20" i="42" s="1"/>
  <c r="D14" i="42"/>
  <c r="E4" i="42"/>
  <c r="F4" i="42" s="1"/>
  <c r="G4" i="42" s="1"/>
  <c r="P23" i="43"/>
  <c r="O23" i="43"/>
  <c r="P22" i="43"/>
  <c r="O22" i="43"/>
  <c r="P21" i="43"/>
  <c r="O21" i="43"/>
  <c r="P20" i="43"/>
  <c r="O20" i="43"/>
  <c r="F21" i="43"/>
  <c r="P19" i="43"/>
  <c r="O19" i="43"/>
  <c r="P18" i="43"/>
  <c r="O18" i="43"/>
  <c r="C19" i="43"/>
  <c r="P17" i="43"/>
  <c r="O17" i="43"/>
  <c r="C18" i="43"/>
  <c r="P16" i="43"/>
  <c r="O16" i="43"/>
  <c r="P15" i="43"/>
  <c r="O15" i="43"/>
  <c r="F16" i="43"/>
  <c r="P14" i="43"/>
  <c r="O14" i="43"/>
  <c r="C15" i="43"/>
  <c r="P13" i="43"/>
  <c r="O13" i="43"/>
  <c r="F14" i="43"/>
  <c r="P12" i="43"/>
  <c r="O12" i="43"/>
  <c r="F13" i="43"/>
  <c r="P11" i="43"/>
  <c r="O11" i="43"/>
  <c r="C12" i="43"/>
  <c r="P10" i="43"/>
  <c r="O10" i="43"/>
  <c r="P9" i="43"/>
  <c r="O9" i="43"/>
  <c r="P8" i="43"/>
  <c r="O8" i="43"/>
  <c r="P7" i="43"/>
  <c r="O7" i="43"/>
  <c r="P6" i="43"/>
  <c r="O6" i="43"/>
  <c r="P5" i="43"/>
  <c r="O5" i="43"/>
  <c r="P4" i="43"/>
  <c r="O4" i="43"/>
  <c r="D30" i="42"/>
  <c r="S29" i="42"/>
  <c r="R29" i="42"/>
  <c r="Q29" i="42"/>
  <c r="P29" i="42"/>
  <c r="O29" i="42"/>
  <c r="N29" i="42"/>
  <c r="M29" i="42"/>
  <c r="L29" i="42"/>
  <c r="K29" i="42"/>
  <c r="J29" i="42"/>
  <c r="I29" i="42"/>
  <c r="H29" i="42"/>
  <c r="G29" i="42"/>
  <c r="F29" i="42"/>
  <c r="E29" i="42"/>
  <c r="D29" i="42"/>
  <c r="D31" i="42" s="1"/>
  <c r="B22" i="42"/>
  <c r="B18" i="42"/>
  <c r="B17" i="42"/>
  <c r="B15" i="42"/>
  <c r="B14" i="42"/>
  <c r="F13" i="42"/>
  <c r="C12" i="42"/>
  <c r="C24" i="43" s="1"/>
  <c r="C10" i="42"/>
  <c r="C27" i="43" s="1"/>
  <c r="C9" i="42"/>
  <c r="C8" i="42"/>
  <c r="F26" i="42"/>
  <c r="E26" i="42"/>
  <c r="R6" i="39"/>
  <c r="P6" i="39"/>
  <c r="N6" i="39"/>
  <c r="D1" i="32"/>
  <c r="F22" i="32" s="1"/>
  <c r="M7" i="39"/>
  <c r="P24" i="40"/>
  <c r="O24" i="40"/>
  <c r="J11" i="39"/>
  <c r="J6" i="39"/>
  <c r="G33" i="41"/>
  <c r="I33" i="41" s="1"/>
  <c r="I36" i="41"/>
  <c r="I37" i="41"/>
  <c r="I38" i="41"/>
  <c r="I35" i="41"/>
  <c r="G34" i="41" s="1"/>
  <c r="I34" i="41" s="1"/>
  <c r="H7" i="41"/>
  <c r="I7" i="41" s="1"/>
  <c r="H6" i="41"/>
  <c r="G6" i="41"/>
  <c r="F6" i="41"/>
  <c r="H5" i="41"/>
  <c r="I5" i="41" s="1"/>
  <c r="H4" i="41"/>
  <c r="G4" i="41"/>
  <c r="F4" i="41"/>
  <c r="H3" i="41"/>
  <c r="G3" i="41"/>
  <c r="F3" i="41"/>
  <c r="H2" i="41"/>
  <c r="J2" i="41" s="1"/>
  <c r="I17" i="39"/>
  <c r="H11" i="39"/>
  <c r="F6" i="39"/>
  <c r="F13" i="32" l="1"/>
  <c r="F11" i="32"/>
  <c r="F14" i="32"/>
  <c r="F15" i="32"/>
  <c r="F20" i="32"/>
  <c r="D12" i="111" s="1"/>
  <c r="F18" i="32"/>
  <c r="F17" i="32"/>
  <c r="F19" i="32"/>
  <c r="F8" i="32"/>
  <c r="F21" i="32"/>
  <c r="F16" i="32"/>
  <c r="F12" i="32"/>
  <c r="F5" i="32"/>
  <c r="F10" i="32"/>
  <c r="F12" i="43"/>
  <c r="I4" i="41"/>
  <c r="C14" i="43"/>
  <c r="F23" i="32"/>
  <c r="F9" i="32"/>
  <c r="F7" i="32"/>
  <c r="D15" i="111" s="1"/>
  <c r="F6" i="32"/>
  <c r="K21" i="86"/>
  <c r="AC21" i="86" s="1"/>
  <c r="E30" i="42"/>
  <c r="E31" i="42" s="1"/>
  <c r="I3" i="41"/>
  <c r="F30" i="42"/>
  <c r="F31" i="42" s="1"/>
  <c r="Q13" i="69"/>
  <c r="Q26" i="69"/>
  <c r="Q17" i="69"/>
  <c r="Q30" i="69"/>
  <c r="Q31" i="69" s="1"/>
  <c r="R16" i="69"/>
  <c r="Q15" i="69"/>
  <c r="D8" i="48"/>
  <c r="E7" i="48"/>
  <c r="G7" i="48" s="1"/>
  <c r="C14" i="46"/>
  <c r="F28" i="47" s="1"/>
  <c r="J26" i="46"/>
  <c r="J13" i="46"/>
  <c r="H30" i="46"/>
  <c r="H31" i="46" s="1"/>
  <c r="C21" i="42"/>
  <c r="F32" i="43" s="1"/>
  <c r="F15" i="43"/>
  <c r="C17" i="43"/>
  <c r="C13" i="43"/>
  <c r="C11" i="43" s="1"/>
  <c r="H19" i="42"/>
  <c r="I19" i="42" s="1"/>
  <c r="J19" i="42" s="1"/>
  <c r="K19" i="42" s="1"/>
  <c r="L19" i="42" s="1"/>
  <c r="M19" i="42" s="1"/>
  <c r="N19" i="42" s="1"/>
  <c r="O19" i="42" s="1"/>
  <c r="P19" i="42" s="1"/>
  <c r="Q19" i="42" s="1"/>
  <c r="R19" i="42" s="1"/>
  <c r="S19" i="42" s="1"/>
  <c r="L14" i="42"/>
  <c r="N14" i="42" s="1"/>
  <c r="P14" i="42" s="1"/>
  <c r="Q14" i="42" s="1"/>
  <c r="H20" i="42"/>
  <c r="I20" i="42" s="1"/>
  <c r="J20" i="42" s="1"/>
  <c r="K20" i="42" s="1"/>
  <c r="L20" i="42" s="1"/>
  <c r="M20" i="42" s="1"/>
  <c r="N20" i="42" s="1"/>
  <c r="O20" i="42" s="1"/>
  <c r="P20" i="42" s="1"/>
  <c r="Q20" i="42" s="1"/>
  <c r="R20" i="42" s="1"/>
  <c r="S20" i="42" s="1"/>
  <c r="I22" i="42"/>
  <c r="J22" i="42" s="1"/>
  <c r="K22" i="42" s="1"/>
  <c r="L22" i="42" s="1"/>
  <c r="M22" i="42" s="1"/>
  <c r="N22" i="42" s="1"/>
  <c r="O22" i="42" s="1"/>
  <c r="P22" i="42" s="1"/>
  <c r="Q22" i="42" s="1"/>
  <c r="R22" i="42" s="1"/>
  <c r="S22" i="42" s="1"/>
  <c r="G30" i="42"/>
  <c r="G31" i="42" s="1"/>
  <c r="H16" i="42"/>
  <c r="H26" i="42"/>
  <c r="G26" i="42"/>
  <c r="H4" i="42"/>
  <c r="C29" i="42"/>
  <c r="G13" i="42"/>
  <c r="D26" i="42"/>
  <c r="C6" i="42"/>
  <c r="C25" i="43" s="1"/>
  <c r="E13" i="42"/>
  <c r="J6" i="41"/>
  <c r="J7" i="41"/>
  <c r="I6" i="41"/>
  <c r="J5" i="41"/>
  <c r="J4" i="41"/>
  <c r="J3" i="41"/>
  <c r="I2" i="41"/>
  <c r="G11" i="39"/>
  <c r="K11" i="39" s="1"/>
  <c r="M11" i="39" s="1"/>
  <c r="D7" i="39"/>
  <c r="P23" i="40"/>
  <c r="O23" i="40"/>
  <c r="E6" i="39"/>
  <c r="E26" i="39" s="1"/>
  <c r="P22" i="40"/>
  <c r="O22" i="40"/>
  <c r="E11" i="39"/>
  <c r="P21" i="40"/>
  <c r="O21" i="40"/>
  <c r="D11" i="39"/>
  <c r="T12" i="9"/>
  <c r="R6" i="9"/>
  <c r="J14" i="39"/>
  <c r="K14" i="39" s="1"/>
  <c r="L14" i="39" s="1"/>
  <c r="O14" i="39" s="1"/>
  <c r="P14" i="39" s="1"/>
  <c r="F15" i="39"/>
  <c r="G15" i="39" s="1"/>
  <c r="H15" i="39" s="1"/>
  <c r="J15" i="39" s="1"/>
  <c r="K15" i="39" s="1"/>
  <c r="L15" i="39" s="1"/>
  <c r="M15" i="39" s="1"/>
  <c r="N15" i="39" s="1"/>
  <c r="O15" i="39" s="1"/>
  <c r="P15" i="39" s="1"/>
  <c r="Q15" i="39" s="1"/>
  <c r="R15" i="39" s="1"/>
  <c r="S15" i="39" s="1"/>
  <c r="D15" i="42" s="1"/>
  <c r="E15" i="42" s="1"/>
  <c r="F18" i="39"/>
  <c r="G18" i="39" s="1"/>
  <c r="H18" i="39" s="1"/>
  <c r="I18" i="39" s="1"/>
  <c r="J18" i="39" s="1"/>
  <c r="K18" i="39" s="1"/>
  <c r="L18" i="39" s="1"/>
  <c r="M18" i="39" s="1"/>
  <c r="N18" i="39" s="1"/>
  <c r="O18" i="39" s="1"/>
  <c r="P18" i="39" s="1"/>
  <c r="Q18" i="39" s="1"/>
  <c r="R18" i="39" s="1"/>
  <c r="S18" i="39" s="1"/>
  <c r="J21" i="39"/>
  <c r="R21" i="39" s="1"/>
  <c r="S21" i="39" s="1"/>
  <c r="F21" i="40"/>
  <c r="P20" i="40"/>
  <c r="O20" i="40"/>
  <c r="P19" i="40"/>
  <c r="O19" i="40"/>
  <c r="C19" i="40"/>
  <c r="P18" i="40"/>
  <c r="O18" i="40"/>
  <c r="C18" i="40"/>
  <c r="P17" i="40"/>
  <c r="O17" i="40"/>
  <c r="P16" i="40"/>
  <c r="O16" i="40"/>
  <c r="F16" i="40"/>
  <c r="P15" i="40"/>
  <c r="O15" i="40"/>
  <c r="C15" i="40"/>
  <c r="P14" i="40"/>
  <c r="O14" i="40"/>
  <c r="F14" i="40"/>
  <c r="P13" i="40"/>
  <c r="O13" i="40"/>
  <c r="F13" i="40"/>
  <c r="P12" i="40"/>
  <c r="O12" i="40"/>
  <c r="C12" i="40"/>
  <c r="P11" i="40"/>
  <c r="O11" i="40"/>
  <c r="P10" i="40"/>
  <c r="O10" i="40"/>
  <c r="P9" i="40"/>
  <c r="O9" i="40"/>
  <c r="P8" i="40"/>
  <c r="O8" i="40"/>
  <c r="P7" i="40"/>
  <c r="O7" i="40"/>
  <c r="F7" i="40"/>
  <c r="P6" i="40"/>
  <c r="O6" i="40"/>
  <c r="P5" i="40"/>
  <c r="O5" i="40"/>
  <c r="P4" i="40"/>
  <c r="O4" i="40"/>
  <c r="S30" i="39"/>
  <c r="R30" i="39"/>
  <c r="Q30" i="39"/>
  <c r="P30" i="39"/>
  <c r="O30" i="39"/>
  <c r="N30" i="39"/>
  <c r="M30" i="39"/>
  <c r="L30" i="39"/>
  <c r="K30" i="39"/>
  <c r="J30" i="39"/>
  <c r="I30" i="39"/>
  <c r="H30" i="39"/>
  <c r="G30" i="39"/>
  <c r="F30" i="39"/>
  <c r="E30" i="39"/>
  <c r="D30" i="39"/>
  <c r="S29" i="39"/>
  <c r="R29" i="39"/>
  <c r="R31" i="39" s="1"/>
  <c r="Q29" i="39"/>
  <c r="P29" i="39"/>
  <c r="O29" i="39"/>
  <c r="N29" i="39"/>
  <c r="M29" i="39"/>
  <c r="L29" i="39"/>
  <c r="K29" i="39"/>
  <c r="J29" i="39"/>
  <c r="I29" i="39"/>
  <c r="H29" i="39"/>
  <c r="H31" i="39" s="1"/>
  <c r="G29" i="39"/>
  <c r="F29" i="39"/>
  <c r="E29" i="39"/>
  <c r="D29" i="39"/>
  <c r="D31" i="39" s="1"/>
  <c r="D26" i="39"/>
  <c r="C22" i="39"/>
  <c r="F33" i="40" s="1"/>
  <c r="B22" i="39"/>
  <c r="C20" i="39"/>
  <c r="C19" i="39"/>
  <c r="F20" i="40" s="1"/>
  <c r="B18" i="39"/>
  <c r="B17" i="39"/>
  <c r="C16" i="39"/>
  <c r="B15" i="39"/>
  <c r="B14" i="39"/>
  <c r="D13" i="39"/>
  <c r="C12" i="39"/>
  <c r="C24" i="40" s="1"/>
  <c r="C10" i="39"/>
  <c r="C27" i="40" s="1"/>
  <c r="C9" i="39"/>
  <c r="C8" i="39"/>
  <c r="P6" i="9"/>
  <c r="T7" i="9"/>
  <c r="N6" i="9"/>
  <c r="L7" i="9"/>
  <c r="M7" i="9" s="1"/>
  <c r="N7" i="9" s="1"/>
  <c r="M6" i="9"/>
  <c r="L6" i="9"/>
  <c r="J11" i="9"/>
  <c r="C14" i="40" l="1"/>
  <c r="C17" i="40"/>
  <c r="C20" i="32"/>
  <c r="D7" i="107"/>
  <c r="D9" i="108"/>
  <c r="D19" i="113"/>
  <c r="D7" i="110"/>
  <c r="D6" i="110"/>
  <c r="D11" i="111"/>
  <c r="D19" i="110"/>
  <c r="D5" i="111"/>
  <c r="D23" i="110"/>
  <c r="D23" i="111"/>
  <c r="D18" i="110"/>
  <c r="D19" i="111"/>
  <c r="D12" i="110"/>
  <c r="D13" i="111"/>
  <c r="D11" i="110"/>
  <c r="D8" i="111"/>
  <c r="D17" i="110"/>
  <c r="D7" i="111"/>
  <c r="D13" i="110"/>
  <c r="D17" i="111"/>
  <c r="D8" i="110"/>
  <c r="D10" i="111"/>
  <c r="D5" i="110"/>
  <c r="D14" i="111"/>
  <c r="D21" i="110"/>
  <c r="D21" i="111"/>
  <c r="D16" i="110"/>
  <c r="D4" i="111"/>
  <c r="D20" i="110"/>
  <c r="D20" i="111"/>
  <c r="D22" i="110"/>
  <c r="D22" i="111"/>
  <c r="D4" i="110"/>
  <c r="D16" i="111"/>
  <c r="D10" i="110"/>
  <c r="D6" i="111"/>
  <c r="D9" i="110"/>
  <c r="D9" i="111"/>
  <c r="D14" i="110"/>
  <c r="D18" i="111"/>
  <c r="D17" i="107"/>
  <c r="D15" i="110"/>
  <c r="D22" i="113"/>
  <c r="D18" i="107"/>
  <c r="D10" i="113"/>
  <c r="D11" i="107"/>
  <c r="D5" i="113"/>
  <c r="D12" i="107"/>
  <c r="D7" i="113"/>
  <c r="D13" i="107"/>
  <c r="D21" i="113"/>
  <c r="D15" i="107"/>
  <c r="D6" i="113"/>
  <c r="D14" i="107"/>
  <c r="D14" i="113"/>
  <c r="D9" i="107"/>
  <c r="D16" i="113"/>
  <c r="D5" i="107"/>
  <c r="D8" i="113"/>
  <c r="D21" i="107"/>
  <c r="D13" i="113"/>
  <c r="D4" i="107"/>
  <c r="D18" i="113"/>
  <c r="D23" i="107"/>
  <c r="D15" i="113"/>
  <c r="D16" i="107"/>
  <c r="D4" i="113"/>
  <c r="D20" i="107"/>
  <c r="D17" i="113"/>
  <c r="D22" i="107"/>
  <c r="D20" i="113"/>
  <c r="D6" i="107"/>
  <c r="D12" i="113"/>
  <c r="D10" i="107"/>
  <c r="D11" i="113"/>
  <c r="D8" i="107"/>
  <c r="D3" i="113"/>
  <c r="D19" i="107"/>
  <c r="D9" i="113"/>
  <c r="F20" i="86"/>
  <c r="R20" i="86" s="1"/>
  <c r="C12" i="32"/>
  <c r="C18" i="32"/>
  <c r="C11" i="32"/>
  <c r="C23" i="32"/>
  <c r="C19" i="32"/>
  <c r="C21" i="32"/>
  <c r="C22" i="32"/>
  <c r="C15" i="32"/>
  <c r="C6" i="32"/>
  <c r="C8" i="32"/>
  <c r="C9" i="32"/>
  <c r="C10" i="32"/>
  <c r="C14" i="32"/>
  <c r="C13" i="32"/>
  <c r="C7" i="32"/>
  <c r="C16" i="32"/>
  <c r="C17" i="32"/>
  <c r="C5" i="32"/>
  <c r="D19" i="108"/>
  <c r="D10" i="108"/>
  <c r="D23" i="108"/>
  <c r="D18" i="108"/>
  <c r="D6" i="108"/>
  <c r="D21" i="108"/>
  <c r="D17" i="108"/>
  <c r="D16" i="108"/>
  <c r="D15" i="108"/>
  <c r="D22" i="108"/>
  <c r="D8" i="108"/>
  <c r="D4" i="108"/>
  <c r="D12" i="108"/>
  <c r="D13" i="108"/>
  <c r="D5" i="108"/>
  <c r="D7" i="108"/>
  <c r="D11" i="108"/>
  <c r="D20" i="108"/>
  <c r="D14" i="108"/>
  <c r="F4" i="86"/>
  <c r="R4" i="86" s="1"/>
  <c r="C3" i="94"/>
  <c r="C15" i="94"/>
  <c r="C10" i="94"/>
  <c r="C5" i="94"/>
  <c r="C18" i="94"/>
  <c r="C7" i="94"/>
  <c r="C16" i="94"/>
  <c r="C6" i="94"/>
  <c r="C20" i="94"/>
  <c r="C4" i="94"/>
  <c r="C17" i="94"/>
  <c r="C19" i="94"/>
  <c r="C9" i="94"/>
  <c r="N7" i="83"/>
  <c r="I7" i="83"/>
  <c r="BB16" i="86"/>
  <c r="C21" i="94"/>
  <c r="C11" i="94"/>
  <c r="C12" i="94"/>
  <c r="C8" i="94"/>
  <c r="C14" i="94"/>
  <c r="C13" i="94"/>
  <c r="F22" i="86"/>
  <c r="R22" i="86" s="1"/>
  <c r="F21" i="86"/>
  <c r="R21" i="86" s="1"/>
  <c r="F15" i="86"/>
  <c r="R15" i="86" s="1"/>
  <c r="F13" i="86"/>
  <c r="R13" i="86" s="1"/>
  <c r="F23" i="86"/>
  <c r="R23" i="86" s="1"/>
  <c r="F12" i="86"/>
  <c r="R12" i="86" s="1"/>
  <c r="F14" i="86"/>
  <c r="R14" i="86" s="1"/>
  <c r="F10" i="86"/>
  <c r="R10" i="86" s="1"/>
  <c r="F19" i="86"/>
  <c r="R19" i="86" s="1"/>
  <c r="AJ21" i="86"/>
  <c r="F18" i="86"/>
  <c r="R18" i="86" s="1"/>
  <c r="F7" i="86"/>
  <c r="R7" i="86" s="1"/>
  <c r="F8" i="86"/>
  <c r="R8" i="86" s="1"/>
  <c r="F9" i="86"/>
  <c r="R9" i="86" s="1"/>
  <c r="F11" i="86"/>
  <c r="R11" i="86" s="1"/>
  <c r="F16" i="86"/>
  <c r="R16" i="86" s="1"/>
  <c r="F6" i="86"/>
  <c r="R6" i="86" s="1"/>
  <c r="F5" i="86"/>
  <c r="R5" i="86" s="1"/>
  <c r="F17" i="86"/>
  <c r="R17" i="86" s="1"/>
  <c r="F19" i="40"/>
  <c r="F15" i="40"/>
  <c r="C13" i="40"/>
  <c r="C11" i="40" s="1"/>
  <c r="F12" i="40"/>
  <c r="R13" i="69"/>
  <c r="R26" i="69"/>
  <c r="R17" i="69"/>
  <c r="R30" i="69"/>
  <c r="R31" i="69" s="1"/>
  <c r="C16" i="69"/>
  <c r="R15" i="69"/>
  <c r="D9" i="48"/>
  <c r="E8" i="48"/>
  <c r="G8" i="48" s="1"/>
  <c r="K13" i="46"/>
  <c r="K26" i="46"/>
  <c r="I30" i="46"/>
  <c r="I31" i="46" s="1"/>
  <c r="C7" i="42"/>
  <c r="C26" i="43" s="1"/>
  <c r="I4" i="42"/>
  <c r="C19" i="42"/>
  <c r="F20" i="43" s="1"/>
  <c r="F19" i="43" s="1"/>
  <c r="P31" i="39"/>
  <c r="N31" i="39"/>
  <c r="C20" i="42"/>
  <c r="F25" i="43" s="1"/>
  <c r="H30" i="42"/>
  <c r="H31" i="42" s="1"/>
  <c r="I16" i="42"/>
  <c r="C22" i="42"/>
  <c r="F33" i="43" s="1"/>
  <c r="H13" i="42"/>
  <c r="C14" i="42"/>
  <c r="F28" i="43" s="1"/>
  <c r="S31" i="39"/>
  <c r="Q31" i="39"/>
  <c r="L31" i="39"/>
  <c r="K31" i="39"/>
  <c r="I31" i="39"/>
  <c r="J31" i="39"/>
  <c r="G31" i="39"/>
  <c r="F31" i="39"/>
  <c r="F26" i="39"/>
  <c r="O31" i="39"/>
  <c r="F25" i="40"/>
  <c r="F24" i="40"/>
  <c r="E31" i="39"/>
  <c r="M31" i="39"/>
  <c r="F13" i="39"/>
  <c r="E13" i="39"/>
  <c r="C29" i="39"/>
  <c r="C30" i="39"/>
  <c r="C6" i="39"/>
  <c r="C25" i="40" s="1"/>
  <c r="C21" i="39"/>
  <c r="F32" i="40" s="1"/>
  <c r="H6" i="9"/>
  <c r="H21" i="9"/>
  <c r="I13" i="12"/>
  <c r="I12" i="12"/>
  <c r="I11" i="12"/>
  <c r="I10" i="12"/>
  <c r="I9" i="12"/>
  <c r="I8" i="12"/>
  <c r="H7" i="12"/>
  <c r="I7" i="12" s="1"/>
  <c r="H6" i="12"/>
  <c r="I6" i="12" s="1"/>
  <c r="I5" i="12"/>
  <c r="I4" i="12"/>
  <c r="I3" i="12"/>
  <c r="I2" i="12"/>
  <c r="C1" i="32" l="1"/>
  <c r="BA13" i="86"/>
  <c r="BO13" i="86" s="1"/>
  <c r="BO2" i="86" s="1"/>
  <c r="BC16" i="86"/>
  <c r="C20" i="86"/>
  <c r="C22" i="86"/>
  <c r="C4" i="86"/>
  <c r="C21" i="86"/>
  <c r="C14" i="86"/>
  <c r="C23" i="86"/>
  <c r="C10" i="86"/>
  <c r="C12" i="86"/>
  <c r="C15" i="86"/>
  <c r="C13" i="86"/>
  <c r="C19" i="86"/>
  <c r="C17" i="86"/>
  <c r="C5" i="86"/>
  <c r="C16" i="86"/>
  <c r="C9" i="86"/>
  <c r="C6" i="86"/>
  <c r="C11" i="86"/>
  <c r="C8" i="86"/>
  <c r="C7" i="86"/>
  <c r="C18" i="86"/>
  <c r="F24" i="70"/>
  <c r="S17" i="69"/>
  <c r="S15" i="69"/>
  <c r="C30" i="69"/>
  <c r="C31" i="69" s="1"/>
  <c r="G41" i="3"/>
  <c r="E9" i="48"/>
  <c r="G9" i="48" s="1"/>
  <c r="D10" i="48"/>
  <c r="L13" i="46"/>
  <c r="L26" i="46"/>
  <c r="J30" i="46"/>
  <c r="J31" i="46" s="1"/>
  <c r="J16" i="42"/>
  <c r="I30" i="42"/>
  <c r="I31" i="42" s="1"/>
  <c r="I26" i="42"/>
  <c r="I13" i="42"/>
  <c r="J4" i="42"/>
  <c r="G13" i="39"/>
  <c r="G26" i="39"/>
  <c r="N26" i="39"/>
  <c r="N13" i="39"/>
  <c r="F23" i="40"/>
  <c r="H26" i="39"/>
  <c r="H13" i="39"/>
  <c r="C31" i="39"/>
  <c r="BO28" i="86" l="1"/>
  <c r="BO16" i="86" s="1"/>
  <c r="BA27" i="86"/>
  <c r="BA16" i="86" s="1"/>
  <c r="BA2" i="86"/>
  <c r="F23" i="70"/>
  <c r="C17" i="69"/>
  <c r="F30" i="70" s="1"/>
  <c r="C15" i="69"/>
  <c r="F29" i="70" s="1"/>
  <c r="E10" i="48"/>
  <c r="G10" i="48" s="1"/>
  <c r="D11" i="48"/>
  <c r="N11" i="46"/>
  <c r="M13" i="46"/>
  <c r="M26" i="46"/>
  <c r="K30" i="46"/>
  <c r="K31" i="46" s="1"/>
  <c r="K16" i="42"/>
  <c r="J30" i="42"/>
  <c r="J31" i="42" s="1"/>
  <c r="J13" i="42"/>
  <c r="K11" i="42"/>
  <c r="J26" i="42"/>
  <c r="K4" i="42"/>
  <c r="O13" i="39"/>
  <c r="O26" i="39"/>
  <c r="I26" i="39"/>
  <c r="I13" i="39"/>
  <c r="F21" i="10"/>
  <c r="P20" i="10"/>
  <c r="O20" i="10"/>
  <c r="I41" i="3" l="1"/>
  <c r="E11" i="48"/>
  <c r="G11" i="48" s="1"/>
  <c r="D12" i="48"/>
  <c r="N13" i="46"/>
  <c r="N26" i="46"/>
  <c r="L30" i="46"/>
  <c r="L31" i="46" s="1"/>
  <c r="K30" i="42"/>
  <c r="K31" i="42" s="1"/>
  <c r="L16" i="42"/>
  <c r="L11" i="42"/>
  <c r="K26" i="42"/>
  <c r="K13" i="42"/>
  <c r="L4" i="42"/>
  <c r="P13" i="39"/>
  <c r="P26" i="39"/>
  <c r="J26" i="39"/>
  <c r="J13" i="39"/>
  <c r="P19" i="10"/>
  <c r="O19" i="10"/>
  <c r="D13" i="48" l="1"/>
  <c r="E12" i="48"/>
  <c r="G12" i="48" s="1"/>
  <c r="O13" i="46"/>
  <c r="O26" i="46"/>
  <c r="M30" i="46"/>
  <c r="M31" i="46" s="1"/>
  <c r="M4" i="42"/>
  <c r="L30" i="42"/>
  <c r="L31" i="42" s="1"/>
  <c r="M16" i="42"/>
  <c r="M11" i="42"/>
  <c r="L26" i="42"/>
  <c r="L13" i="42"/>
  <c r="Q13" i="39"/>
  <c r="Q26" i="39"/>
  <c r="K26" i="39"/>
  <c r="K13" i="39"/>
  <c r="C19" i="10"/>
  <c r="C17" i="10" s="1"/>
  <c r="P18" i="10"/>
  <c r="O18" i="10"/>
  <c r="C18" i="10"/>
  <c r="P17" i="10"/>
  <c r="O17" i="10"/>
  <c r="P16" i="10"/>
  <c r="O16" i="10"/>
  <c r="F16" i="10"/>
  <c r="P15" i="10"/>
  <c r="O15" i="10"/>
  <c r="C15" i="10"/>
  <c r="P14" i="10"/>
  <c r="O14" i="10"/>
  <c r="F14" i="10"/>
  <c r="D14" i="48" l="1"/>
  <c r="E13" i="48"/>
  <c r="G13" i="48" s="1"/>
  <c r="P13" i="46"/>
  <c r="P26" i="46"/>
  <c r="N30" i="46"/>
  <c r="N31" i="46" s="1"/>
  <c r="N16" i="42"/>
  <c r="M30" i="42"/>
  <c r="M31" i="42" s="1"/>
  <c r="M26" i="42"/>
  <c r="M13" i="42"/>
  <c r="N4" i="42"/>
  <c r="C15" i="42"/>
  <c r="F29" i="43" s="1"/>
  <c r="C7" i="39"/>
  <c r="R13" i="39"/>
  <c r="R26" i="39"/>
  <c r="L13" i="39"/>
  <c r="L26" i="39"/>
  <c r="P13" i="10"/>
  <c r="O13" i="10"/>
  <c r="F13" i="10"/>
  <c r="P12" i="10"/>
  <c r="O12" i="10"/>
  <c r="C12" i="10"/>
  <c r="P11" i="10"/>
  <c r="O11" i="10"/>
  <c r="E14" i="48" l="1"/>
  <c r="G14" i="48" s="1"/>
  <c r="D15" i="48"/>
  <c r="Q26" i="46"/>
  <c r="Q13" i="46"/>
  <c r="O30" i="46"/>
  <c r="O31" i="46" s="1"/>
  <c r="O16" i="42"/>
  <c r="N30" i="42"/>
  <c r="N31" i="42" s="1"/>
  <c r="O4" i="42"/>
  <c r="N13" i="42"/>
  <c r="N26" i="42"/>
  <c r="C26" i="40"/>
  <c r="M26" i="39"/>
  <c r="M13" i="39"/>
  <c r="P10" i="10"/>
  <c r="O10" i="10"/>
  <c r="P9" i="10"/>
  <c r="O9" i="10"/>
  <c r="P8" i="10"/>
  <c r="O8" i="10"/>
  <c r="P7" i="10"/>
  <c r="O7" i="10"/>
  <c r="F12" i="10" s="1"/>
  <c r="F7" i="10"/>
  <c r="D16" i="48" l="1"/>
  <c r="E15" i="48"/>
  <c r="G15" i="48" s="1"/>
  <c r="R13" i="46"/>
  <c r="R26" i="46"/>
  <c r="P30" i="46"/>
  <c r="P31" i="46" s="1"/>
  <c r="P4" i="42"/>
  <c r="O30" i="42"/>
  <c r="O31" i="42" s="1"/>
  <c r="P16" i="42"/>
  <c r="P11" i="42"/>
  <c r="O26" i="42"/>
  <c r="O13" i="42"/>
  <c r="P6" i="10"/>
  <c r="O6" i="10"/>
  <c r="F6" i="10"/>
  <c r="P5" i="10"/>
  <c r="O5" i="10"/>
  <c r="P4" i="10"/>
  <c r="C14" i="10" s="1"/>
  <c r="O4" i="10"/>
  <c r="E34" i="9"/>
  <c r="D17" i="48" l="1"/>
  <c r="E17" i="48" s="1"/>
  <c r="G17" i="48" s="1"/>
  <c r="E16" i="48"/>
  <c r="G16" i="48" s="1"/>
  <c r="Q30" i="46"/>
  <c r="Q31" i="46" s="1"/>
  <c r="C16" i="46"/>
  <c r="Q4" i="42"/>
  <c r="P30" i="42"/>
  <c r="P31" i="42" s="1"/>
  <c r="Q16" i="42"/>
  <c r="Q11" i="42"/>
  <c r="P13" i="42"/>
  <c r="P26" i="42"/>
  <c r="T30" i="9"/>
  <c r="S30" i="9"/>
  <c r="S13" i="69" l="1"/>
  <c r="C13" i="69" s="1"/>
  <c r="S26" i="69"/>
  <c r="C11" i="69"/>
  <c r="F24" i="47"/>
  <c r="F23" i="47" s="1"/>
  <c r="C15" i="46"/>
  <c r="F29" i="47" s="1"/>
  <c r="C30" i="46"/>
  <c r="C31" i="46" s="1"/>
  <c r="Q30" i="42"/>
  <c r="Q31" i="42" s="1"/>
  <c r="Q13" i="42"/>
  <c r="Q26" i="42"/>
  <c r="R4" i="42"/>
  <c r="R30" i="9"/>
  <c r="Q30" i="9"/>
  <c r="Z8" i="69" l="1"/>
  <c r="Y14" i="69"/>
  <c r="Z6" i="69"/>
  <c r="Z12" i="69"/>
  <c r="Z9" i="69"/>
  <c r="Z7" i="69"/>
  <c r="Z10" i="69"/>
  <c r="C23" i="70"/>
  <c r="C22" i="70" s="1"/>
  <c r="Z11" i="69"/>
  <c r="C26" i="69"/>
  <c r="S30" i="42"/>
  <c r="S31" i="42" s="1"/>
  <c r="S4" i="42"/>
  <c r="R30" i="42"/>
  <c r="R31" i="42" s="1"/>
  <c r="C16" i="42"/>
  <c r="F24" i="43" s="1"/>
  <c r="F23" i="43" s="1"/>
  <c r="R13" i="42"/>
  <c r="R26" i="42"/>
  <c r="P30" i="9"/>
  <c r="O30" i="9"/>
  <c r="D4" i="46" l="1"/>
  <c r="E4" i="46" s="1"/>
  <c r="F4" i="46" s="1"/>
  <c r="G4" i="46" s="1"/>
  <c r="H4" i="46" s="1"/>
  <c r="I4" i="46" s="1"/>
  <c r="J4" i="46" s="1"/>
  <c r="K4" i="46" s="1"/>
  <c r="L4" i="46" s="1"/>
  <c r="M4" i="46" s="1"/>
  <c r="N4" i="46" s="1"/>
  <c r="O4" i="46" s="1"/>
  <c r="P4" i="46" s="1"/>
  <c r="Q4" i="46" s="1"/>
  <c r="R4" i="46" s="1"/>
  <c r="S4" i="46" s="1"/>
  <c r="S11" i="42"/>
  <c r="C11" i="42" s="1"/>
  <c r="Z13" i="69"/>
  <c r="S13" i="42"/>
  <c r="C13" i="42" s="1"/>
  <c r="Y14" i="42" s="1"/>
  <c r="S26" i="42"/>
  <c r="C30" i="42"/>
  <c r="C31" i="42" s="1"/>
  <c r="N30" i="9"/>
  <c r="M30" i="9"/>
  <c r="L30" i="9"/>
  <c r="K30" i="9"/>
  <c r="J30" i="9"/>
  <c r="I30" i="9"/>
  <c r="H30" i="9"/>
  <c r="G30" i="9"/>
  <c r="F30" i="9"/>
  <c r="E30" i="9"/>
  <c r="D30" i="9"/>
  <c r="T29" i="9"/>
  <c r="S29" i="9"/>
  <c r="S31" i="9" s="1"/>
  <c r="R29" i="9"/>
  <c r="Q29" i="9"/>
  <c r="P29" i="9"/>
  <c r="O29" i="9"/>
  <c r="N29" i="9"/>
  <c r="M29" i="9"/>
  <c r="L29" i="9"/>
  <c r="K29" i="9"/>
  <c r="J29" i="9"/>
  <c r="J31" i="9" s="1"/>
  <c r="I29" i="9"/>
  <c r="H29" i="9"/>
  <c r="G29" i="9"/>
  <c r="F29" i="9"/>
  <c r="E29" i="9"/>
  <c r="D29" i="9"/>
  <c r="C23" i="43" l="1"/>
  <c r="C22" i="43" s="1"/>
  <c r="C26" i="42"/>
  <c r="D31" i="9"/>
  <c r="D4" i="69"/>
  <c r="E4" i="69" s="1"/>
  <c r="F4" i="69" s="1"/>
  <c r="G4" i="69" s="1"/>
  <c r="H4" i="69" s="1"/>
  <c r="I4" i="69" s="1"/>
  <c r="J4" i="69" s="1"/>
  <c r="K4" i="69" s="1"/>
  <c r="L4" i="69" s="1"/>
  <c r="M4" i="69" s="1"/>
  <c r="N4" i="69" s="1"/>
  <c r="O4" i="69" s="1"/>
  <c r="P4" i="69" s="1"/>
  <c r="Q4" i="69" s="1"/>
  <c r="R4" i="69" s="1"/>
  <c r="S4" i="69" s="1"/>
  <c r="D4" i="78" s="1"/>
  <c r="E4" i="78" s="1"/>
  <c r="F4" i="78" s="1"/>
  <c r="G4" i="78" s="1"/>
  <c r="H4" i="78" s="1"/>
  <c r="I4" i="78" s="1"/>
  <c r="J4" i="78" s="1"/>
  <c r="K4" i="78" s="1"/>
  <c r="L4" i="78" s="1"/>
  <c r="M4" i="78" s="1"/>
  <c r="N4" i="78" s="1"/>
  <c r="O4" i="78" s="1"/>
  <c r="P4" i="78" s="1"/>
  <c r="Q4" i="78" s="1"/>
  <c r="R4" i="78" s="1"/>
  <c r="S4" i="78" s="1"/>
  <c r="S11" i="46"/>
  <c r="Z11" i="42"/>
  <c r="Z7" i="42"/>
  <c r="Z9" i="42"/>
  <c r="Z12" i="42"/>
  <c r="Z6" i="42"/>
  <c r="Z8" i="42"/>
  <c r="Z10" i="42"/>
  <c r="K31" i="9"/>
  <c r="R31" i="9"/>
  <c r="Q31" i="9" s="1"/>
  <c r="P31" i="9" s="1"/>
  <c r="O31" i="9" s="1"/>
  <c r="N31" i="9" s="1"/>
  <c r="M31" i="9" s="1"/>
  <c r="L31" i="9" s="1"/>
  <c r="I31" i="9"/>
  <c r="H31" i="9"/>
  <c r="G31" i="9"/>
  <c r="F31" i="9" s="1"/>
  <c r="E31" i="9" s="1"/>
  <c r="S13" i="46" l="1"/>
  <c r="C13" i="46" s="1"/>
  <c r="S26" i="46"/>
  <c r="C11" i="46"/>
  <c r="Z13" i="42"/>
  <c r="E27" i="9"/>
  <c r="D27" i="9"/>
  <c r="C23" i="47" l="1"/>
  <c r="C22" i="47" s="1"/>
  <c r="C26" i="46"/>
  <c r="Z11" i="46"/>
  <c r="Z12" i="46"/>
  <c r="Z8" i="46"/>
  <c r="Y14" i="46"/>
  <c r="Z10" i="46"/>
  <c r="Z6" i="46"/>
  <c r="Z7" i="46"/>
  <c r="Z9" i="46"/>
  <c r="E26" i="9"/>
  <c r="D26" i="9"/>
  <c r="D28" i="9" s="1"/>
  <c r="D25" i="9"/>
  <c r="E23" i="9"/>
  <c r="D23" i="9"/>
  <c r="C22" i="9"/>
  <c r="F33" i="10" s="1"/>
  <c r="B22" i="9"/>
  <c r="G21" i="9"/>
  <c r="C20" i="9"/>
  <c r="C19" i="9"/>
  <c r="G18" i="9"/>
  <c r="H18" i="9" s="1"/>
  <c r="I18" i="9" s="1"/>
  <c r="J18" i="9" s="1"/>
  <c r="K18" i="9" s="1"/>
  <c r="L18" i="9" s="1"/>
  <c r="M18" i="9" s="1"/>
  <c r="N18" i="9" s="1"/>
  <c r="O18" i="9" s="1"/>
  <c r="P18" i="9" s="1"/>
  <c r="Q18" i="9" s="1"/>
  <c r="R18" i="9" s="1"/>
  <c r="S18" i="9" s="1"/>
  <c r="T18" i="9" s="1"/>
  <c r="Z13" i="46" l="1"/>
  <c r="D18" i="39"/>
  <c r="C18" i="39" s="1"/>
  <c r="D18" i="78"/>
  <c r="D18" i="69"/>
  <c r="D18" i="46"/>
  <c r="D18" i="42"/>
  <c r="F31" i="40"/>
  <c r="C8" i="10"/>
  <c r="C8" i="40" s="1"/>
  <c r="C8" i="43" s="1"/>
  <c r="C8" i="47" s="1"/>
  <c r="C8" i="70" s="1"/>
  <c r="C8" i="79" s="1"/>
  <c r="C8" i="82" s="1"/>
  <c r="F25" i="10"/>
  <c r="F20" i="10"/>
  <c r="F19" i="10" s="1"/>
  <c r="C18" i="9"/>
  <c r="B18" i="9"/>
  <c r="F17" i="9"/>
  <c r="B17" i="9"/>
  <c r="C16" i="9"/>
  <c r="F24" i="10" s="1"/>
  <c r="G15" i="9"/>
  <c r="B15" i="9"/>
  <c r="F14" i="9"/>
  <c r="B14" i="9"/>
  <c r="E13" i="9"/>
  <c r="D13" i="9"/>
  <c r="C12" i="9"/>
  <c r="C8" i="89" l="1"/>
  <c r="D23" i="69"/>
  <c r="E18" i="69"/>
  <c r="D27" i="69"/>
  <c r="D28" i="69" s="1"/>
  <c r="E18" i="78"/>
  <c r="D27" i="78"/>
  <c r="D28" i="78" s="1"/>
  <c r="D23" i="78"/>
  <c r="E18" i="42"/>
  <c r="F18" i="42" s="1"/>
  <c r="G18" i="42" s="1"/>
  <c r="H18" i="42" s="1"/>
  <c r="E18" i="46"/>
  <c r="D23" i="46"/>
  <c r="D27" i="46"/>
  <c r="D28" i="46" s="1"/>
  <c r="F23" i="10"/>
  <c r="F27" i="9"/>
  <c r="F23" i="9"/>
  <c r="C7" i="10"/>
  <c r="C7" i="40" s="1"/>
  <c r="C30" i="9"/>
  <c r="C8" i="92" l="1"/>
  <c r="F18" i="46"/>
  <c r="E27" i="46"/>
  <c r="E28" i="46" s="1"/>
  <c r="E23" i="46"/>
  <c r="F18" i="69"/>
  <c r="E23" i="69"/>
  <c r="E27" i="69"/>
  <c r="E28" i="69" s="1"/>
  <c r="I18" i="42"/>
  <c r="H27" i="42"/>
  <c r="H28" i="42" s="1"/>
  <c r="H23" i="42"/>
  <c r="J18" i="78"/>
  <c r="E23" i="78"/>
  <c r="E27" i="78"/>
  <c r="E28" i="78" s="1"/>
  <c r="C6" i="40"/>
  <c r="C7" i="43"/>
  <c r="C7" i="47" s="1"/>
  <c r="G11" i="9"/>
  <c r="F11" i="9"/>
  <c r="C10" i="9"/>
  <c r="C9" i="9"/>
  <c r="C8" i="9"/>
  <c r="C8" i="101" l="1"/>
  <c r="G18" i="69"/>
  <c r="F27" i="69"/>
  <c r="F28" i="69" s="1"/>
  <c r="F23" i="69"/>
  <c r="J18" i="42"/>
  <c r="K18" i="42" s="1"/>
  <c r="L18" i="42" s="1"/>
  <c r="M18" i="42" s="1"/>
  <c r="I27" i="42"/>
  <c r="I28" i="42" s="1"/>
  <c r="I23" i="42"/>
  <c r="K18" i="78"/>
  <c r="J27" i="78"/>
  <c r="J28" i="78" s="1"/>
  <c r="J23" i="78"/>
  <c r="G18" i="46"/>
  <c r="F27" i="46"/>
  <c r="F28" i="46" s="1"/>
  <c r="F23" i="46"/>
  <c r="C6" i="47"/>
  <c r="C7" i="70"/>
  <c r="C6" i="43"/>
  <c r="G26" i="9"/>
  <c r="G13" i="9"/>
  <c r="C29" i="9"/>
  <c r="C31" i="9" s="1"/>
  <c r="F6" i="9"/>
  <c r="D5" i="9"/>
  <c r="D24" i="9" s="1"/>
  <c r="E4" i="9"/>
  <c r="E2" i="9"/>
  <c r="C8" i="104" l="1"/>
  <c r="C6" i="70"/>
  <c r="C7" i="79"/>
  <c r="C7" i="82" s="1"/>
  <c r="H18" i="46"/>
  <c r="G27" i="46"/>
  <c r="G28" i="46" s="1"/>
  <c r="G23" i="46"/>
  <c r="L18" i="78"/>
  <c r="K27" i="78"/>
  <c r="K28" i="78" s="1"/>
  <c r="K23" i="78"/>
  <c r="N18" i="42"/>
  <c r="M27" i="42"/>
  <c r="M28" i="42" s="1"/>
  <c r="M23" i="42"/>
  <c r="H18" i="69"/>
  <c r="G27" i="69"/>
  <c r="G28" i="69" s="1"/>
  <c r="G23" i="69"/>
  <c r="F26" i="9"/>
  <c r="F13" i="9"/>
  <c r="H26" i="9"/>
  <c r="H13" i="9"/>
  <c r="C6" i="82" l="1"/>
  <c r="C7" i="89"/>
  <c r="I18" i="69"/>
  <c r="H23" i="69"/>
  <c r="H27" i="69"/>
  <c r="H28" i="69" s="1"/>
  <c r="I18" i="46"/>
  <c r="H23" i="46"/>
  <c r="H27" i="46"/>
  <c r="H28" i="46" s="1"/>
  <c r="M18" i="78"/>
  <c r="L27" i="78"/>
  <c r="L28" i="78" s="1"/>
  <c r="L23" i="78"/>
  <c r="O18" i="42"/>
  <c r="P18" i="42" s="1"/>
  <c r="Q18" i="42" s="1"/>
  <c r="N27" i="42"/>
  <c r="N28" i="42" s="1"/>
  <c r="N23" i="42"/>
  <c r="E12" i="3"/>
  <c r="E11" i="3"/>
  <c r="E10" i="3"/>
  <c r="E9" i="3"/>
  <c r="C6" i="89" l="1"/>
  <c r="C7" i="92"/>
  <c r="R18" i="42"/>
  <c r="Q27" i="42"/>
  <c r="Q28" i="42" s="1"/>
  <c r="Q23" i="42"/>
  <c r="N18" i="78"/>
  <c r="M27" i="78"/>
  <c r="M28" i="78" s="1"/>
  <c r="M23" i="78"/>
  <c r="J18" i="46"/>
  <c r="I23" i="46"/>
  <c r="I27" i="46"/>
  <c r="I28" i="46" s="1"/>
  <c r="J18" i="69"/>
  <c r="I23" i="69"/>
  <c r="I27" i="69"/>
  <c r="I28" i="69" s="1"/>
  <c r="B17" i="3"/>
  <c r="K7" i="3"/>
  <c r="J7" i="3"/>
  <c r="I7" i="3"/>
  <c r="G7" i="3"/>
  <c r="E7" i="3"/>
  <c r="K6" i="3"/>
  <c r="J6" i="3"/>
  <c r="I6" i="3"/>
  <c r="G6" i="3"/>
  <c r="E6" i="3"/>
  <c r="K5" i="3"/>
  <c r="J5" i="3"/>
  <c r="I5" i="3"/>
  <c r="G5" i="3"/>
  <c r="E5" i="3"/>
  <c r="K4" i="3"/>
  <c r="J4" i="3"/>
  <c r="I4" i="3"/>
  <c r="G4" i="3"/>
  <c r="E4" i="3"/>
  <c r="C3" i="3"/>
  <c r="C11" i="3" s="1"/>
  <c r="B3" i="3"/>
  <c r="C7" i="101" l="1"/>
  <c r="C6" i="92"/>
  <c r="B37" i="3"/>
  <c r="B38" i="3"/>
  <c r="B39" i="3"/>
  <c r="B40" i="3"/>
  <c r="O18" i="78"/>
  <c r="N27" i="78"/>
  <c r="N28" i="78" s="1"/>
  <c r="N23" i="78"/>
  <c r="K18" i="46"/>
  <c r="J23" i="46"/>
  <c r="J27" i="46"/>
  <c r="J28" i="46" s="1"/>
  <c r="K18" i="69"/>
  <c r="J23" i="69"/>
  <c r="J27" i="69"/>
  <c r="J28" i="69" s="1"/>
  <c r="S18" i="42"/>
  <c r="R27" i="42"/>
  <c r="R28" i="42" s="1"/>
  <c r="R23" i="42"/>
  <c r="C18" i="42"/>
  <c r="C8" i="3"/>
  <c r="J8" i="3"/>
  <c r="C10" i="3"/>
  <c r="C9" i="3"/>
  <c r="C22" i="3"/>
  <c r="B22" i="3" s="1"/>
  <c r="C17" i="3"/>
  <c r="B12" i="3"/>
  <c r="B13" i="3" s="1"/>
  <c r="C7" i="104" l="1"/>
  <c r="C6" i="101"/>
  <c r="C40" i="3"/>
  <c r="C39" i="3"/>
  <c r="C38" i="3"/>
  <c r="C37" i="3"/>
  <c r="F31" i="43"/>
  <c r="S27" i="42"/>
  <c r="S28" i="42" s="1"/>
  <c r="S23" i="42"/>
  <c r="L18" i="69"/>
  <c r="K23" i="69"/>
  <c r="K27" i="69"/>
  <c r="K28" i="69" s="1"/>
  <c r="L18" i="46"/>
  <c r="K27" i="46"/>
  <c r="K28" i="46" s="1"/>
  <c r="K23" i="46"/>
  <c r="P18" i="78"/>
  <c r="O27" i="78"/>
  <c r="O28" i="78" s="1"/>
  <c r="O23" i="78"/>
  <c r="B10" i="3"/>
  <c r="D22" i="3"/>
  <c r="D17" i="3"/>
  <c r="C6" i="104" l="1"/>
  <c r="D39" i="3"/>
  <c r="D46" i="3" s="1"/>
  <c r="D38" i="3"/>
  <c r="D45" i="3" s="1"/>
  <c r="D40" i="3"/>
  <c r="D47" i="3" s="1"/>
  <c r="D37" i="3"/>
  <c r="D44" i="3" s="1"/>
  <c r="M18" i="46"/>
  <c r="L27" i="46"/>
  <c r="L28" i="46" s="1"/>
  <c r="L23" i="46"/>
  <c r="Q18" i="78"/>
  <c r="P27" i="78"/>
  <c r="P28" i="78" s="1"/>
  <c r="P23" i="78"/>
  <c r="M18" i="69"/>
  <c r="L23" i="69"/>
  <c r="L27" i="69"/>
  <c r="L28" i="69" s="1"/>
  <c r="E22" i="3"/>
  <c r="E17" i="3"/>
  <c r="E37" i="3" l="1"/>
  <c r="E40" i="3"/>
  <c r="E39" i="3"/>
  <c r="E38" i="3"/>
  <c r="N18" i="69"/>
  <c r="M23" i="69"/>
  <c r="M27" i="69"/>
  <c r="M28" i="69" s="1"/>
  <c r="R18" i="78"/>
  <c r="Q27" i="78"/>
  <c r="Q28" i="78" s="1"/>
  <c r="Q23" i="78"/>
  <c r="N18" i="46"/>
  <c r="M23" i="46"/>
  <c r="M27" i="46"/>
  <c r="M28" i="46" s="1"/>
  <c r="F22" i="3"/>
  <c r="F17" i="3"/>
  <c r="F38" i="3" l="1"/>
  <c r="F37" i="3"/>
  <c r="F40" i="3"/>
  <c r="F39" i="3"/>
  <c r="S18" i="78"/>
  <c r="R27" i="78"/>
  <c r="R28" i="78" s="1"/>
  <c r="R23" i="78"/>
  <c r="O18" i="46"/>
  <c r="N23" i="46"/>
  <c r="N27" i="46"/>
  <c r="N28" i="46" s="1"/>
  <c r="O18" i="69"/>
  <c r="N27" i="69"/>
  <c r="N28" i="69" s="1"/>
  <c r="N23" i="69"/>
  <c r="G22" i="3"/>
  <c r="G26" i="3" s="1"/>
  <c r="G17" i="3"/>
  <c r="G38" i="3" l="1"/>
  <c r="G37" i="3"/>
  <c r="G40" i="3"/>
  <c r="G39" i="3"/>
  <c r="P18" i="46"/>
  <c r="O23" i="46"/>
  <c r="O27" i="46"/>
  <c r="O28" i="46" s="1"/>
  <c r="P18" i="69"/>
  <c r="O23" i="69"/>
  <c r="O27" i="69"/>
  <c r="O28" i="69" s="1"/>
  <c r="S23" i="78"/>
  <c r="C23" i="78" s="1"/>
  <c r="S27" i="78"/>
  <c r="S28" i="78" s="1"/>
  <c r="C18" i="78"/>
  <c r="H22" i="3"/>
  <c r="H17" i="3"/>
  <c r="H37" i="3" l="1"/>
  <c r="H40" i="3"/>
  <c r="H39" i="3"/>
  <c r="H38" i="3"/>
  <c r="Q18" i="69"/>
  <c r="P27" i="69"/>
  <c r="P28" i="69" s="1"/>
  <c r="P23" i="69"/>
  <c r="Y34" i="78"/>
  <c r="Z30" i="78"/>
  <c r="Z23" i="78"/>
  <c r="Z28" i="78"/>
  <c r="Z24" i="78"/>
  <c r="Z25" i="78"/>
  <c r="Z26" i="78"/>
  <c r="Z31" i="78"/>
  <c r="Z29" i="78"/>
  <c r="F31" i="79"/>
  <c r="C27" i="78"/>
  <c r="C28" i="78" s="1"/>
  <c r="Z27" i="78"/>
  <c r="Q18" i="46"/>
  <c r="P27" i="46"/>
  <c r="P28" i="46" s="1"/>
  <c r="P23" i="46"/>
  <c r="I22" i="3"/>
  <c r="I17" i="3"/>
  <c r="I37" i="3" l="1"/>
  <c r="I40" i="3"/>
  <c r="I39" i="3"/>
  <c r="I38" i="3"/>
  <c r="R18" i="46"/>
  <c r="Q23" i="46"/>
  <c r="Q27" i="46"/>
  <c r="Q28" i="46" s="1"/>
  <c r="Z32" i="78"/>
  <c r="F27" i="79"/>
  <c r="R18" i="69"/>
  <c r="Q27" i="69"/>
  <c r="Q28" i="69" s="1"/>
  <c r="Q23" i="69"/>
  <c r="J22" i="3"/>
  <c r="J26" i="3" s="1"/>
  <c r="J17" i="3"/>
  <c r="C6" i="10"/>
  <c r="C24" i="10"/>
  <c r="C27" i="10"/>
  <c r="F31" i="10"/>
  <c r="C13" i="10"/>
  <c r="C11" i="10" s="1"/>
  <c r="F15" i="10"/>
  <c r="J37" i="3" l="1"/>
  <c r="J40" i="3"/>
  <c r="J39" i="3"/>
  <c r="J38" i="3"/>
  <c r="S18" i="69"/>
  <c r="R27" i="69"/>
  <c r="R28" i="69" s="1"/>
  <c r="R23" i="69"/>
  <c r="S18" i="46"/>
  <c r="R23" i="46"/>
  <c r="R27" i="46"/>
  <c r="R28" i="46" s="1"/>
  <c r="K22" i="3"/>
  <c r="K17" i="3"/>
  <c r="E5" i="9"/>
  <c r="G17" i="9"/>
  <c r="H17" i="9" s="1"/>
  <c r="I17" i="9" s="1"/>
  <c r="F28" i="9"/>
  <c r="E28" i="9"/>
  <c r="F25" i="9"/>
  <c r="G25" i="9" s="1"/>
  <c r="H25" i="9" s="1"/>
  <c r="I25" i="9" s="1"/>
  <c r="J25" i="9" s="1"/>
  <c r="K25" i="9" s="1"/>
  <c r="L25" i="9" s="1"/>
  <c r="M25" i="9" s="1"/>
  <c r="N25" i="9" s="1"/>
  <c r="O25" i="9" s="1"/>
  <c r="P25" i="9" s="1"/>
  <c r="Q25" i="9" s="1"/>
  <c r="R25" i="9" s="1"/>
  <c r="S25" i="9" s="1"/>
  <c r="T25" i="9" s="1"/>
  <c r="D2" i="39" s="1"/>
  <c r="E25" i="9"/>
  <c r="T31" i="9"/>
  <c r="H37" i="9"/>
  <c r="H36" i="9"/>
  <c r="H38" i="9"/>
  <c r="K6" i="9"/>
  <c r="S6" i="9" s="1"/>
  <c r="G14" i="9"/>
  <c r="K37" i="3" l="1"/>
  <c r="K40" i="3"/>
  <c r="K39" i="3"/>
  <c r="K38" i="3"/>
  <c r="S23" i="46"/>
  <c r="C23" i="46" s="1"/>
  <c r="S27" i="46"/>
  <c r="S28" i="46" s="1"/>
  <c r="C18" i="46"/>
  <c r="S23" i="69"/>
  <c r="C23" i="69" s="1"/>
  <c r="S27" i="69"/>
  <c r="S28" i="69" s="1"/>
  <c r="C18" i="69"/>
  <c r="E2" i="39"/>
  <c r="F2" i="39" s="1"/>
  <c r="G2" i="39" s="1"/>
  <c r="H2" i="39" s="1"/>
  <c r="I2" i="39" s="1"/>
  <c r="J2" i="39" s="1"/>
  <c r="K2" i="39" s="1"/>
  <c r="L2" i="39" s="1"/>
  <c r="M2" i="39" s="1"/>
  <c r="N2" i="39" s="1"/>
  <c r="O2" i="39" s="1"/>
  <c r="P2" i="39" s="1"/>
  <c r="Q2" i="39" s="1"/>
  <c r="R2" i="39" s="1"/>
  <c r="S2" i="39" s="1"/>
  <c r="D25" i="39"/>
  <c r="E25" i="39" s="1"/>
  <c r="F25" i="39" s="1"/>
  <c r="G25" i="39" s="1"/>
  <c r="H25" i="39" s="1"/>
  <c r="I25" i="39" s="1"/>
  <c r="J25" i="39" s="1"/>
  <c r="K25" i="39" s="1"/>
  <c r="L25" i="39" s="1"/>
  <c r="M25" i="39" s="1"/>
  <c r="N25" i="39" s="1"/>
  <c r="O25" i="39" s="1"/>
  <c r="P25" i="39" s="1"/>
  <c r="Q25" i="39" s="1"/>
  <c r="R25" i="39" s="1"/>
  <c r="S25" i="39" s="1"/>
  <c r="D2" i="42" s="1"/>
  <c r="L22" i="3"/>
  <c r="L26" i="3" s="1"/>
  <c r="L17" i="3"/>
  <c r="J17" i="9"/>
  <c r="K17" i="9" s="1"/>
  <c r="L17" i="9" s="1"/>
  <c r="P17" i="9" s="1"/>
  <c r="Q17" i="9" s="1"/>
  <c r="R17" i="9" s="1"/>
  <c r="S17" i="9" s="1"/>
  <c r="T17" i="9" s="1"/>
  <c r="D17" i="39" s="1"/>
  <c r="C6" i="9"/>
  <c r="C25" i="10" s="1"/>
  <c r="G27" i="9"/>
  <c r="G28" i="9" s="1"/>
  <c r="G23" i="9"/>
  <c r="H14" i="9"/>
  <c r="L37" i="3" l="1"/>
  <c r="L40" i="3"/>
  <c r="L39" i="3"/>
  <c r="L38" i="3"/>
  <c r="Z30" i="69"/>
  <c r="Z31" i="69"/>
  <c r="Z28" i="69"/>
  <c r="Y34" i="69"/>
  <c r="Z26" i="69"/>
  <c r="Z25" i="69"/>
  <c r="Z23" i="69"/>
  <c r="Z29" i="69"/>
  <c r="Z24" i="69"/>
  <c r="F31" i="47"/>
  <c r="F27" i="47" s="1"/>
  <c r="Z27" i="46"/>
  <c r="C27" i="46"/>
  <c r="C28" i="46" s="1"/>
  <c r="F31" i="70"/>
  <c r="F27" i="70" s="1"/>
  <c r="C27" i="69"/>
  <c r="C28" i="69" s="1"/>
  <c r="Z27" i="69"/>
  <c r="Z25" i="46"/>
  <c r="Z23" i="46"/>
  <c r="Z30" i="46"/>
  <c r="Z26" i="46"/>
  <c r="Z29" i="46"/>
  <c r="Z31" i="46"/>
  <c r="Y33" i="46"/>
  <c r="Z28" i="46"/>
  <c r="Z24" i="46"/>
  <c r="D25" i="42"/>
  <c r="E25" i="42" s="1"/>
  <c r="F25" i="42" s="1"/>
  <c r="G25" i="42" s="1"/>
  <c r="H25" i="42" s="1"/>
  <c r="I25" i="42" s="1"/>
  <c r="J25" i="42" s="1"/>
  <c r="K25" i="42" s="1"/>
  <c r="L25" i="42" s="1"/>
  <c r="M25" i="42" s="1"/>
  <c r="N25" i="42" s="1"/>
  <c r="O25" i="42" s="1"/>
  <c r="P25" i="42" s="1"/>
  <c r="Q25" i="42" s="1"/>
  <c r="R25" i="42" s="1"/>
  <c r="S25" i="42" s="1"/>
  <c r="D2" i="46" s="1"/>
  <c r="E2" i="42"/>
  <c r="F2" i="42" s="1"/>
  <c r="G2" i="42" s="1"/>
  <c r="H2" i="42" s="1"/>
  <c r="I2" i="42" s="1"/>
  <c r="J2" i="42" s="1"/>
  <c r="K2" i="42" s="1"/>
  <c r="L2" i="42" s="1"/>
  <c r="M2" i="42" s="1"/>
  <c r="N2" i="42" s="1"/>
  <c r="O2" i="42" s="1"/>
  <c r="P2" i="42" s="1"/>
  <c r="Q2" i="42" s="1"/>
  <c r="R2" i="42" s="1"/>
  <c r="S2" i="42" s="1"/>
  <c r="E17" i="39"/>
  <c r="F17" i="39" s="1"/>
  <c r="C17" i="9"/>
  <c r="F30" i="10" s="1"/>
  <c r="M22" i="3"/>
  <c r="M17" i="3"/>
  <c r="M37" i="3" l="1"/>
  <c r="M40" i="3"/>
  <c r="M39" i="3"/>
  <c r="M38" i="3"/>
  <c r="Z32" i="69"/>
  <c r="Z32" i="46"/>
  <c r="D25" i="46"/>
  <c r="E25" i="46" s="1"/>
  <c r="F25" i="46" s="1"/>
  <c r="G25" i="46" s="1"/>
  <c r="H25" i="46" s="1"/>
  <c r="I25" i="46" s="1"/>
  <c r="J25" i="46" s="1"/>
  <c r="K25" i="46" s="1"/>
  <c r="L25" i="46" s="1"/>
  <c r="M25" i="46" s="1"/>
  <c r="N25" i="46" s="1"/>
  <c r="O25" i="46" s="1"/>
  <c r="P25" i="46" s="1"/>
  <c r="Q25" i="46" s="1"/>
  <c r="R25" i="46" s="1"/>
  <c r="S25" i="46" s="1"/>
  <c r="D2" i="69" s="1"/>
  <c r="E2" i="46"/>
  <c r="F2" i="46" s="1"/>
  <c r="G2" i="46" s="1"/>
  <c r="H2" i="46" s="1"/>
  <c r="I2" i="46" s="1"/>
  <c r="J2" i="46" s="1"/>
  <c r="K2" i="46" s="1"/>
  <c r="L2" i="46" s="1"/>
  <c r="M2" i="46" s="1"/>
  <c r="N2" i="46" s="1"/>
  <c r="O2" i="46" s="1"/>
  <c r="P2" i="46" s="1"/>
  <c r="Q2" i="46" s="1"/>
  <c r="R2" i="46" s="1"/>
  <c r="S2" i="46" s="1"/>
  <c r="H23" i="39"/>
  <c r="H27" i="39"/>
  <c r="H28" i="39" s="1"/>
  <c r="N22" i="3"/>
  <c r="N26" i="3" s="1"/>
  <c r="N17" i="3"/>
  <c r="J14" i="9"/>
  <c r="N37" i="3" l="1"/>
  <c r="N40" i="3"/>
  <c r="N39" i="3"/>
  <c r="N38" i="3"/>
  <c r="D25" i="69"/>
  <c r="E25" i="69" s="1"/>
  <c r="F25" i="69" s="1"/>
  <c r="G25" i="69" s="1"/>
  <c r="H25" i="69" s="1"/>
  <c r="I25" i="69" s="1"/>
  <c r="J25" i="69" s="1"/>
  <c r="K25" i="69" s="1"/>
  <c r="L25" i="69" s="1"/>
  <c r="M25" i="69" s="1"/>
  <c r="N25" i="69" s="1"/>
  <c r="O25" i="69" s="1"/>
  <c r="P25" i="69" s="1"/>
  <c r="Q25" i="69" s="1"/>
  <c r="R25" i="69" s="1"/>
  <c r="S25" i="69" s="1"/>
  <c r="D2" i="78" s="1"/>
  <c r="E2" i="69"/>
  <c r="F2" i="69" s="1"/>
  <c r="G2" i="69" s="1"/>
  <c r="H2" i="69" s="1"/>
  <c r="I2" i="69" s="1"/>
  <c r="J2" i="69" s="1"/>
  <c r="K2" i="69" s="1"/>
  <c r="L2" i="69" s="1"/>
  <c r="M2" i="69" s="1"/>
  <c r="N2" i="69" s="1"/>
  <c r="O2" i="69" s="1"/>
  <c r="P2" i="69" s="1"/>
  <c r="Q2" i="69" s="1"/>
  <c r="R2" i="69" s="1"/>
  <c r="S2" i="69" s="1"/>
  <c r="I27" i="39"/>
  <c r="I28" i="39" s="1"/>
  <c r="I23" i="39"/>
  <c r="O22" i="3"/>
  <c r="O17" i="3"/>
  <c r="K14" i="9"/>
  <c r="O37" i="3" l="1"/>
  <c r="O40" i="3"/>
  <c r="O39" i="3"/>
  <c r="O38" i="3"/>
  <c r="D25" i="78"/>
  <c r="E25" i="78" s="1"/>
  <c r="F25" i="78" s="1"/>
  <c r="G25" i="78" s="1"/>
  <c r="H25" i="78" s="1"/>
  <c r="I25" i="78" s="1"/>
  <c r="J25" i="78" s="1"/>
  <c r="K25" i="78" s="1"/>
  <c r="L25" i="78" s="1"/>
  <c r="M25" i="78" s="1"/>
  <c r="N25" i="78" s="1"/>
  <c r="O25" i="78" s="1"/>
  <c r="P25" i="78" s="1"/>
  <c r="Q25" i="78" s="1"/>
  <c r="R25" i="78" s="1"/>
  <c r="S25" i="78" s="1"/>
  <c r="D2" i="81" s="1"/>
  <c r="E2" i="78"/>
  <c r="F2" i="78" s="1"/>
  <c r="G2" i="78" s="1"/>
  <c r="H2" i="78" s="1"/>
  <c r="I2" i="78" s="1"/>
  <c r="J2" i="78" s="1"/>
  <c r="K2" i="78" s="1"/>
  <c r="L2" i="78" s="1"/>
  <c r="M2" i="78" s="1"/>
  <c r="N2" i="78" s="1"/>
  <c r="O2" i="78" s="1"/>
  <c r="P2" i="78" s="1"/>
  <c r="Q2" i="78" s="1"/>
  <c r="R2" i="78" s="1"/>
  <c r="S2" i="78" s="1"/>
  <c r="K17" i="39"/>
  <c r="J27" i="39"/>
  <c r="J28" i="39" s="1"/>
  <c r="J23" i="39"/>
  <c r="P22" i="3"/>
  <c r="P26" i="3" s="1"/>
  <c r="P17" i="3"/>
  <c r="L14" i="9"/>
  <c r="E2" i="81" l="1"/>
  <c r="F2" i="81" s="1"/>
  <c r="G2" i="81" s="1"/>
  <c r="H2" i="81" s="1"/>
  <c r="I2" i="81" s="1"/>
  <c r="D25" i="81"/>
  <c r="P37" i="3"/>
  <c r="P40" i="3"/>
  <c r="P39" i="3"/>
  <c r="P38" i="3"/>
  <c r="K23" i="39"/>
  <c r="K27" i="39"/>
  <c r="K28" i="39" s="1"/>
  <c r="Q22" i="3"/>
  <c r="Q17" i="3"/>
  <c r="M14" i="9"/>
  <c r="E25" i="81" l="1"/>
  <c r="F25" i="81" s="1"/>
  <c r="G25" i="81" s="1"/>
  <c r="H25" i="81" s="1"/>
  <c r="I25" i="81" s="1"/>
  <c r="J2" i="81"/>
  <c r="K2" i="81" s="1"/>
  <c r="L2" i="81" s="1"/>
  <c r="M2" i="81" s="1"/>
  <c r="N2" i="81" s="1"/>
  <c r="O2" i="81" s="1"/>
  <c r="P2" i="81" s="1"/>
  <c r="Q2" i="81" s="1"/>
  <c r="R2" i="81" s="1"/>
  <c r="S2" i="81" s="1"/>
  <c r="L27" i="39"/>
  <c r="L28" i="39" s="1"/>
  <c r="L23" i="39"/>
  <c r="R22" i="3"/>
  <c r="R26" i="3" s="1"/>
  <c r="R17" i="3"/>
  <c r="N14" i="9"/>
  <c r="J25" i="81" l="1"/>
  <c r="K25" i="81" s="1"/>
  <c r="L25" i="81" s="1"/>
  <c r="M25" i="81" s="1"/>
  <c r="N25" i="81" s="1"/>
  <c r="O25" i="81" s="1"/>
  <c r="P25" i="81" s="1"/>
  <c r="Q25" i="81" s="1"/>
  <c r="R25" i="81" s="1"/>
  <c r="S25" i="81" s="1"/>
  <c r="D2" i="88" s="1"/>
  <c r="M27" i="39"/>
  <c r="M28" i="39" s="1"/>
  <c r="M23" i="39"/>
  <c r="S22" i="3"/>
  <c r="S17" i="3"/>
  <c r="O14" i="9"/>
  <c r="D25" i="88" l="1"/>
  <c r="E25" i="88" s="1"/>
  <c r="F25" i="88" s="1"/>
  <c r="G25" i="88" s="1"/>
  <c r="H25" i="88" s="1"/>
  <c r="I25" i="88" s="1"/>
  <c r="J25" i="88" s="1"/>
  <c r="K25" i="88" s="1"/>
  <c r="L25" i="88" s="1"/>
  <c r="M25" i="88" s="1"/>
  <c r="N25" i="88" s="1"/>
  <c r="E2" i="88"/>
  <c r="F2" i="88" s="1"/>
  <c r="G2" i="88" s="1"/>
  <c r="H2" i="88" s="1"/>
  <c r="I2" i="88" s="1"/>
  <c r="J2" i="88" s="1"/>
  <c r="K2" i="88" s="1"/>
  <c r="L2" i="88" s="1"/>
  <c r="M2" i="88" s="1"/>
  <c r="N2" i="88" s="1"/>
  <c r="N27" i="39"/>
  <c r="N28" i="39" s="1"/>
  <c r="N23" i="39"/>
  <c r="T22" i="3"/>
  <c r="T26" i="3" s="1"/>
  <c r="T17" i="3"/>
  <c r="P14" i="9"/>
  <c r="O2" i="88" l="1"/>
  <c r="P2" i="88" s="1"/>
  <c r="Q2" i="88" s="1"/>
  <c r="R2" i="88" s="1"/>
  <c r="S2" i="88" s="1"/>
  <c r="O25" i="88"/>
  <c r="P25" i="88" s="1"/>
  <c r="Q25" i="88" s="1"/>
  <c r="R25" i="88" s="1"/>
  <c r="S25" i="88" s="1"/>
  <c r="D2" i="91" s="1"/>
  <c r="O27" i="39"/>
  <c r="O28" i="39" s="1"/>
  <c r="O23" i="39"/>
  <c r="U22" i="3"/>
  <c r="U17" i="3"/>
  <c r="Q14" i="9"/>
  <c r="E2" i="91" l="1"/>
  <c r="F2" i="91" s="1"/>
  <c r="G2" i="91" s="1"/>
  <c r="H2" i="91" s="1"/>
  <c r="I2" i="91" s="1"/>
  <c r="J2" i="91" s="1"/>
  <c r="K2" i="91" s="1"/>
  <c r="L2" i="91" s="1"/>
  <c r="M2" i="91" s="1"/>
  <c r="N2" i="91" s="1"/>
  <c r="O2" i="91" s="1"/>
  <c r="P2" i="91" s="1"/>
  <c r="Q2" i="91" s="1"/>
  <c r="R2" i="91" s="1"/>
  <c r="S2" i="91" s="1"/>
  <c r="D25" i="91"/>
  <c r="E25" i="91" s="1"/>
  <c r="F25" i="91" s="1"/>
  <c r="G25" i="91" s="1"/>
  <c r="H25" i="91" s="1"/>
  <c r="I25" i="91" s="1"/>
  <c r="J25" i="91" s="1"/>
  <c r="K25" i="91" s="1"/>
  <c r="L25" i="91" s="1"/>
  <c r="M25" i="91" s="1"/>
  <c r="N25" i="91" s="1"/>
  <c r="O25" i="91" s="1"/>
  <c r="P25" i="91" s="1"/>
  <c r="Q25" i="91" s="1"/>
  <c r="R25" i="91" s="1"/>
  <c r="S25" i="91" s="1"/>
  <c r="D2" i="100" s="1"/>
  <c r="Q17" i="39"/>
  <c r="P23" i="39"/>
  <c r="P27" i="39"/>
  <c r="P28" i="39" s="1"/>
  <c r="V22" i="3"/>
  <c r="V26" i="3" s="1"/>
  <c r="V17" i="3"/>
  <c r="R14" i="9"/>
  <c r="D25" i="100" l="1"/>
  <c r="E25" i="100" s="1"/>
  <c r="F25" i="100" s="1"/>
  <c r="G25" i="100" s="1"/>
  <c r="H25" i="100" s="1"/>
  <c r="I25" i="100" s="1"/>
  <c r="J25" i="100" s="1"/>
  <c r="K25" i="100" s="1"/>
  <c r="L25" i="100" s="1"/>
  <c r="M25" i="100" s="1"/>
  <c r="N25" i="100" s="1"/>
  <c r="O25" i="100" s="1"/>
  <c r="P25" i="100" s="1"/>
  <c r="Q25" i="100" s="1"/>
  <c r="R25" i="100" s="1"/>
  <c r="S25" i="100" s="1"/>
  <c r="D2" i="103" s="1"/>
  <c r="E2" i="100"/>
  <c r="F2" i="100" s="1"/>
  <c r="G2" i="100" s="1"/>
  <c r="H2" i="100" s="1"/>
  <c r="I2" i="100" s="1"/>
  <c r="J2" i="100" s="1"/>
  <c r="K2" i="100" s="1"/>
  <c r="L2" i="100" s="1"/>
  <c r="M2" i="100" s="1"/>
  <c r="N2" i="100" s="1"/>
  <c r="O2" i="100" s="1"/>
  <c r="P2" i="100" s="1"/>
  <c r="Q2" i="100" s="1"/>
  <c r="R2" i="100" s="1"/>
  <c r="S2" i="100" s="1"/>
  <c r="R17" i="39"/>
  <c r="Q27" i="39"/>
  <c r="Q28" i="39" s="1"/>
  <c r="Q23" i="39"/>
  <c r="W22" i="3"/>
  <c r="W17" i="3"/>
  <c r="C7" i="9"/>
  <c r="E2" i="103" l="1"/>
  <c r="F2" i="103" s="1"/>
  <c r="G2" i="103" s="1"/>
  <c r="H2" i="103" s="1"/>
  <c r="I2" i="103" s="1"/>
  <c r="J2" i="103" s="1"/>
  <c r="K2" i="103" s="1"/>
  <c r="L2" i="103" s="1"/>
  <c r="M2" i="103" s="1"/>
  <c r="N2" i="103" s="1"/>
  <c r="O2" i="103" s="1"/>
  <c r="P2" i="103" s="1"/>
  <c r="Q2" i="103" s="1"/>
  <c r="R2" i="103" s="1"/>
  <c r="S2" i="103" s="1"/>
  <c r="D25" i="103"/>
  <c r="E25" i="103" s="1"/>
  <c r="F25" i="103" s="1"/>
  <c r="G25" i="103" s="1"/>
  <c r="H25" i="103" s="1"/>
  <c r="I25" i="103" s="1"/>
  <c r="J25" i="103" s="1"/>
  <c r="K25" i="103" s="1"/>
  <c r="L25" i="103" s="1"/>
  <c r="M25" i="103" s="1"/>
  <c r="N25" i="103" s="1"/>
  <c r="O25" i="103" s="1"/>
  <c r="P25" i="103" s="1"/>
  <c r="Q25" i="103" s="1"/>
  <c r="R25" i="103" s="1"/>
  <c r="S25" i="103" s="1"/>
  <c r="S17" i="39"/>
  <c r="D17" i="42" s="1"/>
  <c r="R27" i="39"/>
  <c r="R28" i="39" s="1"/>
  <c r="R23" i="39"/>
  <c r="X22" i="3"/>
  <c r="X26" i="3" s="1"/>
  <c r="X17" i="3"/>
  <c r="T14" i="9"/>
  <c r="D14" i="39" s="1"/>
  <c r="C26" i="10"/>
  <c r="E17" i="42" l="1"/>
  <c r="D27" i="42"/>
  <c r="D28" i="42" s="1"/>
  <c r="D23" i="42"/>
  <c r="S23" i="39"/>
  <c r="S27" i="39"/>
  <c r="C17" i="39"/>
  <c r="F30" i="40" s="1"/>
  <c r="Y22" i="3"/>
  <c r="Y17" i="3"/>
  <c r="C14" i="9"/>
  <c r="F17" i="42" l="1"/>
  <c r="E23" i="42"/>
  <c r="E27" i="42"/>
  <c r="E28" i="42" s="1"/>
  <c r="E23" i="39"/>
  <c r="E27" i="39"/>
  <c r="E28" i="39" s="1"/>
  <c r="Z22" i="3"/>
  <c r="Z26" i="3" s="1"/>
  <c r="Z17" i="3"/>
  <c r="F28" i="10"/>
  <c r="H15" i="9"/>
  <c r="J21" i="9"/>
  <c r="K21" i="9" s="1"/>
  <c r="L21" i="9" s="1"/>
  <c r="K11" i="9"/>
  <c r="K13" i="9"/>
  <c r="H23" i="9"/>
  <c r="J13" i="9"/>
  <c r="J26" i="9"/>
  <c r="I13" i="9"/>
  <c r="E24" i="9"/>
  <c r="F5" i="9" s="1"/>
  <c r="F24" i="9" s="1"/>
  <c r="G5" i="9" s="1"/>
  <c r="G24" i="9" s="1"/>
  <c r="H5" i="9" s="1"/>
  <c r="I26" i="9"/>
  <c r="F2" i="9"/>
  <c r="G2" i="9" s="1"/>
  <c r="H2" i="9" s="1"/>
  <c r="I2" i="9" s="1"/>
  <c r="J2" i="9" s="1"/>
  <c r="K2" i="9" s="1"/>
  <c r="L2" i="9" s="1"/>
  <c r="M2" i="9" s="1"/>
  <c r="N2" i="9" s="1"/>
  <c r="O2" i="9" s="1"/>
  <c r="P2" i="9" s="1"/>
  <c r="Q2" i="9" s="1"/>
  <c r="R2" i="9" s="1"/>
  <c r="S2" i="9" s="1"/>
  <c r="T2" i="9" s="1"/>
  <c r="F4" i="9"/>
  <c r="G4" i="9" s="1"/>
  <c r="H4" i="9" s="1"/>
  <c r="I4" i="9" s="1"/>
  <c r="J4" i="9" s="1"/>
  <c r="K4" i="9" s="1"/>
  <c r="L4" i="9" s="1"/>
  <c r="F34" i="9"/>
  <c r="G34" i="9" s="1"/>
  <c r="H34" i="9" s="1"/>
  <c r="H24" i="9" l="1"/>
  <c r="I5" i="9" s="1"/>
  <c r="G17" i="42"/>
  <c r="F27" i="42"/>
  <c r="F28" i="42" s="1"/>
  <c r="F23" i="42"/>
  <c r="F27" i="39"/>
  <c r="F28" i="39" s="1"/>
  <c r="F23" i="39"/>
  <c r="M21" i="9"/>
  <c r="N21" i="9" s="1"/>
  <c r="R21" i="9" s="1"/>
  <c r="S21" i="9" s="1"/>
  <c r="T21" i="9" s="1"/>
  <c r="AA22" i="3"/>
  <c r="AA17" i="3"/>
  <c r="K26" i="9"/>
  <c r="L11" i="9"/>
  <c r="I15" i="9"/>
  <c r="H27" i="9"/>
  <c r="H28" i="9" s="1"/>
  <c r="J17" i="42" l="1"/>
  <c r="G23" i="42"/>
  <c r="G27" i="42"/>
  <c r="G28" i="42" s="1"/>
  <c r="G27" i="39"/>
  <c r="G28" i="39" s="1"/>
  <c r="G23" i="39"/>
  <c r="C14" i="39"/>
  <c r="C21" i="9"/>
  <c r="F32" i="10" s="1"/>
  <c r="L26" i="9"/>
  <c r="L13" i="9"/>
  <c r="I23" i="9"/>
  <c r="J15" i="9"/>
  <c r="I27" i="9"/>
  <c r="I28" i="9" s="1"/>
  <c r="AB22" i="3"/>
  <c r="AB26" i="3" s="1"/>
  <c r="AB17" i="3"/>
  <c r="M4" i="9"/>
  <c r="N4" i="9" s="1"/>
  <c r="K17" i="42" l="1"/>
  <c r="J27" i="42"/>
  <c r="J28" i="42" s="1"/>
  <c r="J23" i="42"/>
  <c r="F28" i="40"/>
  <c r="I24" i="9"/>
  <c r="J5" i="9" s="1"/>
  <c r="K15" i="9"/>
  <c r="J23" i="9"/>
  <c r="J27" i="9"/>
  <c r="J28" i="9" s="1"/>
  <c r="M26" i="9"/>
  <c r="M13" i="9"/>
  <c r="O4" i="9"/>
  <c r="AC22" i="3"/>
  <c r="AC17" i="3"/>
  <c r="J24" i="9" l="1"/>
  <c r="K5" i="9" s="1"/>
  <c r="L17" i="42"/>
  <c r="K27" i="42"/>
  <c r="K28" i="42" s="1"/>
  <c r="K23" i="42"/>
  <c r="N26" i="9"/>
  <c r="N13" i="9"/>
  <c r="AD22" i="3"/>
  <c r="AD26" i="3" s="1"/>
  <c r="AD17" i="3"/>
  <c r="K23" i="9"/>
  <c r="K24" i="9" s="1"/>
  <c r="L5" i="9" s="1"/>
  <c r="L15" i="9"/>
  <c r="K27" i="9"/>
  <c r="K28" i="9" s="1"/>
  <c r="O17" i="42" l="1"/>
  <c r="L27" i="42"/>
  <c r="L28" i="42" s="1"/>
  <c r="L23" i="42"/>
  <c r="O26" i="9"/>
  <c r="O13" i="9"/>
  <c r="L23" i="9"/>
  <c r="L24" i="9" s="1"/>
  <c r="M5" i="9" s="1"/>
  <c r="L27" i="9"/>
  <c r="L28" i="9" s="1"/>
  <c r="M15" i="9"/>
  <c r="P4" i="9"/>
  <c r="Q4" i="9" s="1"/>
  <c r="P17" i="42" l="1"/>
  <c r="O27" i="42"/>
  <c r="O28" i="42" s="1"/>
  <c r="O23" i="42"/>
  <c r="R4" i="9"/>
  <c r="P26" i="9"/>
  <c r="P13" i="9"/>
  <c r="N15" i="9"/>
  <c r="M23" i="9"/>
  <c r="M24" i="9" s="1"/>
  <c r="N5" i="9" s="1"/>
  <c r="M27" i="9"/>
  <c r="M28" i="9" s="1"/>
  <c r="P27" i="42" l="1"/>
  <c r="P28" i="42" s="1"/>
  <c r="P23" i="42"/>
  <c r="C23" i="42" s="1"/>
  <c r="C17" i="42"/>
  <c r="R11" i="9"/>
  <c r="S4" i="9" s="1"/>
  <c r="Q26" i="9"/>
  <c r="Q13" i="9"/>
  <c r="O15" i="9"/>
  <c r="N23" i="9"/>
  <c r="N24" i="9" s="1"/>
  <c r="O5" i="9" s="1"/>
  <c r="N27" i="9"/>
  <c r="N28" i="9" s="1"/>
  <c r="F30" i="43" l="1"/>
  <c r="F27" i="43" s="1"/>
  <c r="C27" i="42"/>
  <c r="C28" i="42" s="1"/>
  <c r="Z26" i="42"/>
  <c r="Z28" i="42"/>
  <c r="Z23" i="42"/>
  <c r="Z24" i="42"/>
  <c r="Z29" i="42"/>
  <c r="Y33" i="42"/>
  <c r="Z25" i="42"/>
  <c r="Z30" i="42"/>
  <c r="Z31" i="42"/>
  <c r="Z27" i="42"/>
  <c r="O23" i="9"/>
  <c r="O24" i="9" s="1"/>
  <c r="P5" i="9" s="1"/>
  <c r="P15" i="9"/>
  <c r="O27" i="9"/>
  <c r="O28" i="9" s="1"/>
  <c r="R13" i="9"/>
  <c r="R26" i="9"/>
  <c r="Z32" i="42" l="1"/>
  <c r="S13" i="9"/>
  <c r="S26" i="9"/>
  <c r="P23" i="9"/>
  <c r="P24" i="9" s="1"/>
  <c r="Q5" i="9" s="1"/>
  <c r="P27" i="9"/>
  <c r="P28" i="9" s="1"/>
  <c r="Q15" i="9"/>
  <c r="T4" i="9"/>
  <c r="T11" i="9" l="1"/>
  <c r="D4" i="39"/>
  <c r="E4" i="39" s="1"/>
  <c r="F4" i="39" s="1"/>
  <c r="G4" i="39" s="1"/>
  <c r="H4" i="39" s="1"/>
  <c r="I4" i="39" s="1"/>
  <c r="J4" i="39" s="1"/>
  <c r="K4" i="39" s="1"/>
  <c r="L4" i="39" s="1"/>
  <c r="M4" i="39" s="1"/>
  <c r="N4" i="39" s="1"/>
  <c r="O4" i="39" s="1"/>
  <c r="P4" i="39" s="1"/>
  <c r="Q4" i="39" s="1"/>
  <c r="R4" i="39" s="1"/>
  <c r="S4" i="39" s="1"/>
  <c r="S11" i="39" s="1"/>
  <c r="R15" i="9"/>
  <c r="Q23" i="9"/>
  <c r="Q24" i="9" s="1"/>
  <c r="R5" i="9" s="1"/>
  <c r="Q27" i="9"/>
  <c r="Q28" i="9" s="1"/>
  <c r="T26" i="9"/>
  <c r="T13" i="9"/>
  <c r="C13" i="9" s="1"/>
  <c r="C11" i="9"/>
  <c r="S26" i="39" l="1"/>
  <c r="S28" i="39" s="1"/>
  <c r="S13" i="39"/>
  <c r="C13" i="39" s="1"/>
  <c r="Z6" i="39" s="1"/>
  <c r="C11" i="39"/>
  <c r="C23" i="40"/>
  <c r="C22" i="40" s="1"/>
  <c r="C26" i="39"/>
  <c r="Z11" i="39"/>
  <c r="Z12" i="39"/>
  <c r="Z8" i="39"/>
  <c r="Z9" i="39"/>
  <c r="Z7" i="39"/>
  <c r="Z10" i="39"/>
  <c r="Y14" i="39"/>
  <c r="S15" i="9"/>
  <c r="R23" i="9"/>
  <c r="R24" i="9" s="1"/>
  <c r="S5" i="9" s="1"/>
  <c r="R27" i="9"/>
  <c r="R28" i="9" s="1"/>
  <c r="AA8" i="9"/>
  <c r="AA12" i="9"/>
  <c r="AA7" i="9"/>
  <c r="Z14" i="9"/>
  <c r="AA9" i="9"/>
  <c r="AA6" i="9"/>
  <c r="AA10" i="9"/>
  <c r="AA11" i="9"/>
  <c r="C26" i="9"/>
  <c r="C23" i="10"/>
  <c r="Z13" i="39" l="1"/>
  <c r="S23" i="9"/>
  <c r="S24" i="9" s="1"/>
  <c r="T5" i="9" s="1"/>
  <c r="T15" i="9"/>
  <c r="S27" i="9"/>
  <c r="S28" i="9" s="1"/>
  <c r="AA13" i="9"/>
  <c r="C22" i="10"/>
  <c r="C15" i="39" l="1"/>
  <c r="D23" i="39"/>
  <c r="C23" i="39" s="1"/>
  <c r="D27" i="39"/>
  <c r="D28" i="39" s="1"/>
  <c r="T23" i="9"/>
  <c r="C23" i="9" s="1"/>
  <c r="T27" i="9"/>
  <c r="T28" i="9" s="1"/>
  <c r="C15" i="9"/>
  <c r="F29" i="40" l="1"/>
  <c r="F27" i="40" s="1"/>
  <c r="Z24" i="39"/>
  <c r="C27" i="39"/>
  <c r="C28" i="39" s="1"/>
  <c r="Y33" i="39"/>
  <c r="Z28" i="39"/>
  <c r="Z25" i="39"/>
  <c r="Z30" i="39"/>
  <c r="Z29" i="39"/>
  <c r="Z31" i="39"/>
  <c r="Z27" i="39"/>
  <c r="Z26" i="39"/>
  <c r="Z23" i="39"/>
  <c r="F29" i="10"/>
  <c r="AA24" i="9"/>
  <c r="C27" i="9"/>
  <c r="C28" i="9" s="1"/>
  <c r="AA23" i="9"/>
  <c r="AA27" i="9"/>
  <c r="AA31" i="9"/>
  <c r="AA26" i="9"/>
  <c r="AA25" i="9"/>
  <c r="AA29" i="9"/>
  <c r="Z33" i="9"/>
  <c r="AA28" i="9"/>
  <c r="AA30" i="9"/>
  <c r="C24" i="9"/>
  <c r="T24" i="9"/>
  <c r="C29" i="10" s="1"/>
  <c r="Z32" i="39" l="1"/>
  <c r="C5" i="39"/>
  <c r="C34" i="10"/>
  <c r="D29" i="10" s="1"/>
  <c r="F27" i="10"/>
  <c r="F17" i="10" s="1"/>
  <c r="AA32" i="9"/>
  <c r="D5" i="39" l="1"/>
  <c r="D24" i="39" s="1"/>
  <c r="E5" i="39" s="1"/>
  <c r="E24" i="39" s="1"/>
  <c r="F5" i="39" s="1"/>
  <c r="F24" i="39" s="1"/>
  <c r="G5" i="39" s="1"/>
  <c r="G24" i="39" s="1"/>
  <c r="H5" i="39" s="1"/>
  <c r="H24" i="39" s="1"/>
  <c r="I5" i="39" s="1"/>
  <c r="I24" i="39" s="1"/>
  <c r="J5" i="39" s="1"/>
  <c r="J24" i="39" s="1"/>
  <c r="K5" i="39" s="1"/>
  <c r="K24" i="39" s="1"/>
  <c r="L5" i="39" s="1"/>
  <c r="L24" i="39" s="1"/>
  <c r="M5" i="39" s="1"/>
  <c r="M24" i="39" s="1"/>
  <c r="N5" i="39" s="1"/>
  <c r="N24" i="39" s="1"/>
  <c r="O5" i="39" s="1"/>
  <c r="O24" i="39" s="1"/>
  <c r="P5" i="39" s="1"/>
  <c r="P24" i="39" s="1"/>
  <c r="Q5" i="39" s="1"/>
  <c r="Q24" i="39" s="1"/>
  <c r="R5" i="39" s="1"/>
  <c r="R24" i="39" s="1"/>
  <c r="S5" i="39" s="1"/>
  <c r="S24" i="39" s="1"/>
  <c r="C29" i="40" s="1"/>
  <c r="C34" i="40" s="1"/>
  <c r="C24" i="39"/>
  <c r="D19" i="10"/>
  <c r="D14" i="10"/>
  <c r="D9" i="10"/>
  <c r="D24" i="10"/>
  <c r="D18" i="10"/>
  <c r="D13" i="10"/>
  <c r="D34" i="10"/>
  <c r="D15" i="10"/>
  <c r="D11" i="10"/>
  <c r="D27" i="10"/>
  <c r="D6" i="10"/>
  <c r="D25" i="10"/>
  <c r="D17" i="10"/>
  <c r="D12" i="10"/>
  <c r="D7" i="10"/>
  <c r="D26" i="10"/>
  <c r="D8" i="10"/>
  <c r="D23" i="10"/>
  <c r="D22" i="10"/>
  <c r="F17" i="40" l="1"/>
  <c r="F11" i="40" s="1"/>
  <c r="F9" i="43" s="1"/>
  <c r="C5" i="42"/>
  <c r="D29" i="40"/>
  <c r="D13" i="40"/>
  <c r="D24" i="40"/>
  <c r="D17" i="40"/>
  <c r="D25" i="40"/>
  <c r="D27" i="40"/>
  <c r="D19" i="40"/>
  <c r="D15" i="40"/>
  <c r="D7" i="40"/>
  <c r="D9" i="40"/>
  <c r="D18" i="40"/>
  <c r="D26" i="40"/>
  <c r="D11" i="40"/>
  <c r="D23" i="40"/>
  <c r="D12" i="40"/>
  <c r="D34" i="40"/>
  <c r="D14" i="40"/>
  <c r="D22" i="40"/>
  <c r="D8" i="40"/>
  <c r="D6" i="40"/>
  <c r="F11" i="10"/>
  <c r="F9" i="40" s="1"/>
  <c r="F8" i="43" s="1"/>
  <c r="F8" i="47" l="1"/>
  <c r="F6" i="43"/>
  <c r="D5" i="42"/>
  <c r="D24" i="42" s="1"/>
  <c r="E5" i="42" s="1"/>
  <c r="E24" i="42" s="1"/>
  <c r="F5" i="42" s="1"/>
  <c r="F24" i="42" s="1"/>
  <c r="G5" i="42" s="1"/>
  <c r="G24" i="42" s="1"/>
  <c r="H5" i="42" s="1"/>
  <c r="H24" i="42" s="1"/>
  <c r="I5" i="42" s="1"/>
  <c r="I24" i="42" s="1"/>
  <c r="J5" i="42" s="1"/>
  <c r="J24" i="42" s="1"/>
  <c r="K5" i="42" s="1"/>
  <c r="K24" i="42" s="1"/>
  <c r="L5" i="42" s="1"/>
  <c r="L24" i="42" s="1"/>
  <c r="M5" i="42" s="1"/>
  <c r="M24" i="42" s="1"/>
  <c r="N5" i="42" s="1"/>
  <c r="N24" i="42" s="1"/>
  <c r="O5" i="42" s="1"/>
  <c r="O24" i="42" s="1"/>
  <c r="P5" i="42" s="1"/>
  <c r="P24" i="42" s="1"/>
  <c r="Q5" i="42" s="1"/>
  <c r="Q24" i="42" s="1"/>
  <c r="R5" i="42" s="1"/>
  <c r="R24" i="42" s="1"/>
  <c r="S5" i="42" s="1"/>
  <c r="S24" i="42" s="1"/>
  <c r="C29" i="43" s="1"/>
  <c r="C24" i="42"/>
  <c r="C5" i="46" s="1"/>
  <c r="F6" i="40"/>
  <c r="F34" i="10"/>
  <c r="G11" i="10" s="1"/>
  <c r="F17" i="43" l="1"/>
  <c r="F11" i="43" s="1"/>
  <c r="F9" i="47" s="1"/>
  <c r="F8" i="70" s="1"/>
  <c r="C34" i="43"/>
  <c r="D29" i="43" s="1"/>
  <c r="F34" i="40"/>
  <c r="G6" i="40" s="1"/>
  <c r="G25" i="10"/>
  <c r="G24" i="10"/>
  <c r="G33" i="10"/>
  <c r="G23" i="10"/>
  <c r="G30" i="10"/>
  <c r="G20" i="10"/>
  <c r="G19" i="10"/>
  <c r="G8" i="10"/>
  <c r="G28" i="10"/>
  <c r="G21" i="10"/>
  <c r="G14" i="10"/>
  <c r="G31" i="10"/>
  <c r="G16" i="10"/>
  <c r="G9" i="10"/>
  <c r="G7" i="10"/>
  <c r="G32" i="10"/>
  <c r="G34" i="10"/>
  <c r="G15" i="10"/>
  <c r="G12" i="10"/>
  <c r="G6" i="10"/>
  <c r="F35" i="10"/>
  <c r="G13" i="10"/>
  <c r="G29" i="10"/>
  <c r="G27" i="10"/>
  <c r="G17" i="10"/>
  <c r="B30" i="3"/>
  <c r="C30" i="3" s="1"/>
  <c r="D30" i="3" s="1"/>
  <c r="O23" i="3"/>
  <c r="O24" i="3"/>
  <c r="O25" i="3"/>
  <c r="N23" i="3"/>
  <c r="N27" i="3" s="1"/>
  <c r="N24" i="3"/>
  <c r="N28" i="3" s="1"/>
  <c r="N25" i="3"/>
  <c r="N29" i="3" s="1"/>
  <c r="M23" i="3"/>
  <c r="M24" i="3"/>
  <c r="M25" i="3"/>
  <c r="E26" i="3"/>
  <c r="E23" i="3"/>
  <c r="E27" i="3" s="1"/>
  <c r="E24" i="3"/>
  <c r="E28" i="3" s="1"/>
  <c r="E25" i="3"/>
  <c r="E29" i="3" s="1"/>
  <c r="K23" i="3"/>
  <c r="K24" i="3"/>
  <c r="K25" i="3"/>
  <c r="AA25" i="3"/>
  <c r="Y25" i="3"/>
  <c r="W25" i="3"/>
  <c r="U25" i="3"/>
  <c r="S25" i="3"/>
  <c r="Q25" i="3"/>
  <c r="H25" i="3"/>
  <c r="C25" i="3"/>
  <c r="C29" i="3" s="1"/>
  <c r="AA24" i="3"/>
  <c r="Y24" i="3"/>
  <c r="W24" i="3"/>
  <c r="U24" i="3"/>
  <c r="S24" i="3"/>
  <c r="Q24" i="3"/>
  <c r="H24" i="3"/>
  <c r="C24" i="3"/>
  <c r="C28" i="3" s="1"/>
  <c r="AA23" i="3"/>
  <c r="Y23" i="3"/>
  <c r="W23" i="3"/>
  <c r="U23" i="3"/>
  <c r="S23" i="3"/>
  <c r="Q23" i="3"/>
  <c r="H23" i="3"/>
  <c r="C23" i="3"/>
  <c r="C27" i="3" s="1"/>
  <c r="C26" i="3"/>
  <c r="AD25" i="3"/>
  <c r="AD29" i="3" s="1"/>
  <c r="AC25" i="3"/>
  <c r="AB25" i="3"/>
  <c r="AB29" i="3" s="1"/>
  <c r="Z25" i="3"/>
  <c r="Z29" i="3" s="1"/>
  <c r="X25" i="3"/>
  <c r="X29" i="3" s="1"/>
  <c r="V25" i="3"/>
  <c r="V29" i="3" s="1"/>
  <c r="T25" i="3"/>
  <c r="T29" i="3" s="1"/>
  <c r="R25" i="3"/>
  <c r="R29" i="3" s="1"/>
  <c r="P25" i="3"/>
  <c r="P29" i="3" s="1"/>
  <c r="L25" i="3"/>
  <c r="L29" i="3" s="1"/>
  <c r="J25" i="3"/>
  <c r="J29" i="3" s="1"/>
  <c r="I25" i="3"/>
  <c r="G25" i="3"/>
  <c r="G29" i="3" s="1"/>
  <c r="F25" i="3"/>
  <c r="D25" i="3"/>
  <c r="B25" i="3"/>
  <c r="AD24" i="3"/>
  <c r="AD28" i="3" s="1"/>
  <c r="AC24" i="3"/>
  <c r="AB24" i="3"/>
  <c r="AB28" i="3" s="1"/>
  <c r="Z24" i="3"/>
  <c r="Z28" i="3" s="1"/>
  <c r="X24" i="3"/>
  <c r="X28" i="3" s="1"/>
  <c r="V24" i="3"/>
  <c r="V28" i="3" s="1"/>
  <c r="T24" i="3"/>
  <c r="T28" i="3" s="1"/>
  <c r="R24" i="3"/>
  <c r="R28" i="3" s="1"/>
  <c r="P24" i="3"/>
  <c r="P28" i="3" s="1"/>
  <c r="L24" i="3"/>
  <c r="L28" i="3" s="1"/>
  <c r="J24" i="3"/>
  <c r="J28" i="3" s="1"/>
  <c r="I24" i="3"/>
  <c r="G24" i="3"/>
  <c r="G28" i="3" s="1"/>
  <c r="F24" i="3"/>
  <c r="D24" i="3"/>
  <c r="B24" i="3"/>
  <c r="AD23" i="3"/>
  <c r="AD27" i="3" s="1"/>
  <c r="AC23" i="3"/>
  <c r="AB23" i="3"/>
  <c r="AB27" i="3" s="1"/>
  <c r="Z23" i="3"/>
  <c r="Z27" i="3" s="1"/>
  <c r="X23" i="3"/>
  <c r="X27" i="3" s="1"/>
  <c r="V23" i="3"/>
  <c r="V27" i="3" s="1"/>
  <c r="T23" i="3"/>
  <c r="T27" i="3" s="1"/>
  <c r="R23" i="3"/>
  <c r="R27" i="3" s="1"/>
  <c r="P23" i="3"/>
  <c r="P27" i="3" s="1"/>
  <c r="L23" i="3"/>
  <c r="L27" i="3" s="1"/>
  <c r="J23" i="3"/>
  <c r="J27" i="3" s="1"/>
  <c r="I23" i="3"/>
  <c r="G23" i="3"/>
  <c r="G27" i="3" s="1"/>
  <c r="F23" i="3"/>
  <c r="D23" i="3"/>
  <c r="B23" i="3"/>
  <c r="F6" i="47" l="1"/>
  <c r="D5" i="46"/>
  <c r="D24" i="46" s="1"/>
  <c r="E5" i="46" s="1"/>
  <c r="E24" i="46" s="1"/>
  <c r="F5" i="46" s="1"/>
  <c r="F24" i="46" s="1"/>
  <c r="G5" i="46" s="1"/>
  <c r="G24" i="46" s="1"/>
  <c r="H5" i="46" s="1"/>
  <c r="H24" i="46" s="1"/>
  <c r="I5" i="46" s="1"/>
  <c r="I24" i="46" s="1"/>
  <c r="J5" i="46" s="1"/>
  <c r="J24" i="46" s="1"/>
  <c r="K5" i="46" s="1"/>
  <c r="K24" i="46" s="1"/>
  <c r="L5" i="46" s="1"/>
  <c r="L24" i="46" s="1"/>
  <c r="M5" i="46" s="1"/>
  <c r="M24" i="46" s="1"/>
  <c r="N5" i="46" s="1"/>
  <c r="N24" i="46" s="1"/>
  <c r="O5" i="46" s="1"/>
  <c r="O24" i="46" s="1"/>
  <c r="P5" i="46" s="1"/>
  <c r="P24" i="46" s="1"/>
  <c r="Q5" i="46" s="1"/>
  <c r="Q24" i="46" s="1"/>
  <c r="R5" i="46" s="1"/>
  <c r="R24" i="46" s="1"/>
  <c r="S5" i="46" s="1"/>
  <c r="S24" i="46" s="1"/>
  <c r="C29" i="47" s="1"/>
  <c r="C34" i="47" s="1"/>
  <c r="C24" i="46"/>
  <c r="C5" i="69" s="1"/>
  <c r="D25" i="43"/>
  <c r="D23" i="43"/>
  <c r="D12" i="43"/>
  <c r="D18" i="43"/>
  <c r="D9" i="43"/>
  <c r="D24" i="43"/>
  <c r="D11" i="43"/>
  <c r="D26" i="43"/>
  <c r="D14" i="43"/>
  <c r="D22" i="43"/>
  <c r="D15" i="43"/>
  <c r="D17" i="43"/>
  <c r="D13" i="43"/>
  <c r="D8" i="43"/>
  <c r="D27" i="43"/>
  <c r="D34" i="43"/>
  <c r="D19" i="43"/>
  <c r="D7" i="43"/>
  <c r="D6" i="43"/>
  <c r="F34" i="43"/>
  <c r="G11" i="43" s="1"/>
  <c r="G11" i="40"/>
  <c r="G34" i="40"/>
  <c r="G28" i="40"/>
  <c r="G14" i="40"/>
  <c r="G27" i="40"/>
  <c r="G19" i="40"/>
  <c r="G30" i="40"/>
  <c r="G29" i="40"/>
  <c r="G15" i="40"/>
  <c r="G20" i="40"/>
  <c r="G8" i="40"/>
  <c r="G32" i="40"/>
  <c r="G7" i="40"/>
  <c r="G23" i="40"/>
  <c r="G16" i="40"/>
  <c r="G24" i="40"/>
  <c r="G33" i="40"/>
  <c r="G25" i="40"/>
  <c r="F35" i="40"/>
  <c r="G21" i="40"/>
  <c r="G12" i="40"/>
  <c r="G17" i="40"/>
  <c r="G31" i="40"/>
  <c r="G13" i="40"/>
  <c r="G9" i="40"/>
  <c r="B31" i="3"/>
  <c r="B32" i="3" s="1"/>
  <c r="B33" i="3" s="1"/>
  <c r="E30" i="3"/>
  <c r="F30" i="3" s="1"/>
  <c r="D31" i="3"/>
  <c r="C31" i="3"/>
  <c r="F17" i="47" l="1"/>
  <c r="D29" i="47"/>
  <c r="D8" i="47"/>
  <c r="D34" i="47"/>
  <c r="D9" i="47"/>
  <c r="D7" i="47"/>
  <c r="D15" i="47"/>
  <c r="D19" i="47"/>
  <c r="D14" i="47"/>
  <c r="D17" i="47"/>
  <c r="D22" i="47"/>
  <c r="D18" i="47"/>
  <c r="D25" i="47"/>
  <c r="D27" i="47"/>
  <c r="D6" i="47"/>
  <c r="D12" i="47"/>
  <c r="D23" i="47"/>
  <c r="D13" i="47"/>
  <c r="D11" i="47"/>
  <c r="D26" i="47"/>
  <c r="D24" i="47"/>
  <c r="F11" i="47"/>
  <c r="F9" i="70" s="1"/>
  <c r="F8" i="79" s="1"/>
  <c r="G30" i="43"/>
  <c r="G34" i="43"/>
  <c r="G13" i="43"/>
  <c r="F35" i="43"/>
  <c r="G32" i="43"/>
  <c r="G16" i="43"/>
  <c r="G20" i="43"/>
  <c r="G15" i="43"/>
  <c r="G27" i="43"/>
  <c r="G31" i="43"/>
  <c r="G33" i="43"/>
  <c r="G7" i="43"/>
  <c r="G19" i="43"/>
  <c r="G29" i="43"/>
  <c r="G12" i="43"/>
  <c r="G21" i="43"/>
  <c r="G8" i="43"/>
  <c r="G23" i="43"/>
  <c r="G14" i="43"/>
  <c r="G28" i="43"/>
  <c r="G25" i="43"/>
  <c r="G24" i="43"/>
  <c r="G9" i="43"/>
  <c r="G6" i="43"/>
  <c r="G17" i="43"/>
  <c r="C32" i="3"/>
  <c r="C33" i="3" s="1"/>
  <c r="E31" i="3"/>
  <c r="F31" i="3"/>
  <c r="G30" i="3"/>
  <c r="D5" i="69" l="1"/>
  <c r="D24" i="69" s="1"/>
  <c r="E5" i="69" s="1"/>
  <c r="E24" i="69" s="1"/>
  <c r="F5" i="69" s="1"/>
  <c r="F24" i="69" s="1"/>
  <c r="G5" i="69" s="1"/>
  <c r="G24" i="69" s="1"/>
  <c r="H5" i="69" s="1"/>
  <c r="H24" i="69" s="1"/>
  <c r="I5" i="69" s="1"/>
  <c r="I24" i="69" s="1"/>
  <c r="J5" i="69" s="1"/>
  <c r="J24" i="69" s="1"/>
  <c r="C24" i="69"/>
  <c r="F6" i="70"/>
  <c r="F34" i="47"/>
  <c r="D32" i="3"/>
  <c r="D33" i="3" s="1"/>
  <c r="H30" i="3"/>
  <c r="G31" i="3"/>
  <c r="F17" i="70" l="1"/>
  <c r="F11" i="70" s="1"/>
  <c r="F9" i="79" s="1"/>
  <c r="F8" i="82" s="1"/>
  <c r="C5" i="78"/>
  <c r="K5" i="69"/>
  <c r="K24" i="69" s="1"/>
  <c r="L5" i="69" s="1"/>
  <c r="L24" i="69" s="1"/>
  <c r="M5" i="69" s="1"/>
  <c r="M24" i="69" s="1"/>
  <c r="N5" i="69" s="1"/>
  <c r="N24" i="69" s="1"/>
  <c r="O5" i="69" s="1"/>
  <c r="O24" i="69" s="1"/>
  <c r="P5" i="69" s="1"/>
  <c r="P24" i="69" s="1"/>
  <c r="Q5" i="69" s="1"/>
  <c r="Q24" i="69" s="1"/>
  <c r="R5" i="69" s="1"/>
  <c r="R24" i="69" s="1"/>
  <c r="S5" i="69" s="1"/>
  <c r="S24" i="69" s="1"/>
  <c r="C29" i="70" s="1"/>
  <c r="C34" i="70" s="1"/>
  <c r="D34" i="70" s="1"/>
  <c r="F34" i="70"/>
  <c r="G6" i="70" s="1"/>
  <c r="G16" i="47"/>
  <c r="G7" i="47"/>
  <c r="G31" i="47"/>
  <c r="G29" i="47"/>
  <c r="G28" i="47"/>
  <c r="G21" i="47"/>
  <c r="G15" i="47"/>
  <c r="G13" i="47"/>
  <c r="F35" i="47"/>
  <c r="G27" i="47"/>
  <c r="G12" i="47"/>
  <c r="G32" i="47"/>
  <c r="G25" i="47"/>
  <c r="G34" i="47"/>
  <c r="G23" i="47"/>
  <c r="G8" i="47"/>
  <c r="G30" i="47"/>
  <c r="G33" i="47"/>
  <c r="G14" i="47"/>
  <c r="G20" i="47"/>
  <c r="G24" i="47"/>
  <c r="G19" i="47"/>
  <c r="G9" i="47"/>
  <c r="G17" i="47"/>
  <c r="G6" i="47"/>
  <c r="G11" i="47"/>
  <c r="E32" i="3"/>
  <c r="F32" i="3" s="1"/>
  <c r="F33" i="3" s="1"/>
  <c r="I30" i="3"/>
  <c r="H31" i="3"/>
  <c r="D5" i="78" l="1"/>
  <c r="D24" i="78" s="1"/>
  <c r="E5" i="78" s="1"/>
  <c r="E24" i="78" s="1"/>
  <c r="F5" i="78" s="1"/>
  <c r="F24" i="78" s="1"/>
  <c r="G5" i="78" s="1"/>
  <c r="G24" i="78" s="1"/>
  <c r="H5" i="78" s="1"/>
  <c r="H24" i="78" s="1"/>
  <c r="I5" i="78" s="1"/>
  <c r="I24" i="78" s="1"/>
  <c r="J5" i="78" s="1"/>
  <c r="J24" i="78" s="1"/>
  <c r="K5" i="78" s="1"/>
  <c r="K24" i="78" s="1"/>
  <c r="L5" i="78" s="1"/>
  <c r="L24" i="78" s="1"/>
  <c r="M5" i="78" s="1"/>
  <c r="M24" i="78" s="1"/>
  <c r="N5" i="78" s="1"/>
  <c r="N24" i="78" s="1"/>
  <c r="O5" i="78" s="1"/>
  <c r="O24" i="78" s="1"/>
  <c r="P5" i="78" s="1"/>
  <c r="P24" i="78" s="1"/>
  <c r="Q5" i="78" s="1"/>
  <c r="Q24" i="78" s="1"/>
  <c r="R5" i="78" s="1"/>
  <c r="R24" i="78" s="1"/>
  <c r="S5" i="78" s="1"/>
  <c r="S24" i="78" s="1"/>
  <c r="C29" i="79" s="1"/>
  <c r="C24" i="78"/>
  <c r="F6" i="79"/>
  <c r="D12" i="70"/>
  <c r="D9" i="70"/>
  <c r="D24" i="70"/>
  <c r="D8" i="70"/>
  <c r="D19" i="70"/>
  <c r="D15" i="70"/>
  <c r="D14" i="70"/>
  <c r="D7" i="70"/>
  <c r="D6" i="70"/>
  <c r="D18" i="70"/>
  <c r="D26" i="70"/>
  <c r="D22" i="70"/>
  <c r="D11" i="70"/>
  <c r="D23" i="70"/>
  <c r="D29" i="70"/>
  <c r="D27" i="70"/>
  <c r="D13" i="70"/>
  <c r="D17" i="70"/>
  <c r="D25" i="70"/>
  <c r="G11" i="70"/>
  <c r="G20" i="70"/>
  <c r="G19" i="70"/>
  <c r="G25" i="70"/>
  <c r="G24" i="70"/>
  <c r="G27" i="70"/>
  <c r="G34" i="70"/>
  <c r="G12" i="70"/>
  <c r="F35" i="70"/>
  <c r="G28" i="70"/>
  <c r="G7" i="70"/>
  <c r="G15" i="70"/>
  <c r="G17" i="70"/>
  <c r="G8" i="70"/>
  <c r="G23" i="70"/>
  <c r="G31" i="70"/>
  <c r="G32" i="70"/>
  <c r="G21" i="70"/>
  <c r="G16" i="70"/>
  <c r="G13" i="70"/>
  <c r="G30" i="70"/>
  <c r="G14" i="70"/>
  <c r="G33" i="70"/>
  <c r="G29" i="70"/>
  <c r="G9" i="70"/>
  <c r="G32" i="3"/>
  <c r="G33" i="3" s="1"/>
  <c r="E33" i="3"/>
  <c r="I31" i="3"/>
  <c r="J30" i="3"/>
  <c r="F17" i="79" l="1"/>
  <c r="F11" i="79" s="1"/>
  <c r="F9" i="82" s="1"/>
  <c r="C5" i="81"/>
  <c r="H32" i="3"/>
  <c r="H33" i="3" s="1"/>
  <c r="K30" i="3"/>
  <c r="J31" i="3"/>
  <c r="F34" i="79" l="1"/>
  <c r="D5" i="81"/>
  <c r="D24" i="81" s="1"/>
  <c r="E5" i="81" s="1"/>
  <c r="E24" i="81" s="1"/>
  <c r="F5" i="81" s="1"/>
  <c r="F24" i="81" s="1"/>
  <c r="G5" i="81" s="1"/>
  <c r="G24" i="81" s="1"/>
  <c r="H5" i="81" s="1"/>
  <c r="H24" i="81" s="1"/>
  <c r="I5" i="81" s="1"/>
  <c r="I24" i="81" s="1"/>
  <c r="C24" i="81"/>
  <c r="F8" i="89"/>
  <c r="F6" i="82"/>
  <c r="G32" i="79"/>
  <c r="G16" i="79"/>
  <c r="G13" i="79"/>
  <c r="G28" i="79"/>
  <c r="G20" i="79"/>
  <c r="G21" i="79"/>
  <c r="G14" i="79"/>
  <c r="G19" i="79"/>
  <c r="G33" i="79"/>
  <c r="G24" i="79"/>
  <c r="G34" i="79"/>
  <c r="G15" i="79"/>
  <c r="G7" i="79"/>
  <c r="G12" i="79"/>
  <c r="G29" i="79"/>
  <c r="G23" i="79"/>
  <c r="G25" i="79"/>
  <c r="G30" i="79"/>
  <c r="G31" i="79"/>
  <c r="G27" i="79"/>
  <c r="G8" i="79"/>
  <c r="G9" i="79"/>
  <c r="G17" i="79"/>
  <c r="G11" i="79"/>
  <c r="G6" i="79"/>
  <c r="I32" i="3"/>
  <c r="I33" i="3" s="1"/>
  <c r="L30" i="3"/>
  <c r="K31" i="3"/>
  <c r="F17" i="82" l="1"/>
  <c r="F11" i="82" s="1"/>
  <c r="C5" i="88"/>
  <c r="J5" i="81"/>
  <c r="J24" i="81" s="1"/>
  <c r="K5" i="81" s="1"/>
  <c r="K24" i="81" s="1"/>
  <c r="L5" i="81" s="1"/>
  <c r="L24" i="81" s="1"/>
  <c r="M5" i="81" s="1"/>
  <c r="M24" i="81" s="1"/>
  <c r="N5" i="81" s="1"/>
  <c r="N24" i="81" s="1"/>
  <c r="O5" i="81" s="1"/>
  <c r="O24" i="81" s="1"/>
  <c r="P5" i="81" s="1"/>
  <c r="P24" i="81" s="1"/>
  <c r="Q5" i="81" s="1"/>
  <c r="Q24" i="81" s="1"/>
  <c r="R5" i="81" s="1"/>
  <c r="R24" i="81" s="1"/>
  <c r="S5" i="81" s="1"/>
  <c r="S24" i="81" s="1"/>
  <c r="C29" i="82" s="1"/>
  <c r="C34" i="82" s="1"/>
  <c r="J32" i="3"/>
  <c r="K32" i="3" s="1"/>
  <c r="M30" i="3"/>
  <c r="L31" i="3"/>
  <c r="D29" i="82" l="1"/>
  <c r="D19" i="82"/>
  <c r="D9" i="82"/>
  <c r="D22" i="82"/>
  <c r="D27" i="82"/>
  <c r="D18" i="82"/>
  <c r="D11" i="82"/>
  <c r="D12" i="82"/>
  <c r="D25" i="82"/>
  <c r="D14" i="82"/>
  <c r="D17" i="82"/>
  <c r="D23" i="82"/>
  <c r="D15" i="82"/>
  <c r="D34" i="82"/>
  <c r="D26" i="82"/>
  <c r="D24" i="82"/>
  <c r="D13" i="82"/>
  <c r="D8" i="82"/>
  <c r="D7" i="82"/>
  <c r="D6" i="82"/>
  <c r="D5" i="88"/>
  <c r="D24" i="88" s="1"/>
  <c r="E5" i="88" s="1"/>
  <c r="E24" i="88" s="1"/>
  <c r="F5" i="88" s="1"/>
  <c r="F24" i="88" s="1"/>
  <c r="G5" i="88" s="1"/>
  <c r="G24" i="88" s="1"/>
  <c r="H5" i="88" s="1"/>
  <c r="H24" i="88" s="1"/>
  <c r="I5" i="88" s="1"/>
  <c r="I24" i="88" s="1"/>
  <c r="J5" i="88" s="1"/>
  <c r="J24" i="88" s="1"/>
  <c r="K5" i="88" s="1"/>
  <c r="K24" i="88" s="1"/>
  <c r="L5" i="88" s="1"/>
  <c r="L24" i="88" s="1"/>
  <c r="M5" i="88" s="1"/>
  <c r="M24" i="88" s="1"/>
  <c r="N5" i="88" s="1"/>
  <c r="N24" i="88" s="1"/>
  <c r="C24" i="88"/>
  <c r="F9" i="89"/>
  <c r="F34" i="82"/>
  <c r="J33" i="3"/>
  <c r="N30" i="3"/>
  <c r="M31" i="3"/>
  <c r="K33" i="3"/>
  <c r="L32" i="3"/>
  <c r="O5" i="88" l="1"/>
  <c r="O24" i="88" s="1"/>
  <c r="P5" i="88" s="1"/>
  <c r="P24" i="88" s="1"/>
  <c r="Q5" i="88" s="1"/>
  <c r="Q24" i="88" s="1"/>
  <c r="R5" i="88" s="1"/>
  <c r="R24" i="88" s="1"/>
  <c r="S5" i="88" s="1"/>
  <c r="S24" i="88" s="1"/>
  <c r="C29" i="89" s="1"/>
  <c r="C34" i="89" s="1"/>
  <c r="F17" i="89"/>
  <c r="C5" i="91"/>
  <c r="G17" i="82"/>
  <c r="G29" i="82"/>
  <c r="G31" i="82"/>
  <c r="G23" i="82"/>
  <c r="G24" i="82"/>
  <c r="G25" i="82"/>
  <c r="G19" i="82"/>
  <c r="G32" i="82"/>
  <c r="G30" i="82"/>
  <c r="G20" i="82"/>
  <c r="G12" i="82"/>
  <c r="F35" i="82"/>
  <c r="G7" i="82"/>
  <c r="G33" i="82"/>
  <c r="G16" i="82"/>
  <c r="G15" i="82"/>
  <c r="G34" i="82"/>
  <c r="G13" i="82"/>
  <c r="G28" i="82"/>
  <c r="G21" i="82"/>
  <c r="G14" i="82"/>
  <c r="G27" i="82"/>
  <c r="G8" i="82"/>
  <c r="G9" i="82"/>
  <c r="G6" i="82"/>
  <c r="F8" i="92"/>
  <c r="F6" i="89"/>
  <c r="G11" i="82"/>
  <c r="O30" i="3"/>
  <c r="N31" i="3"/>
  <c r="M32" i="3"/>
  <c r="L33" i="3"/>
  <c r="D29" i="89" l="1"/>
  <c r="D18" i="89"/>
  <c r="D15" i="89"/>
  <c r="D24" i="89"/>
  <c r="D11" i="89"/>
  <c r="D26" i="89"/>
  <c r="D19" i="89"/>
  <c r="D17" i="89"/>
  <c r="D14" i="89"/>
  <c r="D25" i="89"/>
  <c r="D27" i="89"/>
  <c r="D13" i="89"/>
  <c r="D9" i="89"/>
  <c r="D23" i="89"/>
  <c r="D12" i="89"/>
  <c r="D34" i="89"/>
  <c r="D22" i="89"/>
  <c r="D8" i="89"/>
  <c r="D7" i="89"/>
  <c r="D6" i="89"/>
  <c r="C21" i="92"/>
  <c r="D5" i="91"/>
  <c r="D24" i="91" s="1"/>
  <c r="E5" i="91" s="1"/>
  <c r="E24" i="91" s="1"/>
  <c r="F5" i="91" s="1"/>
  <c r="F24" i="91" s="1"/>
  <c r="G5" i="91" s="1"/>
  <c r="G24" i="91" s="1"/>
  <c r="H5" i="91" s="1"/>
  <c r="H24" i="91" s="1"/>
  <c r="I5" i="91" s="1"/>
  <c r="I24" i="91" s="1"/>
  <c r="J5" i="91" s="1"/>
  <c r="J24" i="91" s="1"/>
  <c r="K5" i="91" s="1"/>
  <c r="K24" i="91" s="1"/>
  <c r="L5" i="91" s="1"/>
  <c r="L24" i="91" s="1"/>
  <c r="M5" i="91" s="1"/>
  <c r="M24" i="91" s="1"/>
  <c r="N5" i="91" s="1"/>
  <c r="N24" i="91" s="1"/>
  <c r="O5" i="91" s="1"/>
  <c r="O24" i="91" s="1"/>
  <c r="P5" i="91" s="1"/>
  <c r="P24" i="91" s="1"/>
  <c r="Q5" i="91" s="1"/>
  <c r="Q24" i="91" s="1"/>
  <c r="R5" i="91" s="1"/>
  <c r="R24" i="91" s="1"/>
  <c r="S5" i="91" s="1"/>
  <c r="S24" i="91" s="1"/>
  <c r="C24" i="91"/>
  <c r="F11" i="89"/>
  <c r="P30" i="3"/>
  <c r="O31" i="3"/>
  <c r="M33" i="3"/>
  <c r="N32" i="3"/>
  <c r="C30" i="92" l="1"/>
  <c r="F9" i="92"/>
  <c r="F34" i="89"/>
  <c r="G11" i="89" s="1"/>
  <c r="C33" i="92"/>
  <c r="C34" i="92" s="1"/>
  <c r="C37" i="104"/>
  <c r="C37" i="101"/>
  <c r="C5" i="100"/>
  <c r="P31" i="3"/>
  <c r="Q30" i="3"/>
  <c r="O32" i="3"/>
  <c r="N33" i="3"/>
  <c r="G6" i="89" l="1"/>
  <c r="G20" i="89"/>
  <c r="G21" i="89"/>
  <c r="G23" i="89"/>
  <c r="G34" i="89"/>
  <c r="F35" i="89"/>
  <c r="G27" i="89"/>
  <c r="G31" i="89"/>
  <c r="G13" i="89"/>
  <c r="G19" i="89"/>
  <c r="G30" i="89"/>
  <c r="G24" i="89"/>
  <c r="G29" i="89"/>
  <c r="G32" i="89"/>
  <c r="G12" i="89"/>
  <c r="G28" i="89"/>
  <c r="G14" i="89"/>
  <c r="G16" i="89"/>
  <c r="G33" i="89"/>
  <c r="G25" i="89"/>
  <c r="G7" i="89"/>
  <c r="G15" i="89"/>
  <c r="G8" i="89"/>
  <c r="G9" i="89"/>
  <c r="G17" i="89"/>
  <c r="D7" i="92"/>
  <c r="D14" i="92"/>
  <c r="D15" i="92"/>
  <c r="D30" i="92"/>
  <c r="D19" i="92"/>
  <c r="D13" i="92"/>
  <c r="D18" i="92"/>
  <c r="D12" i="92"/>
  <c r="D28" i="92"/>
  <c r="D9" i="92"/>
  <c r="D26" i="92"/>
  <c r="D27" i="92"/>
  <c r="D25" i="92"/>
  <c r="D23" i="92"/>
  <c r="D11" i="92"/>
  <c r="D24" i="92"/>
  <c r="D17" i="92"/>
  <c r="D8" i="92"/>
  <c r="D6" i="92"/>
  <c r="F8" i="101"/>
  <c r="F6" i="92"/>
  <c r="D5" i="100"/>
  <c r="D24" i="100" s="1"/>
  <c r="E5" i="100" s="1"/>
  <c r="E24" i="100" s="1"/>
  <c r="F5" i="100" s="1"/>
  <c r="F24" i="100" s="1"/>
  <c r="G5" i="100" s="1"/>
  <c r="G24" i="100" s="1"/>
  <c r="H5" i="100" s="1"/>
  <c r="H24" i="100" s="1"/>
  <c r="I5" i="100" s="1"/>
  <c r="I24" i="100" s="1"/>
  <c r="J5" i="100" s="1"/>
  <c r="J24" i="100" s="1"/>
  <c r="K5" i="100" s="1"/>
  <c r="K24" i="100" s="1"/>
  <c r="L5" i="100" s="1"/>
  <c r="L24" i="100" s="1"/>
  <c r="M5" i="100" s="1"/>
  <c r="M24" i="100" s="1"/>
  <c r="N5" i="100" s="1"/>
  <c r="N24" i="100" s="1"/>
  <c r="O5" i="100" s="1"/>
  <c r="O24" i="100" s="1"/>
  <c r="P5" i="100" s="1"/>
  <c r="P24" i="100" s="1"/>
  <c r="Q5" i="100" s="1"/>
  <c r="Q24" i="100" s="1"/>
  <c r="R5" i="100" s="1"/>
  <c r="R24" i="100" s="1"/>
  <c r="S5" i="100" s="1"/>
  <c r="S24" i="100" s="1"/>
  <c r="C21" i="101"/>
  <c r="C24" i="100"/>
  <c r="C5" i="103" s="1"/>
  <c r="D21" i="92"/>
  <c r="R30" i="3"/>
  <c r="Q31" i="3"/>
  <c r="O33" i="3"/>
  <c r="P32" i="3"/>
  <c r="F6" i="101" l="1"/>
  <c r="F8" i="104"/>
  <c r="C21" i="104"/>
  <c r="C24" i="103"/>
  <c r="D5" i="103"/>
  <c r="D24" i="103" s="1"/>
  <c r="E5" i="103" s="1"/>
  <c r="E24" i="103" s="1"/>
  <c r="F5" i="103" s="1"/>
  <c r="F24" i="103" s="1"/>
  <c r="G5" i="103" s="1"/>
  <c r="G24" i="103" s="1"/>
  <c r="H5" i="103" s="1"/>
  <c r="H24" i="103" s="1"/>
  <c r="I5" i="103" s="1"/>
  <c r="I24" i="103" s="1"/>
  <c r="J5" i="103" s="1"/>
  <c r="J24" i="103" s="1"/>
  <c r="K5" i="103" s="1"/>
  <c r="K24" i="103" s="1"/>
  <c r="L5" i="103" s="1"/>
  <c r="L24" i="103" s="1"/>
  <c r="M5" i="103" s="1"/>
  <c r="M24" i="103" s="1"/>
  <c r="N5" i="103" s="1"/>
  <c r="N24" i="103" s="1"/>
  <c r="O5" i="103" s="1"/>
  <c r="O24" i="103" s="1"/>
  <c r="P5" i="103" s="1"/>
  <c r="P24" i="103" s="1"/>
  <c r="Q5" i="103" s="1"/>
  <c r="Q24" i="103" s="1"/>
  <c r="R5" i="103" s="1"/>
  <c r="R24" i="103" s="1"/>
  <c r="S5" i="103" s="1"/>
  <c r="S24" i="103" s="1"/>
  <c r="C34" i="101"/>
  <c r="D21" i="101"/>
  <c r="C38" i="101"/>
  <c r="F30" i="92"/>
  <c r="G6" i="92" s="1"/>
  <c r="R31" i="3"/>
  <c r="S30" i="3"/>
  <c r="Q32" i="3"/>
  <c r="P33" i="3"/>
  <c r="F34" i="101" l="1"/>
  <c r="G6" i="101" s="1"/>
  <c r="D6" i="101"/>
  <c r="D29" i="101"/>
  <c r="D11" i="101"/>
  <c r="D9" i="101"/>
  <c r="D28" i="101"/>
  <c r="D18" i="101"/>
  <c r="D17" i="101"/>
  <c r="D19" i="101"/>
  <c r="D32" i="101"/>
  <c r="D14" i="101"/>
  <c r="D12" i="101"/>
  <c r="D31" i="101"/>
  <c r="D30" i="101"/>
  <c r="D13" i="101"/>
  <c r="D34" i="101"/>
  <c r="D15" i="101"/>
  <c r="D27" i="101"/>
  <c r="D8" i="101"/>
  <c r="D7" i="101"/>
  <c r="C34" i="104"/>
  <c r="C38" i="104"/>
  <c r="G13" i="92"/>
  <c r="G20" i="92"/>
  <c r="G26" i="92"/>
  <c r="G11" i="92"/>
  <c r="G15" i="92"/>
  <c r="F31" i="92"/>
  <c r="G29" i="92"/>
  <c r="G16" i="92"/>
  <c r="G14" i="92"/>
  <c r="G27" i="92"/>
  <c r="G28" i="92"/>
  <c r="G17" i="92"/>
  <c r="G7" i="92"/>
  <c r="G12" i="92"/>
  <c r="G21" i="92"/>
  <c r="G30" i="92"/>
  <c r="G19" i="92"/>
  <c r="G24" i="92"/>
  <c r="G25" i="92"/>
  <c r="G23" i="92"/>
  <c r="G8" i="92"/>
  <c r="G9" i="92"/>
  <c r="F6" i="104"/>
  <c r="T30" i="3"/>
  <c r="S31" i="3"/>
  <c r="R32" i="3"/>
  <c r="Q33" i="3"/>
  <c r="G23" i="101" l="1"/>
  <c r="G27" i="101"/>
  <c r="G31" i="101"/>
  <c r="G14" i="101"/>
  <c r="G24" i="101"/>
  <c r="G16" i="101"/>
  <c r="G11" i="101"/>
  <c r="F35" i="101"/>
  <c r="G20" i="101"/>
  <c r="G29" i="101"/>
  <c r="G33" i="101"/>
  <c r="G30" i="101"/>
  <c r="G19" i="101"/>
  <c r="G15" i="101"/>
  <c r="G12" i="101"/>
  <c r="G13" i="101"/>
  <c r="G28" i="101"/>
  <c r="G7" i="101"/>
  <c r="G34" i="101"/>
  <c r="G25" i="101"/>
  <c r="G17" i="101"/>
  <c r="G32" i="101"/>
  <c r="G9" i="101"/>
  <c r="G21" i="101"/>
  <c r="G8" i="101"/>
  <c r="D21" i="104"/>
  <c r="D34" i="104"/>
  <c r="D29" i="104"/>
  <c r="D30" i="104"/>
  <c r="D18" i="104"/>
  <c r="D15" i="104"/>
  <c r="D9" i="104"/>
  <c r="D12" i="104"/>
  <c r="D14" i="104"/>
  <c r="D17" i="104"/>
  <c r="D32" i="104"/>
  <c r="D13" i="104"/>
  <c r="D11" i="104"/>
  <c r="D31" i="104"/>
  <c r="D19" i="104"/>
  <c r="D27" i="104"/>
  <c r="D28" i="104"/>
  <c r="D8" i="104"/>
  <c r="D7" i="104"/>
  <c r="D6" i="104"/>
  <c r="F34" i="104"/>
  <c r="G6" i="104" s="1"/>
  <c r="U30" i="3"/>
  <c r="T31" i="3"/>
  <c r="S32" i="3"/>
  <c r="R33" i="3"/>
  <c r="G19" i="104" l="1"/>
  <c r="G20" i="104"/>
  <c r="G11" i="104"/>
  <c r="G9" i="104"/>
  <c r="G34" i="104"/>
  <c r="G31" i="104"/>
  <c r="G23" i="104"/>
  <c r="G7" i="104"/>
  <c r="G32" i="104"/>
  <c r="G13" i="104"/>
  <c r="G14" i="104"/>
  <c r="G17" i="104"/>
  <c r="F35" i="104"/>
  <c r="G33" i="104"/>
  <c r="G21" i="104"/>
  <c r="G24" i="104"/>
  <c r="G25" i="104"/>
  <c r="G16" i="104"/>
  <c r="G12" i="104"/>
  <c r="G30" i="104"/>
  <c r="G15" i="104"/>
  <c r="G29" i="104"/>
  <c r="G27" i="104"/>
  <c r="G28" i="104"/>
  <c r="G8" i="104"/>
  <c r="V30" i="3"/>
  <c r="U31" i="3"/>
  <c r="T32" i="3"/>
  <c r="S33" i="3"/>
  <c r="V31" i="3" l="1"/>
  <c r="W30" i="3"/>
  <c r="U32" i="3"/>
  <c r="T33" i="3"/>
  <c r="X30" i="3" l="1"/>
  <c r="W31" i="3"/>
  <c r="V32" i="3"/>
  <c r="U33" i="3"/>
  <c r="Y30" i="3" l="1"/>
  <c r="X31" i="3"/>
  <c r="W32" i="3"/>
  <c r="V33" i="3"/>
  <c r="Z30" i="3" l="1"/>
  <c r="Y31" i="3"/>
  <c r="X32" i="3"/>
  <c r="W33" i="3"/>
  <c r="Z31" i="3" l="1"/>
  <c r="AA30" i="3"/>
  <c r="Y32" i="3"/>
  <c r="X33" i="3"/>
  <c r="AB30" i="3" l="1"/>
  <c r="AA31" i="3"/>
  <c r="Z32" i="3"/>
  <c r="Y33" i="3"/>
  <c r="AC30" i="3" l="1"/>
  <c r="AB31" i="3"/>
  <c r="Z33" i="3"/>
  <c r="AA32" i="3"/>
  <c r="AC31" i="3" l="1"/>
  <c r="AD30" i="3"/>
  <c r="AD31" i="3" s="1"/>
  <c r="AB32" i="3"/>
  <c r="AA33" i="3"/>
  <c r="AC32" i="3" l="1"/>
  <c r="AB33" i="3"/>
  <c r="AD32" i="3" l="1"/>
  <c r="AD33" i="3" s="1"/>
  <c r="AC33" i="3"/>
  <c r="C6" i="79"/>
  <c r="C34" i="79" s="1"/>
  <c r="D9" i="79" s="1"/>
  <c r="D13" i="79" l="1"/>
  <c r="D8" i="79"/>
  <c r="D11" i="79"/>
  <c r="D26" i="79"/>
  <c r="D22" i="79"/>
  <c r="D18" i="79"/>
  <c r="D23" i="79"/>
  <c r="D29" i="79"/>
  <c r="D34" i="79"/>
  <c r="D15" i="79"/>
  <c r="D24" i="79"/>
  <c r="D19" i="79"/>
  <c r="D7" i="79"/>
  <c r="D17" i="79"/>
  <c r="D6" i="79"/>
  <c r="D12" i="79"/>
  <c r="F35" i="79"/>
  <c r="D14" i="79"/>
  <c r="D27" i="79"/>
  <c r="D25" i="79"/>
</calcChain>
</file>

<file path=xl/comments1.xml><?xml version="1.0" encoding="utf-8"?>
<comments xmlns="http://schemas.openxmlformats.org/spreadsheetml/2006/main">
  <authors>
    <author>Autor</author>
  </authors>
  <commentList>
    <comment ref="I1" authorId="0" shapeId="0">
      <text>
        <r>
          <rPr>
            <sz val="8"/>
            <color indexed="81"/>
            <rFont val="Tahoma"/>
            <family val="2"/>
          </rPr>
          <t>Lid*Lid*Exp</t>
        </r>
      </text>
    </comment>
    <comment ref="I3" authorId="0" shapeId="0">
      <text>
        <r>
          <rPr>
            <sz val="8"/>
            <color indexed="81"/>
            <rFont val="Tahoma"/>
            <family val="2"/>
          </rPr>
          <t>Lid*Lid*Exp</t>
        </r>
      </text>
    </comment>
    <comment ref="I12" authorId="0" shapeId="0">
      <text>
        <r>
          <rPr>
            <sz val="8"/>
            <color indexed="81"/>
            <rFont val="Tahoma"/>
            <family val="2"/>
          </rPr>
          <t>Lid*Lid*Exp</t>
        </r>
      </text>
    </comment>
    <comment ref="I24" authorId="0" shapeId="0">
      <text>
        <r>
          <rPr>
            <sz val="8"/>
            <color indexed="81"/>
            <rFont val="Tahoma"/>
            <family val="2"/>
          </rPr>
          <t>Lid*Lid*Exp</t>
        </r>
      </text>
    </comment>
  </commentList>
</comments>
</file>

<file path=xl/comments10.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1.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2.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3.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4.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5.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7.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8.xml><?xml version="1.0" encoding="utf-8"?>
<comments xmlns="http://schemas.openxmlformats.org/spreadsheetml/2006/main">
  <authors>
    <author>Autor</author>
  </authors>
  <commentList>
    <comment ref="F2" authorId="0" shapeId="0">
      <text>
        <r>
          <rPr>
            <b/>
            <sz val="8"/>
            <color indexed="81"/>
            <rFont val="Tahoma"/>
            <family val="2"/>
          </rPr>
          <t>Autor:</t>
        </r>
        <r>
          <rPr>
            <sz val="8"/>
            <color indexed="81"/>
            <rFont val="Tahoma"/>
            <family val="2"/>
          </rPr>
          <t xml:space="preserve">
9=notable
6,5=aceptable
4=insuf</t>
        </r>
      </text>
    </comment>
    <comment ref="G2" authorId="0" shapeId="0">
      <text>
        <r>
          <rPr>
            <b/>
            <sz val="8"/>
            <color indexed="81"/>
            <rFont val="Tahoma"/>
            <family val="2"/>
          </rPr>
          <t>Autor:</t>
        </r>
        <r>
          <rPr>
            <sz val="8"/>
            <color indexed="81"/>
            <rFont val="Tahoma"/>
            <family val="2"/>
          </rPr>
          <t xml:space="preserve">
14=notable
11,5=aceptable
9=insuf</t>
        </r>
      </text>
    </comment>
  </commentList>
</comments>
</file>

<file path=xl/comments2.xml><?xml version="1.0" encoding="utf-8"?>
<comments xmlns="http://schemas.openxmlformats.org/spreadsheetml/2006/main">
  <authors>
    <author>Autor</author>
  </authors>
  <commentList>
    <comment ref="K4" authorId="0" shapeId="0">
      <text>
        <r>
          <rPr>
            <sz val="8"/>
            <color indexed="81"/>
            <rFont val="Tahoma"/>
            <family val="2"/>
          </rPr>
          <t>Lid*Lid*Exp</t>
        </r>
      </text>
    </comment>
  </commentList>
</comments>
</file>

<file path=xl/comments3.xml><?xml version="1.0" encoding="utf-8"?>
<comments xmlns="http://schemas.openxmlformats.org/spreadsheetml/2006/main">
  <authors>
    <author>Autor</author>
  </authors>
  <commentList>
    <comment ref="C31" authorId="0" shapeId="0">
      <text>
        <r>
          <rPr>
            <b/>
            <sz val="8"/>
            <color indexed="81"/>
            <rFont val="Tahoma"/>
            <family val="2"/>
          </rPr>
          <t>Sacado del manual no escrito, no se sabe que son estos valores</t>
        </r>
      </text>
    </comment>
    <comment ref="D31" authorId="0" shapeId="0">
      <text>
        <r>
          <rPr>
            <b/>
            <sz val="8"/>
            <color indexed="81"/>
            <rFont val="Tahoma"/>
            <family val="2"/>
          </rPr>
          <t>En partidos de Torneo con el predictor
-Campo neutral
-Espiritu: Ilusionats (6)
-Confiança: Alta (7)
Entrenador NEUTRO</t>
        </r>
      </text>
    </comment>
  </commentList>
</comments>
</file>

<file path=xl/comments4.xml><?xml version="1.0" encoding="utf-8"?>
<comments xmlns="http://schemas.openxmlformats.org/spreadsheetml/2006/main">
  <authors>
    <author>Autor</author>
  </authors>
  <commentList>
    <comment ref="BU1" authorId="0" shapeId="0">
      <text>
        <r>
          <rPr>
            <b/>
            <sz val="8"/>
            <color indexed="81"/>
            <rFont val="Tahoma"/>
            <family val="2"/>
          </rPr>
          <t>Sacado del manual no escrito, no se sabe que son estos valores</t>
        </r>
      </text>
    </comment>
    <comment ref="BV1" authorId="0" shapeId="0">
      <text>
        <r>
          <rPr>
            <b/>
            <sz val="8"/>
            <color indexed="81"/>
            <rFont val="Tahoma"/>
            <family val="2"/>
          </rPr>
          <t>En partidos de Torneo con el predictor
-Campo neutral
-Espiritu: Ilusionats (6)
-Confiança: Alta (7)
Entrenador NEUTRO</t>
        </r>
      </text>
    </comment>
    <comment ref="H8" authorId="0" shapeId="0">
      <text>
        <r>
          <rPr>
            <b/>
            <sz val="8"/>
            <color indexed="81"/>
            <rFont val="Tahoma"/>
            <family val="2"/>
          </rPr>
          <t>Debe ser bajo, muy bajo</t>
        </r>
      </text>
    </comment>
    <comment ref="H10" authorId="0" shapeId="0">
      <text>
        <r>
          <rPr>
            <b/>
            <sz val="8"/>
            <color indexed="81"/>
            <rFont val="Tahoma"/>
            <family val="2"/>
          </rPr>
          <t>Debe ser bajo, muy bajo</t>
        </r>
      </text>
    </comment>
    <comment ref="H19" authorId="0" shapeId="0">
      <text>
        <r>
          <rPr>
            <b/>
            <sz val="8"/>
            <color indexed="81"/>
            <rFont val="Tahoma"/>
            <family val="2"/>
          </rPr>
          <t>Debe ser Alto, bastante Alto</t>
        </r>
      </text>
    </comment>
  </commentList>
</comments>
</file>

<file path=xl/comments5.xml><?xml version="1.0" encoding="utf-8"?>
<comments xmlns="http://schemas.openxmlformats.org/spreadsheetml/2006/main">
  <authors>
    <author>Autor</author>
  </authors>
  <commentList>
    <comment ref="D6" authorId="0" shapeId="0">
      <text>
        <r>
          <rPr>
            <b/>
            <sz val="8"/>
            <color indexed="81"/>
            <rFont val="Tahoma"/>
            <family val="2"/>
          </rPr>
          <t>Autor:</t>
        </r>
        <r>
          <rPr>
            <sz val="8"/>
            <color indexed="81"/>
            <rFont val="Tahoma"/>
            <family val="2"/>
          </rPr>
          <t xml:space="preserve">
CopaR1</t>
        </r>
      </text>
    </comment>
    <comment ref="S12" authorId="0" shapeId="0">
      <text>
        <r>
          <rPr>
            <b/>
            <sz val="8"/>
            <color indexed="81"/>
            <rFont val="Tahoma"/>
            <family val="2"/>
          </rPr>
          <t>Autor:</t>
        </r>
        <r>
          <rPr>
            <sz val="8"/>
            <color indexed="81"/>
            <rFont val="Tahoma"/>
            <family val="2"/>
          </rPr>
          <t xml:space="preserve">
maximogoleador Blitzer VI190</t>
        </r>
      </text>
    </comment>
    <comment ref="E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7.xml><?xml version="1.0" encoding="utf-8"?>
<comments xmlns="http://schemas.openxmlformats.org/spreadsheetml/2006/main">
  <authors>
    <author>Autor</author>
  </authors>
  <commentList>
    <comment ref="D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8.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9.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sharedStrings.xml><?xml version="1.0" encoding="utf-8"?>
<sst xmlns="http://schemas.openxmlformats.org/spreadsheetml/2006/main" count="4181" uniqueCount="881">
  <si>
    <t>BP</t>
  </si>
  <si>
    <t>POR</t>
  </si>
  <si>
    <t>DEF</t>
  </si>
  <si>
    <t>Estado de ánimo de los aficionados</t>
  </si>
  <si>
    <t>Grada general</t>
  </si>
  <si>
    <t>Preferente</t>
  </si>
  <si>
    <t>Tribuna</t>
  </si>
  <si>
    <t>Palco</t>
  </si>
  <si>
    <t>Multiplicador</t>
  </si>
  <si>
    <t>(asistencia = socios X multiplicador)</t>
  </si>
  <si>
    <t>Nuevo</t>
  </si>
  <si>
    <t>CosteContrucción</t>
  </si>
  <si>
    <t>CosteMantenimiento</t>
  </si>
  <si>
    <t>IngresoVenta</t>
  </si>
  <si>
    <t>Ideal</t>
  </si>
  <si>
    <t>Capacidad total:</t>
  </si>
  <si>
    <t>por asiento</t>
  </si>
  <si>
    <t>Coste</t>
  </si>
  <si>
    <t>CosteSemanal</t>
  </si>
  <si>
    <t>1Partido</t>
  </si>
  <si>
    <t>completo</t>
  </si>
  <si>
    <t>Grada general:</t>
  </si>
  <si>
    <t>Preferentes:</t>
  </si>
  <si>
    <t>Tribunas:</t>
  </si>
  <si>
    <t>Palcos:</t>
  </si>
  <si>
    <t>Coste Inicial</t>
  </si>
  <si>
    <t>Coste de Contrucción</t>
  </si>
  <si>
    <t>TOTAL</t>
  </si>
  <si>
    <t>S1</t>
  </si>
  <si>
    <t>S2</t>
  </si>
  <si>
    <t>S3</t>
  </si>
  <si>
    <t>S4</t>
  </si>
  <si>
    <t>S5</t>
  </si>
  <si>
    <t>S6</t>
  </si>
  <si>
    <t>S7</t>
  </si>
  <si>
    <t>S8</t>
  </si>
  <si>
    <t>S9</t>
  </si>
  <si>
    <t>S10</t>
  </si>
  <si>
    <t>S11</t>
  </si>
  <si>
    <t>S12</t>
  </si>
  <si>
    <t>S13</t>
  </si>
  <si>
    <t>S14</t>
  </si>
  <si>
    <t>S15</t>
  </si>
  <si>
    <t>S16</t>
  </si>
  <si>
    <t>Aficionados</t>
  </si>
  <si>
    <t>MaxGrada Llena</t>
  </si>
  <si>
    <t>MaxPreferente Lleno</t>
  </si>
  <si>
    <t>MaxTribuna Lleno</t>
  </si>
  <si>
    <t>MaxPalco Lleno</t>
  </si>
  <si>
    <t>Real Grada</t>
  </si>
  <si>
    <t>Real Preferente</t>
  </si>
  <si>
    <t>Real Tribuna</t>
  </si>
  <si>
    <t>Real Palco</t>
  </si>
  <si>
    <t>Ingresos Extra Grada general:</t>
  </si>
  <si>
    <t>Ingresos Extre Preferentes:</t>
  </si>
  <si>
    <t>Ingresos Extra Tribunas:</t>
  </si>
  <si>
    <t>Ingresos Extra Palcos:</t>
  </si>
  <si>
    <t>Coste de Mantenimiento Extra</t>
  </si>
  <si>
    <t>Beneficio Neto Semanal</t>
  </si>
  <si>
    <t>Beneficio Acumulado</t>
  </si>
  <si>
    <t>Temp</t>
  </si>
  <si>
    <t>Edad</t>
  </si>
  <si>
    <t>Dias</t>
  </si>
  <si>
    <t>Lateral</t>
  </si>
  <si>
    <t>MED</t>
  </si>
  <si>
    <t>EXT</t>
  </si>
  <si>
    <t>DAV</t>
  </si>
  <si>
    <t>Entrenador</t>
  </si>
  <si>
    <t>ECONOMIA HT</t>
  </si>
  <si>
    <t>Socios</t>
  </si>
  <si>
    <t>SALDO INICIAL</t>
  </si>
  <si>
    <t>Taquillas</t>
  </si>
  <si>
    <t>Patrocinadores</t>
  </si>
  <si>
    <t>Venta de jugadores</t>
  </si>
  <si>
    <t>Ventas</t>
  </si>
  <si>
    <t>VentasCantera</t>
  </si>
  <si>
    <t>Comisiones</t>
  </si>
  <si>
    <t>Otros</t>
  </si>
  <si>
    <t>Nuevos Socios</t>
  </si>
  <si>
    <t>Premios</t>
  </si>
  <si>
    <t>TOTAL INGRESOS</t>
  </si>
  <si>
    <t>Sueldos</t>
  </si>
  <si>
    <t xml:space="preserve">Mantenimiento </t>
  </si>
  <si>
    <t>Construcción del estadio</t>
  </si>
  <si>
    <t>Estadio</t>
  </si>
  <si>
    <t>Empleados</t>
  </si>
  <si>
    <t>Juveniles</t>
  </si>
  <si>
    <t>Compra de jugadores*</t>
  </si>
  <si>
    <t>Compra</t>
  </si>
  <si>
    <t>Viajes+Venta</t>
  </si>
  <si>
    <t>Intereses</t>
  </si>
  <si>
    <t>TOTAL GASTOS</t>
  </si>
  <si>
    <t>SALDO FINAL</t>
  </si>
  <si>
    <t>Ingresos Fijo</t>
  </si>
  <si>
    <t>Pagos Fijos</t>
  </si>
  <si>
    <t>Total Fijo</t>
  </si>
  <si>
    <t>Ingresos Variables</t>
  </si>
  <si>
    <t>Pagos Variables</t>
  </si>
  <si>
    <t>Total Variables</t>
  </si>
  <si>
    <t>Entrenables</t>
  </si>
  <si>
    <t>Jugadores</t>
  </si>
  <si>
    <t>Transferencias de jugadores T39</t>
  </si>
  <si>
    <t xml:space="preserve">a cierre de ejercicio </t>
  </si>
  <si>
    <t>Tipo</t>
  </si>
  <si>
    <t>Sueldo</t>
  </si>
  <si>
    <t>Venta</t>
  </si>
  <si>
    <t>Comisión</t>
  </si>
  <si>
    <t>ByP</t>
  </si>
  <si>
    <t>ValorCont</t>
  </si>
  <si>
    <t>% Re</t>
  </si>
  <si>
    <t>Fcom</t>
  </si>
  <si>
    <t>Fventa</t>
  </si>
  <si>
    <t>ByP Sem</t>
  </si>
  <si>
    <t>ACTIVO</t>
  </si>
  <si>
    <t>PASIVO</t>
  </si>
  <si>
    <t>J</t>
  </si>
  <si>
    <t>Inmobilizado</t>
  </si>
  <si>
    <t>Patrimonio</t>
  </si>
  <si>
    <t>Capital Inicial</t>
  </si>
  <si>
    <t>Amortizaciones</t>
  </si>
  <si>
    <t>E</t>
  </si>
  <si>
    <t>Step</t>
  </si>
  <si>
    <t>B/P Jugadores</t>
  </si>
  <si>
    <t>B/P Step</t>
  </si>
  <si>
    <t>B/P Cantera</t>
  </si>
  <si>
    <t>Mercadeo</t>
  </si>
  <si>
    <t>B/P Entrenables</t>
  </si>
  <si>
    <t>B/P Mercadeo</t>
  </si>
  <si>
    <t>B/P Actividad</t>
  </si>
  <si>
    <t>Compras</t>
  </si>
  <si>
    <t>Sueldos 1ºSem</t>
  </si>
  <si>
    <t>Ingresos</t>
  </si>
  <si>
    <t>Salarios</t>
  </si>
  <si>
    <t>Caja</t>
  </si>
  <si>
    <t>Porteria</t>
  </si>
  <si>
    <t>Defensa</t>
  </si>
  <si>
    <t>Tipus d'entrenament</t>
  </si>
  <si>
    <t>Millores</t>
  </si>
  <si>
    <t>...per...</t>
  </si>
  <si>
    <t>Pilota aturada</t>
  </si>
  <si>
    <t>Tots els jugadors que juguin el partit, 25% de bonus pel llançador de les jugades a pilota aturada i el porter</t>
  </si>
  <si>
    <t>Defenses ((Tots els jugadors del partit))</t>
  </si>
  <si>
    <t>Anotació</t>
  </si>
  <si>
    <t>Davanters ((Tots els jugadors del partit))</t>
  </si>
  <si>
    <t>Centrades (Extrem)</t>
  </si>
  <si>
    <t>Extrem</t>
  </si>
  <si>
    <t>Extrems (Laterals) ((Tots els jugadors del partit))</t>
  </si>
  <si>
    <t>Xuts</t>
  </si>
  <si>
    <t>(Anotació)</t>
  </si>
  <si>
    <t>(Tots els jugadors del partit)</t>
  </si>
  <si>
    <t>(Pilota aturada)</t>
  </si>
  <si>
    <t>((Tots els jugadors del partit))</t>
  </si>
  <si>
    <t>Passades curtes</t>
  </si>
  <si>
    <t>Passades</t>
  </si>
  <si>
    <t>Migcampistes, extrems i davanters ((Tots els jugadors del partit))</t>
  </si>
  <si>
    <t>Creativitat</t>
  </si>
  <si>
    <t>Migcampistes (Extrems) ((Tots els jugadors del partit))</t>
  </si>
  <si>
    <t>Porters</t>
  </si>
  <si>
    <t>Passades llargues</t>
  </si>
  <si>
    <t>Defenses, migcampistes i extrems ((Tots els jugadors del partit))</t>
  </si>
  <si>
    <t>Posicions defensives</t>
  </si>
  <si>
    <t>(Porters, defenses, migcampistes i extrems) ((Tots els jugadors del partit))</t>
  </si>
  <si>
    <t>Atacs per les bandes</t>
  </si>
  <si>
    <t>Davanters i extrems ((Tots els jugadors del partit))</t>
  </si>
  <si>
    <t>Jug 125%</t>
  </si>
  <si>
    <t>Jug 100%</t>
  </si>
  <si>
    <t>Jug Residual</t>
  </si>
  <si>
    <t>Jug 50%</t>
  </si>
  <si>
    <t>Sem*</t>
  </si>
  <si>
    <t>*6-7 bueno 100% 12%res 19-0</t>
  </si>
  <si>
    <t>4Niveles</t>
  </si>
  <si>
    <t>CA Extremo</t>
  </si>
  <si>
    <t>Pases Largos</t>
  </si>
  <si>
    <t>x</t>
  </si>
  <si>
    <t>POT</t>
  </si>
  <si>
    <t>Exp</t>
  </si>
  <si>
    <t>%</t>
  </si>
  <si>
    <t>Aceptable</t>
  </si>
  <si>
    <t>PORTERIA</t>
  </si>
  <si>
    <t>Jugador</t>
  </si>
  <si>
    <t>Anys</t>
  </si>
  <si>
    <t>TSI</t>
  </si>
  <si>
    <t>PA</t>
  </si>
  <si>
    <t>Lid</t>
  </si>
  <si>
    <t>Res</t>
  </si>
  <si>
    <t>De</t>
  </si>
  <si>
    <t>Cr</t>
  </si>
  <si>
    <t>Ex</t>
  </si>
  <si>
    <t>Ps</t>
  </si>
  <si>
    <t>An</t>
  </si>
  <si>
    <t>Allen Horn</t>
  </si>
  <si>
    <t>Coy Schmig</t>
  </si>
  <si>
    <t>Franklin Tay</t>
  </si>
  <si>
    <t>John Wesner</t>
  </si>
  <si>
    <t>Juan Alberto Carmona</t>
  </si>
  <si>
    <t>Ray Burt-Morris</t>
  </si>
  <si>
    <t>Uriel Archundia</t>
  </si>
  <si>
    <t>Dagoberto González</t>
  </si>
  <si>
    <t>Gil Bitzer</t>
  </si>
  <si>
    <t>Javier Brock</t>
  </si>
  <si>
    <t>Philip Alston</t>
  </si>
  <si>
    <t>Sixto Tulio Rivas</t>
  </si>
  <si>
    <t>Bill Burch</t>
  </si>
  <si>
    <t>Marcos Branham</t>
  </si>
  <si>
    <t>Robert Lawhon</t>
  </si>
  <si>
    <t>Steve Olson</t>
  </si>
  <si>
    <t>Tony Hammond</t>
  </si>
  <si>
    <t>VI.190</t>
  </si>
  <si>
    <t>BALANCE DE SITUACION T40</t>
  </si>
  <si>
    <t>Sou</t>
  </si>
  <si>
    <t>Resistencia</t>
  </si>
  <si>
    <t>Forma</t>
  </si>
  <si>
    <t>DV</t>
  </si>
  <si>
    <t>Liderazgo</t>
  </si>
  <si>
    <t>Sem</t>
  </si>
  <si>
    <t>El entrenamiento de condición esta basado por minutos (pero comienza con un 75% para los jugadores en el terreno de juego).</t>
  </si>
  <si>
    <t>tabla I: rendimiento por minuto en función de la resistencia del jugador. </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</si>
  <si>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</si>
  <si>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</si>
  <si>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</si>
  <si>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</si>
  <si>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</si>
  <si>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</si>
  <si>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</si>
  <si>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5-9%</t>
  </si>
  <si>
    <t>10-15%</t>
  </si>
  <si>
    <t>16-20%</t>
  </si>
  <si>
    <t>21-39%</t>
  </si>
  <si>
    <t>40-100%</t>
  </si>
  <si>
    <t>Resultado</t>
  </si>
  <si>
    <t>Insuficiente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</si>
  <si>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</si>
  <si>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</si>
  <si>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</si>
  <si>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</si>
  <si>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</si>
  <si>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</si>
  <si>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</si>
  <si>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</si>
  <si>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</si>
  <si>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</si>
  <si>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</si>
  <si>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</si>
  <si>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</si>
  <si>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</si>
  <si>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</si>
  <si>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</si>
  <si>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</si>
  <si>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</si>
  <si>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</si>
  <si>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</si>
  <si>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</si>
  <si>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</si>
  <si>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</si>
  <si>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</si>
  <si>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25-12dias</t>
  </si>
  <si>
    <t>24-110dias</t>
  </si>
  <si>
    <t>Experiencia</t>
  </si>
  <si>
    <t>24-80dias</t>
  </si>
  <si>
    <t>Plantilla Medias (mirar viernes, despues entreno)</t>
  </si>
  <si>
    <t>25-19dias</t>
  </si>
  <si>
    <t>ByP Acum</t>
  </si>
  <si>
    <t>ByP T39</t>
  </si>
  <si>
    <t>25-26dias</t>
  </si>
  <si>
    <t>Pagos LP</t>
  </si>
  <si>
    <t>Pagos CP</t>
  </si>
  <si>
    <t>R. Lawhon</t>
  </si>
  <si>
    <t>T. Hammond</t>
  </si>
  <si>
    <t>TEC</t>
  </si>
  <si>
    <t>E. Toney</t>
  </si>
  <si>
    <t>E.Romweber</t>
  </si>
  <si>
    <t>IMP</t>
  </si>
  <si>
    <t>E. Gross</t>
  </si>
  <si>
    <t>B. Bartolache</t>
  </si>
  <si>
    <t>C.Ramirez</t>
  </si>
  <si>
    <t>D. Toh</t>
  </si>
  <si>
    <t>POS</t>
  </si>
  <si>
    <t>25-33dias</t>
  </si>
  <si>
    <t>25-40dias</t>
  </si>
  <si>
    <t>25-47dias</t>
  </si>
  <si>
    <t>25-54dias</t>
  </si>
  <si>
    <t>25-61dias</t>
  </si>
  <si>
    <t>25-68dias</t>
  </si>
  <si>
    <t>25-75dias</t>
  </si>
  <si>
    <t>25-82dias</t>
  </si>
  <si>
    <t>C. Rojas</t>
  </si>
  <si>
    <t>25-89dias</t>
  </si>
  <si>
    <t>J. Limon</t>
  </si>
  <si>
    <t>ByP T40</t>
  </si>
  <si>
    <t>BALANCE DE SITUACION T41</t>
  </si>
  <si>
    <t>25-96dias</t>
  </si>
  <si>
    <t>CMin</t>
  </si>
  <si>
    <t>CMax</t>
  </si>
  <si>
    <t>Toh</t>
  </si>
  <si>
    <t>Bartochele</t>
  </si>
  <si>
    <t>Ramirez</t>
  </si>
  <si>
    <t>RAP</t>
  </si>
  <si>
    <t>Po</t>
  </si>
  <si>
    <t>K. Helms</t>
  </si>
  <si>
    <t>Precio Compra</t>
  </si>
  <si>
    <t>Precio Conversión</t>
  </si>
  <si>
    <t>Tiempo en Club (cambio debil-pobre)</t>
  </si>
  <si>
    <t>Tiempo en Club (desastroso)</t>
  </si>
  <si>
    <t>CosteTOTAL</t>
  </si>
  <si>
    <t>CosteAÑO</t>
  </si>
  <si>
    <t>CosteAÑOdesatroso</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</si>
  <si>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</si>
  <si>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</si>
  <si>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</si>
  <si>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</si>
  <si>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</si>
  <si>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</si>
  <si>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</si>
  <si>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</si>
  <si>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</si>
  <si>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</si>
  <si>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</si>
  <si>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</si>
  <si>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</si>
  <si>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</si>
  <si>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CM</t>
  </si>
  <si>
    <t>aceptable</t>
  </si>
  <si>
    <t>MG</t>
  </si>
  <si>
    <t>notable</t>
  </si>
  <si>
    <t>EX</t>
  </si>
  <si>
    <t>insuf</t>
  </si>
  <si>
    <t xml:space="preserve">Nivel de Entrenador </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</si>
  <si>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</si>
  <si>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</si>
  <si>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</si>
  <si>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</si>
  <si>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</si>
  <si>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</si>
  <si>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</si>
  <si>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</si>
  <si>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</si>
  <si>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</si>
  <si>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</si>
  <si>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</si>
  <si>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</si>
  <si>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</si>
  <si>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</si>
  <si>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</si>
  <si>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</si>
  <si>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</si>
  <si>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</si>
  <si>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</si>
  <si>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</si>
  <si>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</si>
  <si>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</si>
  <si>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</si>
  <si>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</si>
  <si>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</si>
  <si>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</si>
  <si>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</si>
  <si>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</si>
  <si>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</si>
  <si>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</si>
  <si>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</si>
  <si>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</si>
  <si>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</si>
  <si>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</si>
  <si>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</si>
  <si>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</si>
  <si>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</si>
  <si>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</si>
  <si>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</si>
  <si>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</si>
  <si>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</si>
  <si>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</si>
  <si>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</si>
  <si>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</si>
  <si>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</si>
  <si>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</si>
  <si>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</si>
  <si>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</si>
  <si>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</si>
  <si>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</si>
  <si>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</si>
  <si>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</si>
  <si>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</si>
  <si>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</si>
  <si>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</si>
  <si>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</si>
  <si>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</si>
  <si>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Conversion</t>
  </si>
  <si>
    <t>PrecioCompra</t>
  </si>
  <si>
    <t>Stefano Sbattelia</t>
  </si>
  <si>
    <t>S. Sbattelia</t>
  </si>
  <si>
    <t>BALANCE DE SITUACION T42</t>
  </si>
  <si>
    <t>Transferencias de jugadores T42</t>
  </si>
  <si>
    <t>ByP T41</t>
  </si>
  <si>
    <t>24_97</t>
  </si>
  <si>
    <t>aceptable molt baix</t>
  </si>
  <si>
    <t>pobre alt</t>
  </si>
  <si>
    <t>debil baix (5%)</t>
  </si>
  <si>
    <t>Romweber</t>
  </si>
  <si>
    <t>Toney</t>
  </si>
  <si>
    <t>Cherry</t>
  </si>
  <si>
    <t>Gross</t>
  </si>
  <si>
    <t>L. Bauman</t>
  </si>
  <si>
    <t>M. Amico</t>
  </si>
  <si>
    <t>Nivel</t>
  </si>
  <si>
    <t>#1</t>
  </si>
  <si>
    <t>#12</t>
  </si>
  <si>
    <t>#3</t>
  </si>
  <si>
    <t>#6</t>
  </si>
  <si>
    <t>#4</t>
  </si>
  <si>
    <t>#7</t>
  </si>
  <si>
    <t>#10</t>
  </si>
  <si>
    <t>#11</t>
  </si>
  <si>
    <t>#5</t>
  </si>
  <si>
    <t>#8</t>
  </si>
  <si>
    <t>Nfin</t>
  </si>
  <si>
    <t>W. Gelifini</t>
  </si>
  <si>
    <t>S. Buscleman</t>
  </si>
  <si>
    <t>Insuf</t>
  </si>
  <si>
    <t>Pobre</t>
  </si>
  <si>
    <t>Debil</t>
  </si>
  <si>
    <t>Acep</t>
  </si>
  <si>
    <t>T40</t>
  </si>
  <si>
    <t>T41</t>
  </si>
  <si>
    <t>T42</t>
  </si>
  <si>
    <t>T43</t>
  </si>
  <si>
    <t>BALANCE DE SITUACION T43</t>
  </si>
  <si>
    <t>Transferencias de jugadores T4</t>
  </si>
  <si>
    <t>ByP T42</t>
  </si>
  <si>
    <t>condición afecta a la experiencia de la misma manera que a las habilidades.</t>
  </si>
  <si>
    <t>%Base</t>
  </si>
  <si>
    <t>%entreno</t>
  </si>
  <si>
    <t>%Medico</t>
  </si>
  <si>
    <t>%Total</t>
  </si>
  <si>
    <t>Lesiones</t>
  </si>
  <si>
    <t>PartidosTemporada</t>
  </si>
  <si>
    <t>Nentreno</t>
  </si>
  <si>
    <t>ENT</t>
  </si>
  <si>
    <t>20(111)</t>
  </si>
  <si>
    <t>Plantilla Medias (mirar antes entreno) (sin entrenador)</t>
  </si>
  <si>
    <t>Hibridación</t>
  </si>
  <si>
    <t>DC</t>
  </si>
  <si>
    <t>20(72)</t>
  </si>
  <si>
    <t>Mejor Partido</t>
  </si>
  <si>
    <t>Casa</t>
  </si>
  <si>
    <t>Fecha Actualizacion</t>
  </si>
  <si>
    <t>Porteria Imbatuda</t>
  </si>
  <si>
    <t>Més vegades Capità</t>
  </si>
  <si>
    <t>Gols Marcats</t>
  </si>
  <si>
    <t>Julián Limón</t>
  </si>
  <si>
    <t>Duncan Toh</t>
  </si>
  <si>
    <t>Clayton Rojas</t>
  </si>
  <si>
    <t>20(41)</t>
  </si>
  <si>
    <t>DEF/DV</t>
  </si>
  <si>
    <t>20(50)</t>
  </si>
  <si>
    <t>Hib</t>
  </si>
  <si>
    <t>20(54)</t>
  </si>
  <si>
    <t>h33</t>
  </si>
  <si>
    <t>20(64)</t>
  </si>
  <si>
    <t>Eric Gross</t>
  </si>
  <si>
    <t>7,5*</t>
  </si>
  <si>
    <t>DL</t>
  </si>
  <si>
    <t>Elliot Romweber</t>
  </si>
  <si>
    <t>Baudalio Bartolache</t>
  </si>
  <si>
    <t>Carlos Ramirez</t>
  </si>
  <si>
    <t>Lamar Cherry</t>
  </si>
  <si>
    <t>Fernando Mendieta</t>
  </si>
  <si>
    <t>20(71)</t>
  </si>
  <si>
    <t>20(75)</t>
  </si>
  <si>
    <t>DEFLat1</t>
  </si>
  <si>
    <t>DEFLat2</t>
  </si>
  <si>
    <t>MEDIO</t>
  </si>
  <si>
    <t>AtLat1</t>
  </si>
  <si>
    <t>AtLat2</t>
  </si>
  <si>
    <t>AtCen</t>
  </si>
  <si>
    <t>Eugene Toney</t>
  </si>
  <si>
    <t>20(82)</t>
  </si>
  <si>
    <t>20(89)</t>
  </si>
  <si>
    <t>Lawrence Bauman</t>
  </si>
  <si>
    <t>20(87)</t>
  </si>
  <si>
    <t>20(53)</t>
  </si>
  <si>
    <t>Ability</t>
  </si>
  <si>
    <t>20(60)</t>
  </si>
  <si>
    <t>20(62)</t>
  </si>
  <si>
    <t>Horrible</t>
  </si>
  <si>
    <t>V.59</t>
  </si>
  <si>
    <t>#16</t>
  </si>
  <si>
    <t>Patro-1</t>
  </si>
  <si>
    <t>20(52)</t>
  </si>
  <si>
    <t>Defensas</t>
  </si>
  <si>
    <t>Jugadas</t>
  </si>
  <si>
    <t>DEFCen</t>
  </si>
  <si>
    <t>20(73)</t>
  </si>
  <si>
    <t>C</t>
  </si>
  <si>
    <t>Rogelio Bravo</t>
  </si>
  <si>
    <t>BALANCE DE SITUACION T44</t>
  </si>
  <si>
    <t>Transferencias de jugadores T44</t>
  </si>
  <si>
    <t>#13</t>
  </si>
  <si>
    <t>Julian Limón</t>
  </si>
  <si>
    <t>Ke'Shawn Helms</t>
  </si>
  <si>
    <t>Stephen Buschelman</t>
  </si>
  <si>
    <t>20(107)</t>
  </si>
  <si>
    <t>T44</t>
  </si>
  <si>
    <t>20(101)</t>
  </si>
  <si>
    <t>CAB</t>
  </si>
  <si>
    <t>IHL</t>
  </si>
  <si>
    <t>#2</t>
  </si>
  <si>
    <t>#14</t>
  </si>
  <si>
    <t>#9</t>
  </si>
  <si>
    <t>S. Zobbe</t>
  </si>
  <si>
    <t>20(102)</t>
  </si>
  <si>
    <t>PEN</t>
  </si>
  <si>
    <t>BPiA</t>
  </si>
  <si>
    <t>BPiD</t>
  </si>
  <si>
    <t>6,5*</t>
  </si>
  <si>
    <t>Will Gelifini</t>
  </si>
  <si>
    <t>20(78)</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</si>
  <si>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</si>
  <si>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</si>
  <si>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</si>
  <si>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</si>
  <si>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</si>
  <si>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</si>
  <si>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</si>
  <si>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</si>
  <si>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</si>
  <si>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</si>
  <si>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</si>
  <si>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</si>
  <si>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</si>
  <si>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</si>
  <si>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</si>
  <si>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Total</t>
  </si>
  <si>
    <t>liderazgo x liderazgo x experiencia</t>
  </si>
  <si>
    <t>20(84)</t>
  </si>
  <si>
    <t>Milan Amico</t>
  </si>
  <si>
    <t>20(91)</t>
  </si>
  <si>
    <t>20(98)</t>
  </si>
  <si>
    <t>20(105)</t>
  </si>
  <si>
    <t>CosteTotal</t>
  </si>
  <si>
    <t>21(0)</t>
  </si>
  <si>
    <t>Stan Pignot</t>
  </si>
  <si>
    <t>#15</t>
  </si>
  <si>
    <t>P .Trivadi</t>
  </si>
  <si>
    <t>S. Pignot</t>
  </si>
  <si>
    <t>22(28)</t>
  </si>
  <si>
    <t>Edwin Larm</t>
  </si>
  <si>
    <t>ByP T44</t>
  </si>
  <si>
    <t>22(14)</t>
  </si>
  <si>
    <t>Stacy Zobbe</t>
  </si>
  <si>
    <t>Michael Smith</t>
  </si>
  <si>
    <t>22(22)</t>
  </si>
  <si>
    <t>Pavan Trivedi</t>
  </si>
  <si>
    <t>22(50)</t>
  </si>
  <si>
    <t>22(56)</t>
  </si>
  <si>
    <t>22(40)</t>
  </si>
  <si>
    <t>Jack Haskins</t>
  </si>
  <si>
    <t>22(51)</t>
  </si>
  <si>
    <t>ByP T43</t>
  </si>
  <si>
    <t>Cantera</t>
  </si>
  <si>
    <t>Mandela Iverson</t>
  </si>
  <si>
    <t>BALANCE DE SITUACION T45</t>
  </si>
  <si>
    <t>IV.13</t>
  </si>
  <si>
    <t>BALANCE DE SITUACION T46</t>
  </si>
  <si>
    <t>22(80)</t>
  </si>
  <si>
    <t>22(84)</t>
  </si>
  <si>
    <t>22(91)</t>
  </si>
  <si>
    <t>NCA</t>
  </si>
  <si>
    <t>22(73)</t>
  </si>
  <si>
    <t>F. Lasprilla</t>
  </si>
  <si>
    <t>#18</t>
  </si>
  <si>
    <t>LAT</t>
  </si>
  <si>
    <t>22(83)</t>
  </si>
  <si>
    <t>Fred Davis</t>
  </si>
  <si>
    <t>22(90)</t>
  </si>
  <si>
    <t>22(94)</t>
  </si>
  <si>
    <t>8*</t>
  </si>
  <si>
    <t>22(104)</t>
  </si>
  <si>
    <t>P. Glenn</t>
  </si>
  <si>
    <t>22(92)</t>
  </si>
  <si>
    <t>PAS</t>
  </si>
  <si>
    <t>N_CA</t>
  </si>
  <si>
    <t>22(96)</t>
  </si>
  <si>
    <t>22(106)</t>
  </si>
  <si>
    <t>#17</t>
  </si>
  <si>
    <t>#90</t>
  </si>
  <si>
    <t>#89</t>
  </si>
  <si>
    <t>T45</t>
  </si>
  <si>
    <t>T46</t>
  </si>
  <si>
    <t>23(1)</t>
  </si>
  <si>
    <t>BPMin</t>
  </si>
  <si>
    <t>BPMax</t>
  </si>
  <si>
    <t>For</t>
  </si>
  <si>
    <t>23(8)</t>
  </si>
  <si>
    <t>CosteFichaje</t>
  </si>
  <si>
    <t>CosteTransformación</t>
  </si>
  <si>
    <t>Fechallegada</t>
  </si>
  <si>
    <t>FechaTransformación</t>
  </si>
  <si>
    <t>CosteTemporada</t>
  </si>
  <si>
    <t>TempEntrenador</t>
  </si>
  <si>
    <t>SueldoJug</t>
  </si>
  <si>
    <t>SueldoEnt</t>
  </si>
  <si>
    <t>DifTSI</t>
  </si>
  <si>
    <t>CEN</t>
  </si>
  <si>
    <t>DD</t>
  </si>
  <si>
    <t>Ojo, no es directo a calis, es un % para comparar entre varias POS</t>
  </si>
  <si>
    <t>Dif</t>
  </si>
  <si>
    <t>Zona</t>
  </si>
  <si>
    <t>Niveles¿?</t>
  </si>
  <si>
    <t>CALCULADO</t>
  </si>
  <si>
    <t>10niveles</t>
  </si>
  <si>
    <t>15niveles</t>
  </si>
  <si>
    <t>Def Central</t>
  </si>
  <si>
    <t>Def Lat</t>
  </si>
  <si>
    <t>Medio</t>
  </si>
  <si>
    <t>At Lateral</t>
  </si>
  <si>
    <t>At Central</t>
  </si>
  <si>
    <t>m90</t>
  </si>
  <si>
    <t>Olson</t>
  </si>
  <si>
    <t>22(77)</t>
  </si>
  <si>
    <t>S. Buschelman</t>
  </si>
  <si>
    <t>III.15</t>
  </si>
  <si>
    <t>BALANCE DE SITUACION T47</t>
  </si>
  <si>
    <t>Transferencias de jugadores T47</t>
  </si>
  <si>
    <t>23(5)</t>
  </si>
  <si>
    <t>#19</t>
  </si>
  <si>
    <t>L. Albers</t>
  </si>
  <si>
    <t>EHM</t>
  </si>
  <si>
    <t>Edgar Munguia</t>
  </si>
  <si>
    <t>Pavan Trivadi</t>
  </si>
  <si>
    <t>22(102)</t>
  </si>
  <si>
    <t>T47</t>
  </si>
  <si>
    <t>Félix Lasprilla</t>
  </si>
  <si>
    <t>EXTOF</t>
  </si>
  <si>
    <t>#91</t>
  </si>
  <si>
    <t>#92</t>
  </si>
  <si>
    <t>23(31)</t>
  </si>
  <si>
    <t>Donald Amos</t>
  </si>
  <si>
    <t>23(70)</t>
  </si>
  <si>
    <t>Donnie Leffler</t>
  </si>
  <si>
    <t>Lenny Albers</t>
  </si>
  <si>
    <t>23(76)</t>
  </si>
  <si>
    <t>Victor Chavez</t>
  </si>
  <si>
    <t>23(83)</t>
  </si>
  <si>
    <t>h34</t>
  </si>
  <si>
    <t>CMn</t>
  </si>
  <si>
    <t>CMx</t>
  </si>
  <si>
    <t>23(90)</t>
  </si>
  <si>
    <t>541 Bi-CA</t>
  </si>
  <si>
    <t>DHL</t>
  </si>
  <si>
    <t>CHL</t>
  </si>
  <si>
    <t>EN</t>
  </si>
  <si>
    <t>EOF</t>
  </si>
  <si>
    <t>IOF</t>
  </si>
  <si>
    <t>23(108)</t>
  </si>
  <si>
    <t>23(111)</t>
  </si>
  <si>
    <t>BALANCE DE SITUACION T48</t>
  </si>
  <si>
    <t>Transferencias de jugadores T48</t>
  </si>
  <si>
    <t>ByP T47</t>
  </si>
  <si>
    <t>B/P</t>
  </si>
  <si>
    <t>B/P Act</t>
  </si>
  <si>
    <t>Caja Inicial</t>
  </si>
  <si>
    <t>Caja Final</t>
  </si>
  <si>
    <t>Pagos-Ingresos</t>
  </si>
  <si>
    <t>FechaDespido</t>
  </si>
  <si>
    <t>TSI11</t>
  </si>
  <si>
    <t>Sueldo11</t>
  </si>
  <si>
    <t>Edad11</t>
  </si>
  <si>
    <t>Resistencia11</t>
  </si>
  <si>
    <t>Forma11</t>
  </si>
  <si>
    <t>Experiencia11</t>
  </si>
  <si>
    <t>23(77)</t>
  </si>
  <si>
    <t>Valores Base</t>
  </si>
  <si>
    <t>Entrenamiento por Nivel</t>
  </si>
  <si>
    <t>Forma por Nivel</t>
  </si>
  <si>
    <t>Ris Lesio por Nivel</t>
  </si>
  <si>
    <t>%_Entrenamiento</t>
  </si>
  <si>
    <t>%_Lesión</t>
  </si>
  <si>
    <t>Plus Forma</t>
  </si>
  <si>
    <t>Eur/Nivel</t>
  </si>
  <si>
    <t>23(82)</t>
  </si>
  <si>
    <t>JUGADAS</t>
  </si>
  <si>
    <t>DEFENSA</t>
  </si>
  <si>
    <t>MDEF</t>
  </si>
  <si>
    <t>Portero</t>
  </si>
  <si>
    <t>DCNormal</t>
  </si>
  <si>
    <t>DCOff</t>
  </si>
  <si>
    <t>DLNormal</t>
  </si>
  <si>
    <t>DCtW</t>
  </si>
  <si>
    <t>Mnor</t>
  </si>
  <si>
    <t>EXTDEF</t>
  </si>
  <si>
    <t>Años</t>
  </si>
  <si>
    <t>ESP</t>
  </si>
  <si>
    <t>FechaCompra</t>
  </si>
  <si>
    <t>FOR</t>
  </si>
  <si>
    <t>Fmin</t>
  </si>
  <si>
    <t>Fmax</t>
  </si>
  <si>
    <t>FID</t>
  </si>
  <si>
    <t>XP</t>
  </si>
  <si>
    <t>JUG</t>
  </si>
  <si>
    <t>ANO</t>
  </si>
  <si>
    <t>BPI_A</t>
  </si>
  <si>
    <t>BPI_D</t>
  </si>
  <si>
    <t>DEFLAT</t>
  </si>
  <si>
    <t>DEFCEN</t>
  </si>
  <si>
    <t>ATLAT</t>
  </si>
  <si>
    <t>ATCEN</t>
  </si>
  <si>
    <t>HXP</t>
  </si>
  <si>
    <t>23(99)</t>
  </si>
  <si>
    <t>23(97)</t>
  </si>
  <si>
    <t>Brent Moriarty</t>
  </si>
  <si>
    <t>T48</t>
  </si>
  <si>
    <t>T. Johnson</t>
  </si>
  <si>
    <t>#88</t>
  </si>
  <si>
    <t>23(103)</t>
  </si>
  <si>
    <t>9*</t>
  </si>
  <si>
    <t>23(110)</t>
  </si>
  <si>
    <t>Hace</t>
  </si>
  <si>
    <t>Fecha</t>
  </si>
  <si>
    <t>SHT</t>
  </si>
  <si>
    <t>Desastroso</t>
  </si>
  <si>
    <t>352 BI</t>
  </si>
  <si>
    <t>253 Bi</t>
  </si>
  <si>
    <t>442 Bi CA</t>
  </si>
  <si>
    <t>P. Trivadi</t>
  </si>
  <si>
    <t>Xu</t>
  </si>
  <si>
    <t>Entrenamiento</t>
  </si>
  <si>
    <t>FORMACION</t>
  </si>
  <si>
    <t>TODAS</t>
  </si>
  <si>
    <t>352BI</t>
  </si>
  <si>
    <t>253BI</t>
  </si>
  <si>
    <t>442CA</t>
  </si>
  <si>
    <t>541CA</t>
  </si>
  <si>
    <t>LATERAL</t>
  </si>
  <si>
    <t>PASES</t>
  </si>
  <si>
    <t>Maximo</t>
  </si>
  <si>
    <t>BPIAt</t>
  </si>
  <si>
    <t>BPIDf</t>
  </si>
  <si>
    <t>SEM</t>
  </si>
  <si>
    <t>24(7)</t>
  </si>
  <si>
    <t>24/12)</t>
  </si>
  <si>
    <t xml:space="preserve">Defensa </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</si>
  <si>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</si>
  <si>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</si>
  <si>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</si>
  <si>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</si>
  <si>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</si>
  <si>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</si>
  <si>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</si>
  <si>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</si>
  <si>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</si>
  <si>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</si>
  <si>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</si>
  <si>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</si>
  <si>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</si>
  <si>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</si>
  <si>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</si>
  <si>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</si>
  <si>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</si>
  <si>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Inicio</t>
  </si>
  <si>
    <t>Final</t>
  </si>
  <si>
    <t>TOT</t>
  </si>
  <si>
    <t xml:space="preserve">Porteria </t>
  </si>
  <si>
    <t>Pases</t>
  </si>
  <si>
    <t>Anotación</t>
  </si>
  <si>
    <t>%_Res</t>
  </si>
  <si>
    <t>Auxiliares</t>
  </si>
  <si>
    <t>%_Entr</t>
  </si>
  <si>
    <t>10 (+35%)</t>
  </si>
  <si>
    <t>23(100)</t>
  </si>
  <si>
    <t>23(107)</t>
  </si>
  <si>
    <t>Brandon Filler</t>
  </si>
  <si>
    <t>BALANCE DE SITUACION T49</t>
  </si>
  <si>
    <t>Transferencias de jugadores T49</t>
  </si>
  <si>
    <t>ByP T48</t>
  </si>
  <si>
    <t>24(75)</t>
  </si>
  <si>
    <t>24(34)</t>
  </si>
  <si>
    <t>24(37)</t>
  </si>
  <si>
    <t>24(51)</t>
  </si>
  <si>
    <t>#87</t>
  </si>
  <si>
    <t>H. Garzon</t>
  </si>
  <si>
    <t>24(67)</t>
  </si>
  <si>
    <t>Bueno (muy alto)</t>
  </si>
  <si>
    <t>24(72)</t>
  </si>
  <si>
    <t>D. Gehmacher</t>
  </si>
  <si>
    <t>Dominik Gehmacher</t>
  </si>
  <si>
    <t>24(90)</t>
  </si>
  <si>
    <t>T49</t>
  </si>
  <si>
    <t>Dale Batchelor</t>
  </si>
  <si>
    <t>Patrick Glenn</t>
  </si>
  <si>
    <t>24(111)</t>
  </si>
  <si>
    <t>25(6)</t>
  </si>
  <si>
    <t>25(20)</t>
  </si>
  <si>
    <t>11*</t>
  </si>
  <si>
    <t>25(27)</t>
  </si>
  <si>
    <t>…</t>
  </si>
  <si>
    <t>Hector Garzón</t>
  </si>
  <si>
    <t>BALANCE DE SITUACION T50</t>
  </si>
  <si>
    <t>Transferencias de jugadores T50</t>
  </si>
  <si>
    <t>ByP T49</t>
  </si>
  <si>
    <t>25(34)</t>
  </si>
  <si>
    <t>Ag</t>
  </si>
  <si>
    <t>Ho</t>
  </si>
  <si>
    <t>%_T</t>
  </si>
  <si>
    <t>25(38)</t>
  </si>
  <si>
    <t>LATN</t>
  </si>
  <si>
    <t>CENN</t>
  </si>
  <si>
    <t>INN</t>
  </si>
  <si>
    <t>EXTN</t>
  </si>
  <si>
    <t>p</t>
  </si>
  <si>
    <t>DELCEN</t>
  </si>
  <si>
    <t>BPA</t>
  </si>
  <si>
    <t>BPD</t>
  </si>
  <si>
    <t>Ent.NEUTRO</t>
  </si>
  <si>
    <t>Ent.DEF</t>
  </si>
  <si>
    <t>Ent.OF</t>
  </si>
  <si>
    <t>DCN</t>
  </si>
  <si>
    <t>DCHL</t>
  </si>
  <si>
    <t>E. Romweber</t>
  </si>
  <si>
    <t>JGMin</t>
  </si>
  <si>
    <t>JGMax</t>
  </si>
  <si>
    <t>10*</t>
  </si>
  <si>
    <t>25(55)</t>
  </si>
  <si>
    <t>25(62)</t>
  </si>
  <si>
    <t>25(72)</t>
  </si>
  <si>
    <t>Josh Bilbrey</t>
  </si>
  <si>
    <t>Chase Belanger</t>
  </si>
  <si>
    <t>T50</t>
  </si>
  <si>
    <t>25(76)</t>
  </si>
  <si>
    <t>CA</t>
  </si>
  <si>
    <t>TL</t>
  </si>
  <si>
    <t>Javonte Patrick</t>
  </si>
  <si>
    <t>Valor lider de "RED BARON"</t>
  </si>
  <si>
    <t>Randal meister</t>
  </si>
  <si>
    <t>25(85)</t>
  </si>
  <si>
    <t>R12,5%</t>
  </si>
  <si>
    <t>CEOf</t>
  </si>
  <si>
    <t>WBN</t>
  </si>
  <si>
    <t>F.Actu</t>
  </si>
  <si>
    <t>352Id</t>
  </si>
  <si>
    <t>541Id</t>
  </si>
  <si>
    <t>EXN</t>
  </si>
  <si>
    <t>ChL</t>
  </si>
  <si>
    <t>R16,6%</t>
  </si>
  <si>
    <t>25(93)</t>
  </si>
  <si>
    <t>Id-MED</t>
  </si>
  <si>
    <t>I. Seccarecci</t>
  </si>
  <si>
    <t>Braxton Rose</t>
  </si>
  <si>
    <t>Zackery Fretwell</t>
  </si>
  <si>
    <t>Kelvin Lake</t>
  </si>
  <si>
    <t>26(23)</t>
  </si>
  <si>
    <t>FENT</t>
  </si>
  <si>
    <t>Isaia Seccarecci</t>
  </si>
  <si>
    <t>26(27)</t>
  </si>
  <si>
    <t>LastWeek</t>
  </si>
  <si>
    <t>Precio</t>
  </si>
  <si>
    <t>CANTERA</t>
  </si>
  <si>
    <t>HAB</t>
  </si>
  <si>
    <t>B. Pinczehelyi</t>
  </si>
  <si>
    <t>Bendegúz Pinczehelyi</t>
  </si>
  <si>
    <t>Sem/1L</t>
  </si>
  <si>
    <t>7*</t>
  </si>
  <si>
    <t>Lorenzo Calosso</t>
  </si>
  <si>
    <t>L. Calosso</t>
  </si>
  <si>
    <t>Fuera o Neutral</t>
  </si>
  <si>
    <t>Millor Qualificació</t>
  </si>
  <si>
    <t>Més Partits Jugats</t>
  </si>
  <si>
    <t>Subnivel Min Seccarecci</t>
  </si>
  <si>
    <t>11,5*</t>
  </si>
  <si>
    <t>8,5*</t>
  </si>
  <si>
    <t>#</t>
  </si>
  <si>
    <t>G. Kerschl</t>
  </si>
  <si>
    <t>G/P</t>
  </si>
  <si>
    <t>Xpe/16,5</t>
  </si>
  <si>
    <t>(xpc * lid^2) ^ (2/3) / 27</t>
  </si>
  <si>
    <t>Gerolf Kerschl</t>
  </si>
  <si>
    <t>Fcompra</t>
  </si>
  <si>
    <t>10,5*</t>
  </si>
  <si>
    <t>14*</t>
  </si>
  <si>
    <t>532hts</t>
  </si>
  <si>
    <t>FC Mariannah-Obiwan</t>
  </si>
  <si>
    <t>529hts</t>
  </si>
  <si>
    <t>Obiwan-Antioch</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</si>
</sst>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 #,##0.00\ &quot;€&quot;_-;\-* #,##0.00\ &quot;€&quot;_-;_-* &quot;-&quot;??\ &quot;€&quot;_-;_-@_-"/>
    <numFmt numFmtId="43" formatCode="_-* #,##0.00\ _€_-;\-* #,##0.00\ _€_-;_-* &quot;-&quot;??\ _€_-;_-@_-"/>
    <numFmt numFmtId="164" formatCode="0.0%"/>
    <numFmt numFmtId="165" formatCode="_-* #,##0\ &quot;€&quot;_-;\-* #,##0\ &quot;€&quot;_-;_-* &quot;-&quot;??\ &quot;€&quot;_-;_-@_-"/>
    <numFmt numFmtId="166" formatCode="_-* #,##0\ [$€-C0A]_-;\-* #,##0\ [$€-C0A]_-;_-* &quot;-&quot;??\ [$€-C0A]_-;_-@_-"/>
    <numFmt numFmtId="167" formatCode="_-* #,##0.00\ [$€-C0A]_-;\-* #,##0.00\ [$€-C0A]_-;_-* &quot;-&quot;??\ [$€-C0A]_-;_-@_-"/>
    <numFmt numFmtId="168" formatCode="_-* #,##0\ _€_-;\-* #,##0\ _€_-;_-* &quot;-&quot;??\ _€_-;_-@_-"/>
    <numFmt numFmtId="169" formatCode="0.0"/>
    <numFmt numFmtId="170" formatCode="0.000"/>
    <numFmt numFmtId="171" formatCode="_-* #,##0.0\ _€_-;\-* #,##0.0\ _€_-;_-* &quot;-&quot;??\ _€_-;_-@_-"/>
    <numFmt numFmtId="172" formatCode="_-* #,##0.0\ _€_-;\-* #,##0.0\ _€_-;_-* &quot;-&quot;?\ _€_-;_-@_-"/>
    <numFmt numFmtId="173" formatCode="0.0000"/>
    <numFmt numFmtId="174" formatCode="0.00000"/>
  </numFmts>
  <fonts count="87" x14ac:knownFonts="1">
    <font>
      <sz val="11"/>
      <color theme="1"/>
      <name val="Calibri"/>
      <family val="2"/>
      <scheme val="minor"/>
    </font>
    <font>
      <sz val="11"/>
      <color theme="1"/>
      <name val="Calibri"/>
      <family val="2"/>
      <scheme val="minor"/>
    </font>
    <font>
      <b/>
      <sz val="11"/>
      <color theme="1"/>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u/>
      <sz val="11"/>
      <color theme="1"/>
      <name val="Calibri"/>
      <family val="2"/>
      <scheme val="minor"/>
    </font>
    <font>
      <b/>
      <sz val="11"/>
      <name val="Calibri"/>
      <family val="2"/>
      <scheme val="minor"/>
    </font>
    <font>
      <sz val="11"/>
      <color rgb="FFFF0000"/>
      <name val="Calibri"/>
      <family val="2"/>
      <scheme val="minor"/>
    </font>
    <font>
      <b/>
      <sz val="18"/>
      <color theme="1"/>
      <name val="Calibri"/>
      <family val="2"/>
      <scheme val="minor"/>
    </font>
    <font>
      <b/>
      <sz val="11"/>
      <color theme="9" tint="-0.499984740745262"/>
      <name val="Calibri"/>
      <family val="2"/>
      <scheme val="minor"/>
    </font>
    <font>
      <b/>
      <sz val="10"/>
      <color theme="1"/>
      <name val="Calibri"/>
      <family val="2"/>
      <scheme val="minor"/>
    </font>
    <font>
      <b/>
      <sz val="14"/>
      <color theme="0"/>
      <name val="Calibri"/>
      <family val="2"/>
      <scheme val="minor"/>
    </font>
    <font>
      <b/>
      <sz val="14"/>
      <color theme="1" tint="0.499984740745262"/>
      <name val="Calibri"/>
      <family val="2"/>
      <scheme val="minor"/>
    </font>
    <font>
      <b/>
      <sz val="14"/>
      <color theme="1"/>
      <name val="Calibri"/>
      <family val="2"/>
      <scheme val="minor"/>
    </font>
    <font>
      <b/>
      <sz val="14"/>
      <color theme="6" tint="-0.499984740745262"/>
      <name val="Calibri"/>
      <family val="2"/>
      <scheme val="minor"/>
    </font>
    <font>
      <b/>
      <sz val="14"/>
      <color rgb="FFFF0000"/>
      <name val="Calibri"/>
      <family val="2"/>
      <scheme val="minor"/>
    </font>
    <font>
      <b/>
      <sz val="10"/>
      <color rgb="FF00B050"/>
      <name val="Calibri"/>
      <family val="2"/>
      <scheme val="minor"/>
    </font>
    <font>
      <b/>
      <sz val="10"/>
      <color rgb="FFFF0000"/>
      <name val="Calibri"/>
      <family val="2"/>
      <scheme val="minor"/>
    </font>
    <font>
      <u/>
      <sz val="11"/>
      <color theme="10"/>
      <name val="Calibri"/>
      <family val="2"/>
    </font>
    <font>
      <b/>
      <sz val="8"/>
      <color indexed="81"/>
      <name val="Tahoma"/>
      <family val="2"/>
    </font>
    <font>
      <sz val="8"/>
      <color indexed="81"/>
      <name val="Tahoma"/>
      <family val="2"/>
    </font>
    <font>
      <sz val="11"/>
      <color indexed="8"/>
      <name val="Calibri"/>
      <family val="2"/>
      <charset val="1"/>
    </font>
    <font>
      <b/>
      <sz val="16"/>
      <color theme="1"/>
      <name val="Calibri"/>
      <family val="2"/>
      <scheme val="minor"/>
    </font>
    <font>
      <b/>
      <sz val="8"/>
      <color theme="1"/>
      <name val="Calibri"/>
      <family val="2"/>
      <scheme val="minor"/>
    </font>
    <font>
      <sz val="8"/>
      <color theme="1"/>
      <name val="Calibri"/>
      <family val="2"/>
      <scheme val="minor"/>
    </font>
    <font>
      <b/>
      <sz val="8"/>
      <color rgb="FF000000"/>
      <name val="Verdana"/>
      <family val="2"/>
    </font>
    <font>
      <sz val="8"/>
      <color rgb="FF000000"/>
      <name val="Verdana"/>
      <family val="2"/>
    </font>
    <font>
      <b/>
      <sz val="8"/>
      <color rgb="FFFF0000"/>
      <name val="Verdana"/>
      <family val="2"/>
    </font>
    <font>
      <sz val="10"/>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
      <b/>
      <sz val="8"/>
      <color rgb="FFFFFFFF"/>
      <name val="Calibri"/>
      <family val="2"/>
      <scheme val="minor"/>
    </font>
    <font>
      <sz val="8"/>
      <color rgb="FFFFFFFF"/>
      <name val="Calibri"/>
      <family val="2"/>
      <scheme val="minor"/>
    </font>
    <font>
      <b/>
      <sz val="11"/>
      <color theme="0"/>
      <name val="Calibri"/>
      <family val="2"/>
      <charset val="1"/>
    </font>
    <font>
      <b/>
      <sz val="11"/>
      <color indexed="8"/>
      <name val="Calibri"/>
      <family val="2"/>
    </font>
    <font>
      <sz val="11"/>
      <color indexed="8"/>
      <name val="Calibri"/>
      <family val="2"/>
    </font>
    <font>
      <b/>
      <i/>
      <u/>
      <sz val="11"/>
      <color indexed="8"/>
      <name val="Calibri"/>
      <family val="2"/>
    </font>
    <font>
      <b/>
      <i/>
      <u/>
      <sz val="11"/>
      <color theme="1"/>
      <name val="Calibri"/>
      <family val="2"/>
      <scheme val="minor"/>
    </font>
    <font>
      <sz val="8"/>
      <name val="Calibri"/>
      <family val="2"/>
      <scheme val="minor"/>
    </font>
    <font>
      <b/>
      <sz val="8"/>
      <color theme="0"/>
      <name val="Verdana"/>
      <family val="2"/>
    </font>
    <font>
      <b/>
      <i/>
      <u/>
      <sz val="8"/>
      <color theme="0"/>
      <name val="Verdana"/>
      <family val="2"/>
    </font>
    <font>
      <sz val="16"/>
      <name val="Verdana"/>
      <family val="2"/>
    </font>
    <font>
      <sz val="14"/>
      <name val="Verdana"/>
      <family val="2"/>
    </font>
    <font>
      <sz val="10"/>
      <name val="Verdana"/>
      <family val="2"/>
    </font>
    <font>
      <sz val="8.5"/>
      <name val="Verdana"/>
      <family val="2"/>
    </font>
    <font>
      <sz val="10"/>
      <color rgb="FFFF0000"/>
      <name val="Verdana"/>
      <family val="2"/>
    </font>
    <font>
      <b/>
      <sz val="10"/>
      <name val="Verdana"/>
      <family val="2"/>
    </font>
    <font>
      <b/>
      <sz val="8"/>
      <name val="Verdana"/>
      <family val="2"/>
    </font>
    <font>
      <sz val="11"/>
      <name val="Calibri"/>
      <family val="2"/>
      <charset val="1"/>
    </font>
    <font>
      <b/>
      <sz val="11"/>
      <name val="Calibri"/>
      <family val="2"/>
      <charset val="1"/>
    </font>
    <font>
      <b/>
      <sz val="11"/>
      <color indexed="8"/>
      <name val="Calibri"/>
      <family val="2"/>
      <charset val="1"/>
    </font>
    <font>
      <i/>
      <u/>
      <sz val="11"/>
      <color theme="1"/>
      <name val="Calibri"/>
      <family val="2"/>
      <scheme val="minor"/>
    </font>
    <font>
      <sz val="8"/>
      <name val="Verdana"/>
      <family val="2"/>
    </font>
    <font>
      <b/>
      <sz val="12"/>
      <color rgb="FF000000"/>
      <name val="Verdana"/>
      <family val="2"/>
    </font>
    <font>
      <b/>
      <sz val="12"/>
      <color theme="1"/>
      <name val="Calibri"/>
      <family val="2"/>
      <scheme val="minor"/>
    </font>
    <font>
      <b/>
      <i/>
      <sz val="12"/>
      <color theme="1"/>
      <name val="Calibri"/>
      <family val="2"/>
      <scheme val="minor"/>
    </font>
    <font>
      <b/>
      <sz val="11"/>
      <color theme="9" tint="-0.249977111117893"/>
      <name val="Calibri"/>
      <family val="2"/>
      <scheme val="minor"/>
    </font>
    <font>
      <sz val="14"/>
      <color theme="1"/>
      <name val="Calibri"/>
      <family val="2"/>
      <scheme val="minor"/>
    </font>
    <font>
      <sz val="10"/>
      <name val="Calibri"/>
      <family val="2"/>
      <scheme val="minor"/>
    </font>
    <font>
      <sz val="11"/>
      <name val="Calibri"/>
      <family val="2"/>
    </font>
    <font>
      <sz val="10"/>
      <name val="Calibri"/>
      <family val="2"/>
    </font>
    <font>
      <sz val="9"/>
      <color theme="1"/>
      <name val="Calibri"/>
      <family val="2"/>
      <scheme val="minor"/>
    </font>
    <font>
      <i/>
      <u/>
      <sz val="11"/>
      <name val="Calibri"/>
      <family val="2"/>
      <scheme val="minor"/>
    </font>
    <font>
      <sz val="8"/>
      <color theme="9" tint="-0.499984740745262"/>
      <name val="Verdana"/>
      <family val="2"/>
    </font>
    <font>
      <sz val="8"/>
      <color rgb="FFFF0000"/>
      <name val="Verdana"/>
      <family val="2"/>
    </font>
    <font>
      <b/>
      <sz val="11"/>
      <color rgb="FFFF0000"/>
      <name val="Calibri"/>
      <family val="2"/>
    </font>
    <font>
      <b/>
      <sz val="11"/>
      <name val="Calibri"/>
      <family val="2"/>
    </font>
    <font>
      <b/>
      <sz val="11"/>
      <color rgb="FF00B0F0"/>
      <name val="Calibri"/>
      <family val="2"/>
    </font>
    <font>
      <i/>
      <sz val="11"/>
      <color theme="1"/>
      <name val="Calibri"/>
      <family val="2"/>
      <scheme val="minor"/>
    </font>
    <font>
      <b/>
      <i/>
      <sz val="14"/>
      <color theme="6" tint="-0.499984740745262"/>
      <name val="Calibri"/>
      <family val="2"/>
      <scheme val="minor"/>
    </font>
    <font>
      <b/>
      <i/>
      <sz val="14"/>
      <color rgb="FFFF0000"/>
      <name val="Calibri"/>
      <family val="2"/>
      <scheme val="minor"/>
    </font>
    <font>
      <b/>
      <i/>
      <sz val="14"/>
      <color theme="0"/>
      <name val="Calibri"/>
      <family val="2"/>
      <scheme val="minor"/>
    </font>
    <font>
      <b/>
      <sz val="11"/>
      <color theme="0"/>
      <name val="Calibri"/>
      <family val="2"/>
      <scheme val="minor"/>
    </font>
    <font>
      <sz val="12"/>
      <name val="Calibri"/>
      <family val="2"/>
      <charset val="1"/>
    </font>
    <font>
      <sz val="11"/>
      <name val="Calibri"/>
      <family val="2"/>
      <charset val="1"/>
      <scheme val="minor"/>
    </font>
    <font>
      <sz val="11"/>
      <color rgb="FFFF0000"/>
      <name val="Calibri"/>
      <family val="2"/>
    </font>
    <font>
      <b/>
      <sz val="12"/>
      <name val="Calibri"/>
      <family val="2"/>
    </font>
    <font>
      <b/>
      <u/>
      <sz val="11"/>
      <name val="Calibri"/>
      <family val="2"/>
    </font>
    <font>
      <b/>
      <u/>
      <sz val="12"/>
      <name val="Calibri"/>
      <family val="2"/>
    </font>
    <font>
      <b/>
      <i/>
      <u/>
      <sz val="12"/>
      <name val="Calibri"/>
      <family val="2"/>
    </font>
    <font>
      <b/>
      <sz val="12"/>
      <color rgb="FFFF0000"/>
      <name val="Calibri"/>
      <family val="2"/>
      <scheme val="minor"/>
    </font>
    <font>
      <b/>
      <sz val="13.5"/>
      <color theme="1"/>
      <name val="Calibri"/>
      <family val="2"/>
      <scheme val="minor"/>
    </font>
    <font>
      <i/>
      <u/>
      <sz val="11"/>
      <color theme="4" tint="-0.499984740745262"/>
      <name val="Calibri"/>
      <family val="2"/>
      <scheme val="minor"/>
    </font>
    <font>
      <b/>
      <i/>
      <u/>
      <sz val="11"/>
      <color theme="4" tint="-0.499984740745262"/>
      <name val="Calibri"/>
      <family val="2"/>
      <scheme val="minor"/>
    </font>
    <font>
      <i/>
      <u/>
      <sz val="11"/>
      <color theme="8" tint="-0.499984740745262"/>
      <name val="Calibri"/>
      <family val="2"/>
      <scheme val="minor"/>
    </font>
  </fonts>
  <fills count="48">
    <fill>
      <patternFill patternType="none"/>
    </fill>
    <fill>
      <patternFill patternType="gray125"/>
    </fill>
    <fill>
      <patternFill patternType="solid">
        <fgColor rgb="FF000000"/>
        <bgColor indexed="64"/>
      </patternFill>
    </fill>
    <fill>
      <patternFill patternType="solid">
        <fgColor rgb="FFFFFF00"/>
        <bgColor indexed="64"/>
      </patternFill>
    </fill>
    <fill>
      <patternFill patternType="solid">
        <fgColor rgb="FF92D05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rgb="FFFFFFCC"/>
        <bgColor indexed="64"/>
      </patternFill>
    </fill>
    <fill>
      <patternFill patternType="solid">
        <fgColor rgb="FFCCCCCC"/>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FFFFF"/>
        <bgColor indexed="64"/>
      </patternFill>
    </fill>
    <fill>
      <patternFill patternType="solid">
        <fgColor rgb="FFEDF1ED"/>
        <bgColor indexed="64"/>
      </patternFill>
    </fill>
    <fill>
      <patternFill patternType="solid">
        <fgColor theme="8" tint="0.59999389629810485"/>
        <bgColor indexed="64"/>
      </patternFill>
    </fill>
    <fill>
      <patternFill patternType="solid">
        <fgColor rgb="FFEEEEEE"/>
        <bgColor indexed="64"/>
      </patternFill>
    </fill>
    <fill>
      <patternFill patternType="solid">
        <fgColor theme="2" tint="-9.9978637043366805E-2"/>
        <bgColor indexed="64"/>
      </patternFill>
    </fill>
    <fill>
      <patternFill patternType="solid">
        <fgColor rgb="FF333333"/>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4"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6" tint="0.59999389629810485"/>
        <bgColor rgb="FFFFFF00"/>
      </patternFill>
    </fill>
    <fill>
      <patternFill patternType="solid">
        <fgColor rgb="FFFF0000"/>
        <bgColor indexed="64"/>
      </patternFill>
    </fill>
    <fill>
      <patternFill patternType="solid">
        <fgColor rgb="FF0070C0"/>
        <bgColor indexed="64"/>
      </patternFill>
    </fill>
    <fill>
      <patternFill patternType="solid">
        <fgColor theme="6" tint="-0.249977111117893"/>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8"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s>
  <cellStyleXfs count="6">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9" fillId="0" borderId="0" applyNumberFormat="0" applyFill="0" applyBorder="0" applyAlignment="0" applyProtection="0">
      <alignment vertical="top"/>
      <protection locked="0"/>
    </xf>
    <xf numFmtId="0" fontId="22" fillId="0" borderId="0"/>
  </cellStyleXfs>
  <cellXfs count="740">
    <xf numFmtId="0" fontId="0" fillId="0" borderId="0" xfId="0"/>
    <xf numFmtId="0" fontId="0" fillId="0" borderId="0" xfId="0" applyAlignment="1">
      <alignment horizontal="center"/>
    </xf>
    <xf numFmtId="0" fontId="0" fillId="0" borderId="1" xfId="0" applyBorder="1" applyAlignment="1">
      <alignment horizontal="center"/>
    </xf>
    <xf numFmtId="0" fontId="2" fillId="0" borderId="0" xfId="0" applyFont="1" applyAlignment="1">
      <alignment horizontal="center"/>
    </xf>
    <xf numFmtId="0" fontId="2" fillId="0" borderId="0" xfId="0" applyFont="1"/>
    <xf numFmtId="0" fontId="0" fillId="0" borderId="1" xfId="0" applyBorder="1"/>
    <xf numFmtId="0" fontId="0" fillId="0" borderId="3" xfId="0" applyBorder="1"/>
    <xf numFmtId="0" fontId="0" fillId="0" borderId="5" xfId="0" applyBorder="1"/>
    <xf numFmtId="0" fontId="3" fillId="2" borderId="0" xfId="0" applyFont="1" applyFill="1" applyAlignment="1">
      <alignment horizontal="center" wrapText="1"/>
    </xf>
    <xf numFmtId="0" fontId="0" fillId="0" borderId="0" xfId="0" applyFill="1"/>
    <xf numFmtId="0" fontId="0" fillId="3" borderId="1" xfId="0" applyFill="1" applyBorder="1"/>
    <xf numFmtId="0" fontId="4" fillId="7" borderId="0" xfId="0" applyFont="1" applyFill="1" applyAlignment="1">
      <alignment horizontal="center" wrapText="1"/>
    </xf>
    <xf numFmtId="0" fontId="5" fillId="0" borderId="0" xfId="0" applyFont="1" applyAlignment="1">
      <alignment horizontal="center" wrapText="1"/>
    </xf>
    <xf numFmtId="0" fontId="4" fillId="0" borderId="0" xfId="0" applyFont="1" applyAlignment="1">
      <alignment horizontal="center" wrapText="1"/>
    </xf>
    <xf numFmtId="0" fontId="0" fillId="0" borderId="1" xfId="0" applyBorder="1" applyAlignment="1">
      <alignment wrapText="1"/>
    </xf>
    <xf numFmtId="0" fontId="0" fillId="0" borderId="3" xfId="0" applyBorder="1" applyAlignment="1">
      <alignment wrapText="1"/>
    </xf>
    <xf numFmtId="0" fontId="0" fillId="0" borderId="8" xfId="0" applyBorder="1"/>
    <xf numFmtId="0" fontId="0" fillId="0" borderId="1" xfId="0" applyFill="1" applyBorder="1"/>
    <xf numFmtId="0" fontId="5" fillId="8" borderId="0" xfId="0" applyFont="1" applyFill="1" applyAlignment="1">
      <alignment horizontal="center" wrapText="1"/>
    </xf>
    <xf numFmtId="0" fontId="4" fillId="8" borderId="0" xfId="0" applyFont="1" applyFill="1" applyAlignment="1">
      <alignment horizontal="center" wrapText="1"/>
    </xf>
    <xf numFmtId="0" fontId="5" fillId="0" borderId="5" xfId="0" applyFont="1" applyBorder="1" applyAlignment="1">
      <alignment horizontal="center" wrapText="1"/>
    </xf>
    <xf numFmtId="0" fontId="5" fillId="0" borderId="1" xfId="0" applyFont="1" applyBorder="1" applyAlignment="1">
      <alignment horizontal="center" wrapText="1"/>
    </xf>
    <xf numFmtId="0" fontId="5" fillId="8" borderId="5" xfId="0" applyFont="1" applyFill="1" applyBorder="1" applyAlignment="1">
      <alignment horizontal="center" wrapText="1"/>
    </xf>
    <xf numFmtId="0" fontId="5" fillId="8" borderId="1" xfId="0" applyFont="1" applyFill="1" applyBorder="1" applyAlignment="1">
      <alignment horizontal="center" wrapText="1"/>
    </xf>
    <xf numFmtId="1" fontId="0" fillId="9" borderId="10" xfId="0" applyNumberFormat="1" applyFill="1" applyBorder="1"/>
    <xf numFmtId="1" fontId="0" fillId="9" borderId="11" xfId="0" applyNumberFormat="1" applyFill="1" applyBorder="1"/>
    <xf numFmtId="164" fontId="0" fillId="4" borderId="2" xfId="2" applyNumberFormat="1" applyFont="1" applyFill="1" applyBorder="1"/>
    <xf numFmtId="165" fontId="0" fillId="0" borderId="1" xfId="1" applyNumberFormat="1" applyFont="1" applyBorder="1"/>
    <xf numFmtId="164" fontId="0" fillId="4" borderId="1" xfId="2" applyNumberFormat="1" applyFont="1" applyFill="1" applyBorder="1"/>
    <xf numFmtId="164" fontId="0" fillId="3" borderId="0" xfId="2" applyNumberFormat="1" applyFont="1" applyFill="1"/>
    <xf numFmtId="0" fontId="0" fillId="0" borderId="0" xfId="0" applyFill="1" applyBorder="1" applyAlignment="1">
      <alignment wrapText="1"/>
    </xf>
    <xf numFmtId="166" fontId="0" fillId="3" borderId="0" xfId="0" applyNumberFormat="1" applyFill="1" applyBorder="1" applyAlignment="1">
      <alignment wrapText="1"/>
    </xf>
    <xf numFmtId="166" fontId="0" fillId="3" borderId="0" xfId="0" applyNumberFormat="1" applyFill="1"/>
    <xf numFmtId="0" fontId="6" fillId="10" borderId="0" xfId="0" applyFont="1" applyFill="1" applyAlignment="1">
      <alignment horizontal="right"/>
    </xf>
    <xf numFmtId="166" fontId="7" fillId="3" borderId="12" xfId="0" applyNumberFormat="1" applyFont="1" applyFill="1" applyBorder="1"/>
    <xf numFmtId="0" fontId="2" fillId="11" borderId="0" xfId="0" applyFont="1" applyFill="1" applyAlignment="1">
      <alignment horizontal="center"/>
    </xf>
    <xf numFmtId="0" fontId="0" fillId="6" borderId="0" xfId="0" applyFill="1"/>
    <xf numFmtId="1" fontId="0" fillId="6" borderId="0" xfId="0" applyNumberFormat="1" applyFill="1"/>
    <xf numFmtId="0" fontId="0" fillId="10" borderId="0" xfId="0" applyFill="1" applyAlignment="1">
      <alignment horizontal="right"/>
    </xf>
    <xf numFmtId="1" fontId="0" fillId="10" borderId="0" xfId="0" applyNumberFormat="1" applyFill="1"/>
    <xf numFmtId="0" fontId="0" fillId="12" borderId="0" xfId="0" applyFill="1" applyBorder="1" applyAlignment="1">
      <alignment horizontal="right" wrapText="1"/>
    </xf>
    <xf numFmtId="167" fontId="0" fillId="12" borderId="0" xfId="0" applyNumberFormat="1" applyFill="1" applyBorder="1"/>
    <xf numFmtId="0" fontId="0" fillId="13" borderId="0" xfId="0" applyFill="1" applyBorder="1" applyAlignment="1">
      <alignment horizontal="right" wrapText="1"/>
    </xf>
    <xf numFmtId="167" fontId="0" fillId="13" borderId="0" xfId="0" applyNumberFormat="1" applyFill="1"/>
    <xf numFmtId="0" fontId="0" fillId="6" borderId="0" xfId="0" applyFill="1" applyBorder="1" applyAlignment="1">
      <alignment horizontal="right" wrapText="1"/>
    </xf>
    <xf numFmtId="167" fontId="2" fillId="6" borderId="0" xfId="0" applyNumberFormat="1" applyFont="1" applyFill="1"/>
    <xf numFmtId="0" fontId="2" fillId="6" borderId="0" xfId="0" applyFont="1" applyFill="1" applyBorder="1" applyAlignment="1">
      <alignment horizontal="right" wrapText="1"/>
    </xf>
    <xf numFmtId="164" fontId="0" fillId="0" borderId="0" xfId="2" applyNumberFormat="1" applyFont="1"/>
    <xf numFmtId="0" fontId="2" fillId="0" borderId="1" xfId="0" applyFont="1" applyBorder="1"/>
    <xf numFmtId="0" fontId="0" fillId="15" borderId="1" xfId="0" applyFill="1" applyBorder="1" applyAlignment="1">
      <alignment horizontal="right"/>
    </xf>
    <xf numFmtId="0" fontId="9" fillId="3" borderId="1" xfId="0" applyFont="1" applyFill="1" applyBorder="1"/>
    <xf numFmtId="0" fontId="2" fillId="0" borderId="0" xfId="0" applyFont="1" applyBorder="1"/>
    <xf numFmtId="0" fontId="10" fillId="0" borderId="0" xfId="0" applyFont="1"/>
    <xf numFmtId="0" fontId="11" fillId="0" borderId="0" xfId="0" applyFont="1" applyFill="1"/>
    <xf numFmtId="0" fontId="11" fillId="0" borderId="0" xfId="0" applyFont="1" applyBorder="1"/>
    <xf numFmtId="14" fontId="11" fillId="0" borderId="0" xfId="0" applyNumberFormat="1" applyFont="1" applyAlignment="1">
      <alignment horizontal="center"/>
    </xf>
    <xf numFmtId="14" fontId="11" fillId="0" borderId="0" xfId="0" applyNumberFormat="1" applyFont="1" applyFill="1"/>
    <xf numFmtId="0" fontId="2" fillId="0" borderId="0" xfId="0" applyFont="1" applyFill="1" applyBorder="1"/>
    <xf numFmtId="0" fontId="2" fillId="20" borderId="5" xfId="0" applyFont="1" applyFill="1" applyBorder="1" applyAlignment="1">
      <alignment wrapText="1"/>
    </xf>
    <xf numFmtId="0" fontId="2" fillId="0" borderId="0" xfId="0" applyFont="1" applyFill="1"/>
    <xf numFmtId="0" fontId="2" fillId="0" borderId="0" xfId="0" applyFont="1" applyFill="1" applyBorder="1" applyAlignment="1">
      <alignment horizontal="right"/>
    </xf>
    <xf numFmtId="1" fontId="2" fillId="20" borderId="1" xfId="0" applyNumberFormat="1" applyFont="1" applyFill="1" applyBorder="1" applyAlignment="1">
      <alignment horizontal="center" wrapText="1"/>
    </xf>
    <xf numFmtId="0" fontId="12" fillId="22" borderId="2" xfId="0" applyFont="1" applyFill="1" applyBorder="1"/>
    <xf numFmtId="166" fontId="12" fillId="22" borderId="2" xfId="0" applyNumberFormat="1" applyFont="1" applyFill="1" applyBorder="1"/>
    <xf numFmtId="166" fontId="12" fillId="22" borderId="1" xfId="0" applyNumberFormat="1" applyFont="1" applyFill="1" applyBorder="1"/>
    <xf numFmtId="166" fontId="13" fillId="21" borderId="1" xfId="0" applyNumberFormat="1" applyFont="1" applyFill="1" applyBorder="1"/>
    <xf numFmtId="0" fontId="14" fillId="0" borderId="0" xfId="0" applyFont="1" applyFill="1"/>
    <xf numFmtId="0" fontId="2" fillId="23" borderId="1" xfId="0" applyFont="1" applyFill="1" applyBorder="1" applyAlignment="1">
      <alignment wrapText="1"/>
    </xf>
    <xf numFmtId="166" fontId="2" fillId="16" borderId="1" xfId="0" applyNumberFormat="1" applyFont="1" applyFill="1" applyBorder="1"/>
    <xf numFmtId="166" fontId="0" fillId="23" borderId="1" xfId="0" applyNumberFormat="1" applyFill="1" applyBorder="1"/>
    <xf numFmtId="166" fontId="0" fillId="21" borderId="1" xfId="0" applyNumberFormat="1" applyFill="1" applyBorder="1"/>
    <xf numFmtId="164" fontId="2" fillId="16" borderId="1" xfId="2" applyNumberFormat="1" applyFont="1" applyFill="1" applyBorder="1"/>
    <xf numFmtId="166" fontId="0" fillId="23" borderId="1" xfId="0" applyNumberFormat="1" applyFill="1" applyBorder="1" applyAlignment="1">
      <alignment horizontal="center"/>
    </xf>
    <xf numFmtId="0" fontId="15" fillId="23" borderId="1" xfId="0" applyFont="1" applyFill="1" applyBorder="1"/>
    <xf numFmtId="0" fontId="15" fillId="23" borderId="1" xfId="0" applyFont="1" applyFill="1" applyBorder="1" applyAlignment="1">
      <alignment wrapText="1"/>
    </xf>
    <xf numFmtId="166" fontId="15" fillId="16" borderId="1" xfId="0" applyNumberFormat="1" applyFont="1" applyFill="1" applyBorder="1"/>
    <xf numFmtId="166" fontId="15" fillId="23" borderId="1" xfId="0" applyNumberFormat="1" applyFont="1" applyFill="1" applyBorder="1"/>
    <xf numFmtId="166" fontId="15" fillId="21" borderId="1" xfId="0" applyNumberFormat="1" applyFont="1" applyFill="1" applyBorder="1"/>
    <xf numFmtId="0" fontId="15" fillId="0" borderId="0" xfId="0" applyFont="1" applyFill="1"/>
    <xf numFmtId="164" fontId="15" fillId="0" borderId="1" xfId="0" applyNumberFormat="1" applyFont="1" applyFill="1" applyBorder="1"/>
    <xf numFmtId="0" fontId="2" fillId="18" borderId="1" xfId="0" applyFont="1" applyFill="1" applyBorder="1" applyAlignment="1">
      <alignment wrapText="1"/>
    </xf>
    <xf numFmtId="0" fontId="2" fillId="18" borderId="1" xfId="0" applyFont="1" applyFill="1" applyBorder="1"/>
    <xf numFmtId="166" fontId="2" fillId="13" borderId="1" xfId="0" applyNumberFormat="1" applyFont="1" applyFill="1" applyBorder="1"/>
    <xf numFmtId="166" fontId="0" fillId="18" borderId="1" xfId="0" applyNumberFormat="1" applyFill="1" applyBorder="1"/>
    <xf numFmtId="0" fontId="2" fillId="18" borderId="2" xfId="0" applyFont="1" applyFill="1" applyBorder="1" applyAlignment="1">
      <alignment vertical="top" wrapText="1"/>
    </xf>
    <xf numFmtId="0" fontId="16" fillId="18" borderId="1" xfId="0" applyFont="1" applyFill="1" applyBorder="1" applyAlignment="1">
      <alignment wrapText="1"/>
    </xf>
    <xf numFmtId="0" fontId="16" fillId="18" borderId="1" xfId="0" applyFont="1" applyFill="1" applyBorder="1"/>
    <xf numFmtId="166" fontId="16" fillId="13" borderId="1" xfId="0" applyNumberFormat="1" applyFont="1" applyFill="1" applyBorder="1"/>
    <xf numFmtId="166" fontId="16" fillId="18" borderId="1" xfId="0" applyNumberFormat="1" applyFont="1" applyFill="1" applyBorder="1"/>
    <xf numFmtId="166" fontId="16" fillId="21" borderId="1" xfId="0" applyNumberFormat="1" applyFont="1" applyFill="1" applyBorder="1"/>
    <xf numFmtId="0" fontId="16" fillId="0" borderId="0" xfId="0" applyFont="1" applyFill="1"/>
    <xf numFmtId="164" fontId="2" fillId="13" borderId="1" xfId="2" applyNumberFormat="1" applyFont="1" applyFill="1" applyBorder="1"/>
    <xf numFmtId="0" fontId="12" fillId="22" borderId="1" xfId="0" applyFont="1" applyFill="1" applyBorder="1"/>
    <xf numFmtId="0" fontId="11" fillId="0" borderId="0" xfId="0" applyFont="1" applyAlignment="1">
      <alignment wrapText="1"/>
    </xf>
    <xf numFmtId="14" fontId="11" fillId="0" borderId="0" xfId="0" applyNumberFormat="1" applyFont="1" applyAlignment="1">
      <alignment wrapText="1"/>
    </xf>
    <xf numFmtId="14" fontId="11" fillId="0" borderId="0" xfId="0" applyNumberFormat="1" applyFont="1" applyAlignment="1">
      <alignment horizontal="center" wrapText="1"/>
    </xf>
    <xf numFmtId="166" fontId="17" fillId="16" borderId="0" xfId="0" applyNumberFormat="1" applyFont="1" applyFill="1" applyAlignment="1">
      <alignment wrapText="1"/>
    </xf>
    <xf numFmtId="167" fontId="17" fillId="0" borderId="0" xfId="0" applyNumberFormat="1" applyFont="1" applyAlignment="1">
      <alignment wrapText="1"/>
    </xf>
    <xf numFmtId="166" fontId="18" fillId="17" borderId="0" xfId="0" applyNumberFormat="1" applyFont="1" applyFill="1" applyAlignment="1">
      <alignment wrapText="1"/>
    </xf>
    <xf numFmtId="167" fontId="18" fillId="0" borderId="0" xfId="0" applyNumberFormat="1" applyFont="1" applyAlignment="1">
      <alignment wrapText="1"/>
    </xf>
    <xf numFmtId="166" fontId="2" fillId="0" borderId="0" xfId="0" applyNumberFormat="1" applyFont="1"/>
    <xf numFmtId="167" fontId="2" fillId="0" borderId="0" xfId="0" applyNumberFormat="1" applyFont="1"/>
    <xf numFmtId="164" fontId="16" fillId="0" borderId="1" xfId="2" applyNumberFormat="1" applyFont="1" applyFill="1" applyBorder="1"/>
    <xf numFmtId="0" fontId="0" fillId="0" borderId="0" xfId="0" applyAlignment="1">
      <alignment wrapText="1"/>
    </xf>
    <xf numFmtId="0" fontId="19" fillId="0" borderId="0" xfId="4" applyAlignment="1" applyProtection="1">
      <alignment wrapText="1"/>
    </xf>
    <xf numFmtId="0" fontId="2" fillId="0" borderId="0" xfId="0" applyFont="1" applyAlignment="1">
      <alignment wrapText="1"/>
    </xf>
    <xf numFmtId="166" fontId="0" fillId="0" borderId="0" xfId="0" applyNumberFormat="1"/>
    <xf numFmtId="0" fontId="24" fillId="0" borderId="1" xfId="0" applyFont="1" applyBorder="1"/>
    <xf numFmtId="0" fontId="2" fillId="0" borderId="1" xfId="0" applyFont="1" applyFill="1" applyBorder="1"/>
    <xf numFmtId="0" fontId="14" fillId="0" borderId="1" xfId="0" applyFont="1" applyBorder="1" applyAlignment="1">
      <alignment horizontal="center"/>
    </xf>
    <xf numFmtId="0" fontId="2" fillId="16" borderId="1" xfId="0" applyFont="1" applyFill="1" applyBorder="1"/>
    <xf numFmtId="165" fontId="0" fillId="16" borderId="1" xfId="1" applyNumberFormat="1" applyFont="1" applyFill="1" applyBorder="1"/>
    <xf numFmtId="14" fontId="25" fillId="16" borderId="1" xfId="1" applyNumberFormat="1" applyFont="1" applyFill="1" applyBorder="1"/>
    <xf numFmtId="0" fontId="2" fillId="0" borderId="6" xfId="0" applyFont="1" applyBorder="1"/>
    <xf numFmtId="166" fontId="0" fillId="0" borderId="7" xfId="0" applyNumberFormat="1" applyBorder="1"/>
    <xf numFmtId="166" fontId="0" fillId="0" borderId="8" xfId="0" applyNumberFormat="1" applyBorder="1"/>
    <xf numFmtId="0" fontId="2" fillId="0" borderId="15" xfId="0" applyFont="1" applyBorder="1"/>
    <xf numFmtId="166" fontId="2" fillId="0" borderId="16" xfId="0" applyNumberFormat="1" applyFont="1" applyBorder="1"/>
    <xf numFmtId="164" fontId="2" fillId="0" borderId="13" xfId="2" applyNumberFormat="1" applyFont="1" applyBorder="1"/>
    <xf numFmtId="0" fontId="0" fillId="18" borderId="15" xfId="0" applyFill="1" applyBorder="1" applyAlignment="1">
      <alignment horizontal="right"/>
    </xf>
    <xf numFmtId="166" fontId="0" fillId="18" borderId="16" xfId="0" applyNumberFormat="1" applyFill="1" applyBorder="1"/>
    <xf numFmtId="164" fontId="1" fillId="0" borderId="13" xfId="2" applyNumberFormat="1" applyFont="1" applyBorder="1"/>
    <xf numFmtId="0" fontId="0" fillId="17" borderId="15" xfId="0" applyFill="1" applyBorder="1" applyAlignment="1">
      <alignment horizontal="right"/>
    </xf>
    <xf numFmtId="166" fontId="0" fillId="17" borderId="16" xfId="0" applyNumberFormat="1" applyFill="1" applyBorder="1" applyAlignment="1">
      <alignment horizontal="right"/>
    </xf>
    <xf numFmtId="0" fontId="0" fillId="0" borderId="15" xfId="0" applyBorder="1"/>
    <xf numFmtId="166" fontId="0" fillId="0" borderId="16" xfId="0" applyNumberFormat="1" applyBorder="1"/>
    <xf numFmtId="165" fontId="0" fillId="0" borderId="1" xfId="1" applyNumberFormat="1" applyFont="1" applyFill="1" applyBorder="1"/>
    <xf numFmtId="9" fontId="0" fillId="0" borderId="1" xfId="2" applyFont="1" applyFill="1" applyBorder="1"/>
    <xf numFmtId="14" fontId="25" fillId="0" borderId="1" xfId="1" applyNumberFormat="1" applyFont="1" applyFill="1" applyBorder="1"/>
    <xf numFmtId="0" fontId="0" fillId="15" borderId="15" xfId="0" applyFill="1" applyBorder="1" applyAlignment="1">
      <alignment horizontal="right"/>
    </xf>
    <xf numFmtId="166" fontId="0" fillId="15" borderId="16" xfId="0" applyNumberFormat="1" applyFill="1" applyBorder="1" applyAlignment="1">
      <alignment horizontal="right"/>
    </xf>
    <xf numFmtId="166" fontId="0" fillId="15" borderId="1" xfId="0" applyNumberFormat="1" applyFill="1" applyBorder="1" applyAlignment="1">
      <alignment horizontal="right"/>
    </xf>
    <xf numFmtId="0" fontId="0" fillId="0" borderId="15" xfId="0" applyFill="1" applyBorder="1" applyAlignment="1">
      <alignment horizontal="right"/>
    </xf>
    <xf numFmtId="166" fontId="0" fillId="0" borderId="16" xfId="0" applyNumberFormat="1" applyFill="1" applyBorder="1" applyAlignment="1">
      <alignment horizontal="right"/>
    </xf>
    <xf numFmtId="166" fontId="2" fillId="0" borderId="16" xfId="0" applyNumberFormat="1" applyFont="1" applyFill="1" applyBorder="1" applyAlignment="1">
      <alignment horizontal="right"/>
    </xf>
    <xf numFmtId="0" fontId="0" fillId="12" borderId="1" xfId="0" applyFill="1" applyBorder="1" applyAlignment="1">
      <alignment horizontal="right"/>
    </xf>
    <xf numFmtId="166" fontId="0" fillId="12" borderId="1" xfId="0" applyNumberFormat="1" applyFill="1" applyBorder="1"/>
    <xf numFmtId="166" fontId="0" fillId="0" borderId="13" xfId="0" applyNumberFormat="1" applyBorder="1"/>
    <xf numFmtId="0" fontId="0" fillId="23" borderId="15" xfId="0" applyFill="1" applyBorder="1" applyAlignment="1">
      <alignment horizontal="right"/>
    </xf>
    <xf numFmtId="166" fontId="0" fillId="23" borderId="16" xfId="0" applyNumberFormat="1" applyFill="1" applyBorder="1"/>
    <xf numFmtId="164" fontId="2" fillId="0" borderId="15" xfId="2" applyNumberFormat="1" applyFont="1" applyBorder="1"/>
    <xf numFmtId="0" fontId="0" fillId="0" borderId="17" xfId="0" applyBorder="1"/>
    <xf numFmtId="166" fontId="0" fillId="0" borderId="14" xfId="0" applyNumberFormat="1" applyBorder="1"/>
    <xf numFmtId="0" fontId="14" fillId="0" borderId="17" xfId="0" applyFont="1" applyBorder="1" applyAlignment="1">
      <alignment horizontal="right"/>
    </xf>
    <xf numFmtId="166" fontId="14" fillId="0" borderId="14" xfId="0" applyNumberFormat="1" applyFont="1" applyBorder="1"/>
    <xf numFmtId="9" fontId="2" fillId="0" borderId="1" xfId="2" applyNumberFormat="1" applyFont="1" applyBorder="1"/>
    <xf numFmtId="0" fontId="14" fillId="0" borderId="3" xfId="0" applyFont="1" applyBorder="1" applyAlignment="1">
      <alignment horizontal="right"/>
    </xf>
    <xf numFmtId="166" fontId="14" fillId="0" borderId="5" xfId="0" applyNumberFormat="1" applyFont="1" applyBorder="1"/>
    <xf numFmtId="0" fontId="26" fillId="27" borderId="1" xfId="0" applyFont="1" applyFill="1" applyBorder="1" applyAlignment="1">
      <alignment horizontal="left" vertical="top" wrapText="1" indent="1"/>
    </xf>
    <xf numFmtId="0" fontId="26" fillId="26" borderId="1" xfId="0" applyFont="1" applyFill="1" applyBorder="1" applyAlignment="1">
      <alignment horizontal="left" vertical="top" wrapText="1" indent="1"/>
    </xf>
    <xf numFmtId="0" fontId="27" fillId="26" borderId="1" xfId="0" applyFont="1" applyFill="1" applyBorder="1" applyAlignment="1">
      <alignment horizontal="left" vertical="top" wrapText="1" indent="1"/>
    </xf>
    <xf numFmtId="0" fontId="26" fillId="26" borderId="2" xfId="0" applyFont="1" applyFill="1" applyBorder="1" applyAlignment="1">
      <alignment horizontal="left" vertical="top" wrapText="1" indent="1"/>
    </xf>
    <xf numFmtId="0" fontId="27" fillId="26" borderId="2" xfId="0" applyFont="1" applyFill="1" applyBorder="1" applyAlignment="1">
      <alignment horizontal="left" vertical="top" wrapText="1" indent="1"/>
    </xf>
    <xf numFmtId="0" fontId="26" fillId="27" borderId="1" xfId="0" applyFont="1" applyFill="1" applyBorder="1" applyAlignment="1">
      <alignment horizontal="center" vertical="top" wrapText="1"/>
    </xf>
    <xf numFmtId="169" fontId="0" fillId="0" borderId="1" xfId="0" applyNumberFormat="1" applyFill="1" applyBorder="1" applyAlignment="1">
      <alignment horizontal="center"/>
    </xf>
    <xf numFmtId="169" fontId="0" fillId="0" borderId="1" xfId="0" applyNumberFormat="1" applyBorder="1" applyAlignment="1">
      <alignment horizontal="center"/>
    </xf>
    <xf numFmtId="0" fontId="29" fillId="0" borderId="0" xfId="0" applyFont="1"/>
    <xf numFmtId="0" fontId="27" fillId="26" borderId="18" xfId="0" applyFont="1" applyFill="1" applyBorder="1" applyAlignment="1">
      <alignment horizontal="left" vertical="top" wrapText="1"/>
    </xf>
    <xf numFmtId="0" fontId="25" fillId="0" borderId="0" xfId="0" applyFont="1"/>
    <xf numFmtId="2" fontId="0" fillId="0" borderId="0" xfId="0" applyNumberFormat="1"/>
    <xf numFmtId="168" fontId="0" fillId="0" borderId="1" xfId="3" applyNumberFormat="1" applyFont="1" applyBorder="1"/>
    <xf numFmtId="164" fontId="0" fillId="0" borderId="1" xfId="2" applyNumberFormat="1" applyFont="1" applyBorder="1"/>
    <xf numFmtId="0" fontId="0" fillId="3" borderId="0" xfId="0" applyFill="1"/>
    <xf numFmtId="2" fontId="0" fillId="0" borderId="0" xfId="0" applyNumberFormat="1" applyAlignment="1">
      <alignment horizontal="center"/>
    </xf>
    <xf numFmtId="0" fontId="2" fillId="0" borderId="0" xfId="0" applyFont="1" applyAlignment="1">
      <alignment horizontal="right"/>
    </xf>
    <xf numFmtId="0" fontId="32" fillId="0" borderId="0" xfId="0" applyFont="1" applyFill="1"/>
    <xf numFmtId="1" fontId="0" fillId="0" borderId="0" xfId="0" applyNumberFormat="1"/>
    <xf numFmtId="168" fontId="0" fillId="0" borderId="1" xfId="3" applyNumberFormat="1" applyFont="1" applyFill="1" applyBorder="1"/>
    <xf numFmtId="9" fontId="0" fillId="16" borderId="1" xfId="2" applyFont="1" applyFill="1" applyBorder="1"/>
    <xf numFmtId="0" fontId="32" fillId="16" borderId="1" xfId="0" applyFont="1" applyFill="1" applyBorder="1"/>
    <xf numFmtId="43" fontId="2" fillId="21" borderId="1" xfId="3" applyFont="1" applyFill="1" applyBorder="1" applyAlignment="1">
      <alignment horizontal="center" wrapText="1"/>
    </xf>
    <xf numFmtId="168" fontId="2" fillId="21" borderId="1" xfId="3" applyNumberFormat="1" applyFont="1" applyFill="1" applyBorder="1" applyAlignment="1">
      <alignment horizontal="center" wrapText="1"/>
    </xf>
    <xf numFmtId="43" fontId="7" fillId="21" borderId="1" xfId="3" applyFont="1" applyFill="1" applyBorder="1" applyAlignment="1">
      <alignment horizontal="center" wrapText="1"/>
    </xf>
    <xf numFmtId="0" fontId="2" fillId="30" borderId="1" xfId="0" applyFont="1" applyFill="1" applyBorder="1" applyAlignment="1">
      <alignment horizontal="right"/>
    </xf>
    <xf numFmtId="168" fontId="2" fillId="30" borderId="1" xfId="3" applyNumberFormat="1" applyFont="1" applyFill="1" applyBorder="1" applyAlignment="1">
      <alignment horizontal="center" wrapText="1"/>
    </xf>
    <xf numFmtId="165" fontId="2" fillId="30" borderId="1" xfId="1" applyNumberFormat="1" applyFont="1" applyFill="1" applyBorder="1" applyAlignment="1">
      <alignment horizontal="center" wrapText="1"/>
    </xf>
    <xf numFmtId="43" fontId="2" fillId="30" borderId="1" xfId="3" applyNumberFormat="1" applyFont="1" applyFill="1" applyBorder="1" applyAlignment="1">
      <alignment horizontal="center" wrapText="1"/>
    </xf>
    <xf numFmtId="14" fontId="0" fillId="0" borderId="0" xfId="0" applyNumberFormat="1" applyAlignment="1">
      <alignment horizontal="right"/>
    </xf>
    <xf numFmtId="0" fontId="0" fillId="0" borderId="0" xfId="0" applyAlignment="1"/>
    <xf numFmtId="0" fontId="0" fillId="0" borderId="0" xfId="0" applyAlignment="1">
      <alignment horizontal="right"/>
    </xf>
    <xf numFmtId="9" fontId="0" fillId="0" borderId="1" xfId="2" applyFont="1" applyBorder="1" applyAlignment="1">
      <alignment horizontal="center"/>
    </xf>
    <xf numFmtId="166" fontId="2" fillId="0" borderId="1" xfId="0" applyNumberFormat="1" applyFont="1" applyFill="1" applyBorder="1"/>
    <xf numFmtId="0" fontId="0" fillId="0" borderId="0" xfId="0" applyAlignment="1">
      <alignment wrapText="1"/>
    </xf>
    <xf numFmtId="0" fontId="2" fillId="10" borderId="1" xfId="0" applyFont="1" applyFill="1" applyBorder="1"/>
    <xf numFmtId="0" fontId="27" fillId="0" borderId="0" xfId="0" applyFont="1"/>
    <xf numFmtId="0" fontId="26" fillId="0" borderId="0" xfId="0" applyFont="1"/>
    <xf numFmtId="0" fontId="2" fillId="3" borderId="0" xfId="0" applyFont="1" applyFill="1" applyAlignment="1">
      <alignment wrapText="1"/>
    </xf>
    <xf numFmtId="9" fontId="2" fillId="3" borderId="0" xfId="0" applyNumberFormat="1" applyFont="1" applyFill="1" applyAlignment="1">
      <alignment wrapText="1"/>
    </xf>
    <xf numFmtId="9" fontId="14" fillId="3" borderId="1" xfId="0" applyNumberFormat="1" applyFont="1" applyFill="1" applyBorder="1" applyAlignment="1">
      <alignment wrapText="1"/>
    </xf>
    <xf numFmtId="0" fontId="14" fillId="0" borderId="1" xfId="0" applyFont="1" applyBorder="1" applyAlignment="1">
      <alignment wrapText="1"/>
    </xf>
    <xf numFmtId="0" fontId="2" fillId="0" borderId="1" xfId="0" applyFont="1" applyBorder="1" applyAlignment="1">
      <alignment wrapText="1"/>
    </xf>
    <xf numFmtId="9" fontId="2" fillId="3" borderId="0" xfId="0" applyNumberFormat="1" applyFont="1" applyFill="1" applyAlignment="1">
      <alignment horizontal="right" wrapText="1"/>
    </xf>
    <xf numFmtId="0" fontId="25" fillId="0" borderId="0" xfId="0" applyFont="1" applyAlignment="1">
      <alignment horizontal="left" indent="2"/>
    </xf>
    <xf numFmtId="0" fontId="33" fillId="31" borderId="0" xfId="0" applyFont="1" applyFill="1" applyAlignment="1">
      <alignment horizontal="center" wrapText="1"/>
    </xf>
    <xf numFmtId="0" fontId="24" fillId="8"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0" borderId="0" xfId="0" applyFont="1" applyAlignment="1">
      <alignment horizontal="center" wrapText="1"/>
    </xf>
    <xf numFmtId="0" fontId="25" fillId="33" borderId="0" xfId="0" applyFont="1" applyFill="1" applyAlignment="1">
      <alignment wrapText="1"/>
    </xf>
    <xf numFmtId="0" fontId="25" fillId="34" borderId="0" xfId="0" applyFont="1" applyFill="1" applyAlignment="1">
      <alignment wrapText="1"/>
    </xf>
    <xf numFmtId="0" fontId="24" fillId="32" borderId="0" xfId="0" applyFont="1" applyFill="1" applyAlignment="1">
      <alignment horizontal="center" wrapText="1"/>
    </xf>
    <xf numFmtId="166" fontId="0" fillId="0" borderId="6" xfId="0" applyNumberFormat="1" applyBorder="1"/>
    <xf numFmtId="164" fontId="1" fillId="0" borderId="15" xfId="2" applyNumberFormat="1" applyFont="1" applyBorder="1"/>
    <xf numFmtId="0" fontId="0" fillId="10" borderId="15" xfId="0" applyFill="1" applyBorder="1" applyAlignment="1">
      <alignment horizontal="right"/>
    </xf>
    <xf numFmtId="166" fontId="0" fillId="10" borderId="16" xfId="0" applyNumberFormat="1" applyFill="1" applyBorder="1"/>
    <xf numFmtId="0" fontId="0" fillId="0" borderId="15" xfId="0" applyBorder="1" applyAlignment="1">
      <alignment horizontal="right"/>
    </xf>
    <xf numFmtId="0" fontId="0" fillId="25" borderId="15" xfId="0" applyFill="1" applyBorder="1" applyAlignment="1">
      <alignment horizontal="right"/>
    </xf>
    <xf numFmtId="166" fontId="0" fillId="25" borderId="16" xfId="0" applyNumberFormat="1" applyFill="1" applyBorder="1" applyAlignment="1">
      <alignment horizontal="right"/>
    </xf>
    <xf numFmtId="166" fontId="0" fillId="17" borderId="16" xfId="0" applyNumberFormat="1" applyFill="1" applyBorder="1"/>
    <xf numFmtId="166" fontId="0" fillId="25" borderId="16" xfId="0" applyNumberFormat="1" applyFill="1" applyBorder="1"/>
    <xf numFmtId="0" fontId="27" fillId="26" borderId="1" xfId="0" applyFont="1" applyFill="1" applyBorder="1" applyAlignment="1">
      <alignment horizontal="left" vertical="center"/>
    </xf>
    <xf numFmtId="1" fontId="27" fillId="26" borderId="1" xfId="0" applyNumberFormat="1" applyFont="1" applyFill="1" applyBorder="1" applyAlignment="1">
      <alignment horizontal="left" vertical="center"/>
    </xf>
    <xf numFmtId="1" fontId="2" fillId="21" borderId="1" xfId="0" applyNumberFormat="1" applyFont="1" applyFill="1" applyBorder="1" applyAlignment="1">
      <alignment horizontal="center" wrapText="1"/>
    </xf>
    <xf numFmtId="169" fontId="27" fillId="26" borderId="1" xfId="0" applyNumberFormat="1" applyFont="1" applyFill="1" applyBorder="1" applyAlignment="1">
      <alignment horizontal="left" vertical="center"/>
    </xf>
    <xf numFmtId="169" fontId="27" fillId="29" borderId="1" xfId="0" applyNumberFormat="1" applyFont="1"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39" fillId="0" borderId="0" xfId="0" applyFont="1"/>
    <xf numFmtId="0" fontId="32" fillId="14" borderId="1" xfId="0" applyFont="1" applyFill="1" applyBorder="1"/>
    <xf numFmtId="0" fontId="7" fillId="14" borderId="1" xfId="0" applyFont="1" applyFill="1" applyBorder="1"/>
    <xf numFmtId="165" fontId="32" fillId="14" borderId="1" xfId="1" applyNumberFormat="1" applyFont="1" applyFill="1" applyBorder="1"/>
    <xf numFmtId="9" fontId="32" fillId="14" borderId="1" xfId="2" applyFont="1" applyFill="1" applyBorder="1"/>
    <xf numFmtId="14" fontId="40" fillId="14" borderId="1" xfId="1" applyNumberFormat="1" applyFont="1" applyFill="1" applyBorder="1"/>
    <xf numFmtId="0" fontId="0" fillId="0" borderId="0" xfId="0" applyAlignment="1">
      <alignment horizontal="center"/>
    </xf>
    <xf numFmtId="0" fontId="2" fillId="10" borderId="1" xfId="0" applyFont="1" applyFill="1" applyBorder="1" applyAlignment="1">
      <alignment horizontal="center"/>
    </xf>
    <xf numFmtId="0" fontId="2" fillId="16" borderId="1" xfId="0" applyFont="1" applyFill="1" applyBorder="1" applyAlignment="1">
      <alignment horizontal="center"/>
    </xf>
    <xf numFmtId="0" fontId="2" fillId="21" borderId="1" xfId="0" applyFont="1" applyFill="1" applyBorder="1" applyAlignment="1">
      <alignment horizontal="center"/>
    </xf>
    <xf numFmtId="166" fontId="0" fillId="0" borderId="0" xfId="0" applyNumberFormat="1" applyAlignment="1">
      <alignment horizontal="center"/>
    </xf>
    <xf numFmtId="0" fontId="45" fillId="38" borderId="1" xfId="0" applyFont="1" applyFill="1" applyBorder="1" applyAlignment="1">
      <alignment horizontal="center" vertical="top" wrapText="1"/>
    </xf>
    <xf numFmtId="0" fontId="46" fillId="38"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46" fillId="39" borderId="1" xfId="0" applyFont="1" applyFill="1" applyBorder="1" applyAlignment="1">
      <alignment horizontal="center" vertical="top" wrapText="1"/>
    </xf>
    <xf numFmtId="166" fontId="2" fillId="3" borderId="0" xfId="0" applyNumberFormat="1" applyFont="1" applyFill="1" applyAlignment="1">
      <alignment horizontal="center"/>
    </xf>
    <xf numFmtId="166" fontId="2" fillId="0" borderId="0" xfId="0" applyNumberFormat="1" applyFont="1" applyAlignment="1">
      <alignment horizontal="center"/>
    </xf>
    <xf numFmtId="0" fontId="45" fillId="39" borderId="0" xfId="0" applyFont="1" applyFill="1" applyBorder="1" applyAlignment="1">
      <alignment horizontal="center" vertical="top" wrapText="1"/>
    </xf>
    <xf numFmtId="0" fontId="45" fillId="38" borderId="0" xfId="0" applyFont="1" applyFill="1" applyBorder="1" applyAlignment="1">
      <alignment horizontal="center" vertical="top" wrapText="1"/>
    </xf>
    <xf numFmtId="166" fontId="47" fillId="38" borderId="0" xfId="0" applyNumberFormat="1" applyFont="1" applyFill="1" applyBorder="1" applyAlignment="1">
      <alignment horizontal="center" vertical="top" wrapText="1"/>
    </xf>
    <xf numFmtId="166" fontId="2" fillId="16" borderId="0" xfId="0" applyNumberFormat="1" applyFont="1" applyFill="1" applyAlignment="1">
      <alignment horizontal="center"/>
    </xf>
    <xf numFmtId="166" fontId="48" fillId="40" borderId="0" xfId="0" applyNumberFormat="1" applyFont="1" applyFill="1" applyBorder="1" applyAlignment="1">
      <alignment horizontal="center" vertical="top" wrapText="1"/>
    </xf>
    <xf numFmtId="0" fontId="48" fillId="39" borderId="1" xfId="0" applyFont="1" applyFill="1" applyBorder="1" applyAlignment="1">
      <alignment horizontal="center" vertical="top" wrapText="1"/>
    </xf>
    <xf numFmtId="0" fontId="48" fillId="38" borderId="1" xfId="0" applyFont="1" applyFill="1" applyBorder="1" applyAlignment="1">
      <alignment horizontal="center" vertical="top" wrapText="1"/>
    </xf>
    <xf numFmtId="0" fontId="0" fillId="0" borderId="0" xfId="0" applyAlignment="1">
      <alignment horizontal="center"/>
    </xf>
    <xf numFmtId="0" fontId="0" fillId="0" borderId="0" xfId="0" applyAlignment="1">
      <alignment wrapText="1"/>
    </xf>
    <xf numFmtId="168" fontId="2" fillId="0" borderId="0" xfId="3" applyNumberFormat="1" applyFont="1"/>
    <xf numFmtId="0" fontId="2" fillId="3" borderId="0" xfId="0" applyFont="1" applyFill="1" applyAlignment="1">
      <alignment horizontal="center" wrapText="1"/>
    </xf>
    <xf numFmtId="0" fontId="32" fillId="0" borderId="0" xfId="0" applyFont="1"/>
    <xf numFmtId="0" fontId="50" fillId="0" borderId="0" xfId="5" applyFont="1" applyFill="1"/>
    <xf numFmtId="0" fontId="50" fillId="0" borderId="0" xfId="5" applyFont="1"/>
    <xf numFmtId="0" fontId="36" fillId="0" borderId="0" xfId="5" applyFont="1" applyFill="1"/>
    <xf numFmtId="0" fontId="42" fillId="0" borderId="0" xfId="0" applyFont="1" applyFill="1" applyBorder="1" applyAlignment="1">
      <alignment horizontal="center" vertical="center"/>
    </xf>
    <xf numFmtId="0" fontId="35" fillId="0" borderId="0" xfId="5" applyFont="1" applyFill="1" applyBorder="1" applyAlignment="1">
      <alignment horizontal="left"/>
    </xf>
    <xf numFmtId="0" fontId="35" fillId="0" borderId="0" xfId="5" applyFont="1" applyFill="1" applyBorder="1" applyAlignment="1">
      <alignment horizontal="center"/>
    </xf>
    <xf numFmtId="0" fontId="7" fillId="0" borderId="0" xfId="0" applyFont="1"/>
    <xf numFmtId="0" fontId="51" fillId="0" borderId="0" xfId="5" applyFont="1" applyFill="1"/>
    <xf numFmtId="1" fontId="0" fillId="9" borderId="9" xfId="0" applyNumberFormat="1" applyFill="1" applyBorder="1"/>
    <xf numFmtId="0" fontId="0" fillId="0" borderId="1" xfId="0" applyBorder="1" applyAlignment="1">
      <alignment horizontal="center"/>
    </xf>
    <xf numFmtId="0" fontId="0" fillId="0" borderId="0" xfId="0" applyAlignment="1">
      <alignment horizontal="center"/>
    </xf>
    <xf numFmtId="0" fontId="0" fillId="0" borderId="0" xfId="0" applyAlignment="1">
      <alignment wrapText="1"/>
    </xf>
    <xf numFmtId="0" fontId="52" fillId="0" borderId="0" xfId="5" applyFont="1"/>
    <xf numFmtId="0" fontId="0" fillId="0" borderId="1" xfId="0" applyFont="1" applyBorder="1"/>
    <xf numFmtId="169" fontId="53" fillId="0" borderId="1" xfId="0" applyNumberFormat="1" applyFont="1" applyBorder="1"/>
    <xf numFmtId="0" fontId="27" fillId="29" borderId="1" xfId="0" applyFont="1" applyFill="1" applyBorder="1" applyAlignment="1">
      <alignment horizontal="center" vertical="center"/>
    </xf>
    <xf numFmtId="0" fontId="0" fillId="0" borderId="0" xfId="0" applyFont="1"/>
    <xf numFmtId="0" fontId="22" fillId="0" borderId="0" xfId="5" applyFont="1"/>
    <xf numFmtId="169" fontId="0" fillId="0" borderId="0" xfId="0" applyNumberFormat="1"/>
    <xf numFmtId="0" fontId="27" fillId="0" borderId="0" xfId="0" applyFont="1" applyFill="1"/>
    <xf numFmtId="0" fontId="2" fillId="0" borderId="0" xfId="0" applyFont="1" applyFill="1" applyAlignment="1">
      <alignment wrapText="1"/>
    </xf>
    <xf numFmtId="0" fontId="0" fillId="0" borderId="0" xfId="0" applyFill="1" applyAlignment="1">
      <alignment wrapText="1"/>
    </xf>
    <xf numFmtId="0" fontId="14" fillId="0" borderId="0" xfId="0" applyFont="1" applyFill="1" applyBorder="1" applyAlignment="1">
      <alignment wrapText="1"/>
    </xf>
    <xf numFmtId="0" fontId="25" fillId="0" borderId="0" xfId="0" applyFont="1" applyFill="1"/>
    <xf numFmtId="0" fontId="55" fillId="0" borderId="0" xfId="0" applyFont="1"/>
    <xf numFmtId="0" fontId="56" fillId="0" borderId="1" xfId="0" applyFont="1" applyBorder="1" applyAlignment="1">
      <alignment wrapText="1"/>
    </xf>
    <xf numFmtId="0" fontId="56" fillId="0" borderId="0" xfId="0" applyFont="1"/>
    <xf numFmtId="0" fontId="57" fillId="0" borderId="0" xfId="0" applyFont="1"/>
    <xf numFmtId="0" fontId="56" fillId="3" borderId="1" xfId="0" applyFont="1" applyFill="1" applyBorder="1" applyAlignment="1">
      <alignment wrapText="1"/>
    </xf>
    <xf numFmtId="0" fontId="2" fillId="3" borderId="0" xfId="0" applyFont="1" applyFill="1" applyBorder="1" applyAlignment="1">
      <alignment wrapText="1"/>
    </xf>
    <xf numFmtId="0" fontId="0" fillId="0" borderId="0" xfId="0" applyFont="1" applyBorder="1" applyAlignment="1">
      <alignment wrapText="1"/>
    </xf>
    <xf numFmtId="0" fontId="56" fillId="0" borderId="8" xfId="0" applyFont="1" applyBorder="1" applyAlignment="1">
      <alignment wrapText="1"/>
    </xf>
    <xf numFmtId="0" fontId="56" fillId="0" borderId="2" xfId="0" applyFont="1" applyBorder="1" applyAlignment="1">
      <alignment wrapText="1"/>
    </xf>
    <xf numFmtId="168" fontId="0" fillId="0" borderId="0" xfId="3" applyNumberFormat="1" applyFont="1"/>
    <xf numFmtId="172" fontId="0" fillId="0" borderId="1" xfId="0" applyNumberFormat="1" applyBorder="1"/>
    <xf numFmtId="0" fontId="2" fillId="3" borderId="1" xfId="0" applyFont="1" applyFill="1" applyBorder="1"/>
    <xf numFmtId="164" fontId="0" fillId="3" borderId="1" xfId="2" applyNumberFormat="1" applyFont="1" applyFill="1" applyBorder="1"/>
    <xf numFmtId="0" fontId="0" fillId="0" borderId="0" xfId="0" applyAlignment="1">
      <alignment horizontal="center"/>
    </xf>
    <xf numFmtId="0" fontId="36" fillId="0" borderId="0" xfId="5" applyFont="1" applyFill="1" applyAlignment="1">
      <alignment horizontal="center"/>
    </xf>
    <xf numFmtId="0" fontId="38" fillId="0" borderId="0" xfId="5" applyFont="1" applyFill="1" applyAlignment="1">
      <alignment horizontal="center"/>
    </xf>
    <xf numFmtId="0" fontId="32" fillId="0" borderId="1" xfId="0" applyFont="1" applyFill="1" applyBorder="1"/>
    <xf numFmtId="2" fontId="58" fillId="0" borderId="0" xfId="0" applyNumberFormat="1" applyFont="1"/>
    <xf numFmtId="0" fontId="59" fillId="0" borderId="1" xfId="0" applyFont="1" applyBorder="1" applyAlignment="1">
      <alignment wrapText="1"/>
    </xf>
    <xf numFmtId="14" fontId="0" fillId="0" borderId="0" xfId="0" applyNumberFormat="1"/>
    <xf numFmtId="0" fontId="14" fillId="0" borderId="0" xfId="0" applyFont="1"/>
    <xf numFmtId="0" fontId="0" fillId="0" borderId="0" xfId="0" applyAlignment="1">
      <alignment wrapText="1"/>
    </xf>
    <xf numFmtId="0" fontId="29" fillId="0" borderId="0" xfId="0" applyFont="1" applyAlignment="1">
      <alignment horizontal="center"/>
    </xf>
    <xf numFmtId="0" fontId="37" fillId="30" borderId="1" xfId="5" applyFont="1" applyFill="1" applyBorder="1" applyAlignment="1">
      <alignment horizontal="right"/>
    </xf>
    <xf numFmtId="0" fontId="27" fillId="29" borderId="1" xfId="0" applyFont="1" applyFill="1" applyBorder="1" applyAlignment="1">
      <alignment horizontal="right" vertical="center"/>
    </xf>
    <xf numFmtId="169" fontId="27" fillId="29" borderId="1" xfId="0" applyNumberFormat="1" applyFont="1" applyFill="1" applyBorder="1" applyAlignment="1">
      <alignment horizontal="center" vertical="center"/>
    </xf>
    <xf numFmtId="169" fontId="36" fillId="0" borderId="0" xfId="5" applyNumberFormat="1" applyFont="1" applyFill="1" applyBorder="1" applyAlignment="1">
      <alignment horizontal="center"/>
    </xf>
    <xf numFmtId="0" fontId="30" fillId="22" borderId="1" xfId="0" applyFont="1" applyFill="1" applyBorder="1" applyAlignment="1"/>
    <xf numFmtId="0" fontId="41" fillId="37" borderId="1" xfId="0" applyFont="1" applyFill="1" applyBorder="1" applyAlignment="1">
      <alignment horizontal="center" vertical="center"/>
    </xf>
    <xf numFmtId="0" fontId="42" fillId="37" borderId="1" xfId="0" applyFont="1" applyFill="1" applyBorder="1" applyAlignment="1">
      <alignment horizontal="center" vertical="center"/>
    </xf>
    <xf numFmtId="0" fontId="41" fillId="37" borderId="1" xfId="0" applyFont="1" applyFill="1" applyBorder="1" applyAlignment="1">
      <alignment horizontal="right" vertical="center"/>
    </xf>
    <xf numFmtId="0" fontId="49" fillId="28" borderId="1" xfId="0" applyFont="1" applyFill="1" applyBorder="1" applyAlignment="1">
      <alignment horizontal="center" vertical="center"/>
    </xf>
    <xf numFmtId="1" fontId="54" fillId="23" borderId="1" xfId="0" applyNumberFormat="1" applyFont="1" applyFill="1" applyBorder="1" applyAlignment="1">
      <alignment horizontal="left" vertical="center"/>
    </xf>
    <xf numFmtId="0" fontId="37" fillId="0" borderId="1" xfId="5" applyFont="1" applyBorder="1"/>
    <xf numFmtId="0" fontId="61" fillId="0" borderId="1" xfId="5" applyFont="1" applyFill="1" applyBorder="1"/>
    <xf numFmtId="0" fontId="0" fillId="0" borderId="0" xfId="0" applyAlignment="1">
      <alignment wrapText="1"/>
    </xf>
    <xf numFmtId="169" fontId="27" fillId="26" borderId="1" xfId="0" applyNumberFormat="1" applyFont="1" applyFill="1" applyBorder="1" applyAlignment="1">
      <alignment horizontal="center" vertical="center"/>
    </xf>
    <xf numFmtId="169" fontId="54" fillId="29" borderId="1" xfId="0" applyNumberFormat="1" applyFont="1" applyFill="1" applyBorder="1" applyAlignment="1">
      <alignment horizontal="left" vertical="center"/>
    </xf>
    <xf numFmtId="164" fontId="14" fillId="0" borderId="0" xfId="2" applyNumberFormat="1" applyFont="1"/>
    <xf numFmtId="0" fontId="62" fillId="0" borderId="0" xfId="5" applyFont="1" applyFill="1" applyBorder="1" applyAlignment="1">
      <alignment horizontal="center"/>
    </xf>
    <xf numFmtId="171" fontId="60" fillId="0" borderId="1" xfId="3" applyNumberFormat="1" applyFont="1" applyBorder="1" applyAlignment="1">
      <alignment horizontal="center"/>
    </xf>
    <xf numFmtId="0" fontId="0" fillId="0" borderId="0" xfId="0" applyAlignment="1">
      <alignment horizontal="center"/>
    </xf>
    <xf numFmtId="168" fontId="63" fillId="0" borderId="0" xfId="0" applyNumberFormat="1" applyFont="1" applyAlignment="1">
      <alignment horizontal="right"/>
    </xf>
    <xf numFmtId="169" fontId="36" fillId="0" borderId="0" xfId="5" applyNumberFormat="1" applyFont="1" applyFill="1" applyBorder="1" applyAlignment="1"/>
    <xf numFmtId="171" fontId="49" fillId="29" borderId="1" xfId="3" applyNumberFormat="1" applyFont="1" applyFill="1" applyBorder="1" applyAlignment="1">
      <alignment horizontal="right" vertical="center"/>
    </xf>
    <xf numFmtId="171" fontId="54" fillId="29" borderId="1" xfId="3" applyNumberFormat="1" applyFont="1" applyFill="1" applyBorder="1" applyAlignment="1">
      <alignment horizontal="right" vertical="center"/>
    </xf>
    <xf numFmtId="0" fontId="0" fillId="0" borderId="0" xfId="0" applyAlignment="1">
      <alignment horizontal="center"/>
    </xf>
    <xf numFmtId="0" fontId="8" fillId="0" borderId="0" xfId="0" applyFont="1"/>
    <xf numFmtId="14" fontId="8" fillId="0" borderId="0" xfId="0" applyNumberFormat="1" applyFont="1"/>
    <xf numFmtId="0" fontId="8" fillId="0" borderId="0" xfId="0" applyFont="1" applyAlignment="1">
      <alignment horizontal="center"/>
    </xf>
    <xf numFmtId="0" fontId="0" fillId="0" borderId="0" xfId="0" applyFont="1" applyAlignment="1">
      <alignment horizontal="center"/>
    </xf>
    <xf numFmtId="0" fontId="2" fillId="16" borderId="0" xfId="0" applyFont="1" applyFill="1" applyAlignment="1">
      <alignment horizontal="center"/>
    </xf>
    <xf numFmtId="14" fontId="0" fillId="16" borderId="0" xfId="0" applyNumberFormat="1" applyFill="1" applyAlignment="1">
      <alignment horizontal="center"/>
    </xf>
    <xf numFmtId="168" fontId="54" fillId="29" borderId="1" xfId="3" applyNumberFormat="1" applyFont="1" applyFill="1" applyBorder="1" applyAlignment="1">
      <alignment horizontal="right" vertical="center"/>
    </xf>
    <xf numFmtId="0" fontId="0" fillId="0" borderId="0" xfId="0" applyAlignment="1">
      <alignment wrapText="1"/>
    </xf>
    <xf numFmtId="0" fontId="0" fillId="0" borderId="0" xfId="0" applyAlignment="1">
      <alignment horizontal="center"/>
    </xf>
    <xf numFmtId="0" fontId="2" fillId="0" borderId="0" xfId="0" applyFont="1" applyFill="1" applyBorder="1" applyAlignment="1">
      <alignment horizontal="center"/>
    </xf>
    <xf numFmtId="0" fontId="0" fillId="0" borderId="0" xfId="0" applyAlignment="1">
      <alignment horizontal="center"/>
    </xf>
    <xf numFmtId="0" fontId="0" fillId="0" borderId="0" xfId="0" applyAlignment="1">
      <alignment wrapText="1"/>
    </xf>
    <xf numFmtId="2" fontId="58" fillId="0" borderId="0" xfId="0" applyNumberFormat="1" applyFont="1" applyAlignment="1">
      <alignment horizontal="center"/>
    </xf>
    <xf numFmtId="0" fontId="2" fillId="23" borderId="1" xfId="0" applyFont="1" applyFill="1" applyBorder="1" applyAlignment="1">
      <alignment horizontal="center"/>
    </xf>
    <xf numFmtId="0" fontId="2" fillId="3" borderId="0" xfId="0" applyFont="1" applyFill="1" applyAlignment="1">
      <alignment horizontal="center"/>
    </xf>
    <xf numFmtId="170" fontId="0" fillId="0" borderId="0" xfId="0" applyNumberFormat="1" applyAlignment="1">
      <alignment horizontal="center"/>
    </xf>
    <xf numFmtId="0" fontId="0" fillId="0" borderId="0" xfId="0" applyAlignment="1">
      <alignment horizontal="center"/>
    </xf>
    <xf numFmtId="0" fontId="0" fillId="21" borderId="1" xfId="0" applyFill="1" applyBorder="1"/>
    <xf numFmtId="0" fontId="2" fillId="21" borderId="1" xfId="0" applyFont="1" applyFill="1" applyBorder="1"/>
    <xf numFmtId="165" fontId="0" fillId="21" borderId="1" xfId="1" applyNumberFormat="1" applyFont="1" applyFill="1" applyBorder="1"/>
    <xf numFmtId="9" fontId="0" fillId="21" borderId="1" xfId="2" applyFont="1" applyFill="1" applyBorder="1" applyAlignment="1">
      <alignment horizontal="right"/>
    </xf>
    <xf numFmtId="14" fontId="25" fillId="21" borderId="1" xfId="1" applyNumberFormat="1" applyFont="1" applyFill="1" applyBorder="1"/>
    <xf numFmtId="168" fontId="0" fillId="21" borderId="1" xfId="3" applyNumberFormat="1" applyFont="1" applyFill="1" applyBorder="1"/>
    <xf numFmtId="1" fontId="0" fillId="0" borderId="0" xfId="0" applyNumberFormat="1" applyAlignment="1">
      <alignment horizontal="center"/>
    </xf>
    <xf numFmtId="0" fontId="0" fillId="0" borderId="0" xfId="0" applyAlignment="1">
      <alignment horizontal="center"/>
    </xf>
    <xf numFmtId="166" fontId="0" fillId="0" borderId="0" xfId="0" applyNumberFormat="1" applyAlignment="1">
      <alignment wrapText="1"/>
    </xf>
    <xf numFmtId="0" fontId="49" fillId="24" borderId="1" xfId="0" applyFont="1" applyFill="1" applyBorder="1" applyAlignment="1">
      <alignment horizontal="center" vertical="center"/>
    </xf>
    <xf numFmtId="14" fontId="0" fillId="0" borderId="1" xfId="0" applyNumberFormat="1" applyBorder="1" applyAlignment="1">
      <alignment horizontal="center"/>
    </xf>
    <xf numFmtId="169" fontId="37" fillId="0" borderId="1" xfId="5" applyNumberFormat="1" applyFont="1" applyFill="1" applyBorder="1" applyAlignment="1">
      <alignment horizontal="center"/>
    </xf>
    <xf numFmtId="169" fontId="36" fillId="0" borderId="1" xfId="5" applyNumberFormat="1" applyFont="1" applyFill="1" applyBorder="1" applyAlignment="1">
      <alignment horizontal="center"/>
    </xf>
    <xf numFmtId="168" fontId="36" fillId="0" borderId="1" xfId="3" applyNumberFormat="1" applyFont="1" applyFill="1" applyBorder="1" applyAlignment="1">
      <alignment horizontal="center"/>
    </xf>
    <xf numFmtId="0" fontId="2" fillId="0" borderId="0" xfId="0" applyFont="1" applyAlignment="1">
      <alignment horizontal="center" vertical="center" wrapText="1"/>
    </xf>
    <xf numFmtId="0" fontId="0" fillId="12" borderId="1" xfId="0" applyFill="1" applyBorder="1"/>
    <xf numFmtId="0" fontId="0" fillId="18" borderId="1" xfId="0" applyFill="1" applyBorder="1"/>
    <xf numFmtId="0" fontId="7" fillId="12" borderId="1" xfId="0" applyFont="1" applyFill="1" applyBorder="1" applyAlignment="1">
      <alignment horizontal="center"/>
    </xf>
    <xf numFmtId="0" fontId="7" fillId="18" borderId="1" xfId="0" applyFont="1" applyFill="1" applyBorder="1" applyAlignment="1">
      <alignment horizontal="center"/>
    </xf>
    <xf numFmtId="2" fontId="32" fillId="0" borderId="1" xfId="0" applyNumberFormat="1" applyFont="1" applyFill="1" applyBorder="1" applyAlignment="1">
      <alignment horizontal="center"/>
    </xf>
    <xf numFmtId="1" fontId="31" fillId="0" borderId="0" xfId="0" applyNumberFormat="1" applyFont="1" applyFill="1"/>
    <xf numFmtId="2" fontId="7" fillId="0" borderId="1" xfId="0" applyNumberFormat="1" applyFont="1" applyFill="1" applyBorder="1" applyAlignment="1">
      <alignment horizontal="center"/>
    </xf>
    <xf numFmtId="2" fontId="2" fillId="0" borderId="0" xfId="0" applyNumberFormat="1" applyFont="1"/>
    <xf numFmtId="1" fontId="7" fillId="0" borderId="1" xfId="0" applyNumberFormat="1" applyFont="1" applyFill="1" applyBorder="1" applyAlignment="1">
      <alignment horizontal="center"/>
    </xf>
    <xf numFmtId="0" fontId="7" fillId="0" borderId="0" xfId="0" applyFont="1" applyFill="1"/>
    <xf numFmtId="0" fontId="0" fillId="0" borderId="0" xfId="0" applyAlignment="1">
      <alignment horizontal="center"/>
    </xf>
    <xf numFmtId="169" fontId="32" fillId="0" borderId="0" xfId="0" applyNumberFormat="1" applyFont="1" applyFill="1"/>
    <xf numFmtId="0" fontId="0" fillId="0" borderId="0" xfId="0" applyAlignment="1">
      <alignment horizontal="center"/>
    </xf>
    <xf numFmtId="0" fontId="0" fillId="0" borderId="0" xfId="0" applyAlignment="1">
      <alignment wrapText="1"/>
    </xf>
    <xf numFmtId="0" fontId="2" fillId="20" borderId="5" xfId="0" applyFont="1" applyFill="1" applyBorder="1" applyAlignment="1">
      <alignment horizontal="center" wrapText="1"/>
    </xf>
    <xf numFmtId="0" fontId="2" fillId="21" borderId="5" xfId="0" applyFont="1" applyFill="1" applyBorder="1" applyAlignment="1">
      <alignment horizontal="center" wrapText="1"/>
    </xf>
    <xf numFmtId="0" fontId="2" fillId="0" borderId="0" xfId="0" applyFont="1" applyFill="1" applyAlignment="1">
      <alignment horizontal="center"/>
    </xf>
    <xf numFmtId="167" fontId="2" fillId="0" borderId="0" xfId="0" applyNumberFormat="1" applyFont="1" applyAlignment="1">
      <alignment horizontal="center"/>
    </xf>
    <xf numFmtId="0" fontId="2" fillId="30" borderId="1" xfId="0" applyFont="1" applyFill="1" applyBorder="1" applyAlignment="1">
      <alignment horizontal="center"/>
    </xf>
    <xf numFmtId="164" fontId="16" fillId="0" borderId="5" xfId="2" applyNumberFormat="1" applyFont="1" applyFill="1" applyBorder="1" applyAlignment="1">
      <alignment horizontal="center"/>
    </xf>
    <xf numFmtId="164" fontId="0" fillId="0" borderId="0" xfId="2" applyNumberFormat="1" applyFont="1" applyAlignment="1">
      <alignment horizontal="center"/>
    </xf>
    <xf numFmtId="0" fontId="54" fillId="0" borderId="1" xfId="0" applyFont="1" applyFill="1" applyBorder="1" applyAlignment="1">
      <alignment horizontal="left" vertical="center"/>
    </xf>
    <xf numFmtId="166" fontId="8" fillId="18" borderId="1" xfId="0" applyNumberFormat="1" applyFont="1" applyFill="1" applyBorder="1"/>
    <xf numFmtId="166" fontId="8" fillId="23" borderId="1" xfId="0" applyNumberFormat="1" applyFont="1" applyFill="1" applyBorder="1" applyAlignment="1">
      <alignment horizontal="center"/>
    </xf>
    <xf numFmtId="0" fontId="0" fillId="15" borderId="1" xfId="0" applyFill="1" applyBorder="1"/>
    <xf numFmtId="0" fontId="2" fillId="15" borderId="1" xfId="0" applyFont="1" applyFill="1" applyBorder="1"/>
    <xf numFmtId="165" fontId="0" fillId="15" borderId="1" xfId="1" applyNumberFormat="1" applyFont="1" applyFill="1" applyBorder="1"/>
    <xf numFmtId="9" fontId="0" fillId="15" borderId="1" xfId="2" applyFont="1" applyFill="1" applyBorder="1" applyAlignment="1">
      <alignment horizontal="right"/>
    </xf>
    <xf numFmtId="14" fontId="25" fillId="15" borderId="1" xfId="1" applyNumberFormat="1" applyFont="1" applyFill="1" applyBorder="1"/>
    <xf numFmtId="168" fontId="0" fillId="15" borderId="1" xfId="3" applyNumberFormat="1" applyFont="1" applyFill="1" applyBorder="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66" fontId="0" fillId="0" borderId="0" xfId="0" applyNumberFormat="1" applyFill="1"/>
    <xf numFmtId="0" fontId="32" fillId="0" borderId="1" xfId="0" applyFont="1" applyBorder="1"/>
    <xf numFmtId="169" fontId="64" fillId="0" borderId="1" xfId="0" applyNumberFormat="1" applyFont="1" applyBorder="1"/>
    <xf numFmtId="0" fontId="61" fillId="30" borderId="1" xfId="5" applyFont="1" applyFill="1" applyBorder="1" applyAlignment="1">
      <alignment horizontal="right"/>
    </xf>
    <xf numFmtId="0" fontId="54" fillId="26" borderId="1" xfId="0" applyFont="1" applyFill="1" applyBorder="1" applyAlignment="1">
      <alignment horizontal="left" vertical="center"/>
    </xf>
    <xf numFmtId="0" fontId="54" fillId="29" borderId="1" xfId="0" applyFont="1" applyFill="1" applyBorder="1" applyAlignment="1">
      <alignment horizontal="center" vertical="center"/>
    </xf>
    <xf numFmtId="169" fontId="54" fillId="29" borderId="1" xfId="0" applyNumberFormat="1" applyFont="1" applyFill="1" applyBorder="1" applyAlignment="1">
      <alignment horizontal="center" vertical="center"/>
    </xf>
    <xf numFmtId="168" fontId="0" fillId="0" borderId="0" xfId="0" applyNumberFormat="1"/>
    <xf numFmtId="0" fontId="0" fillId="0" borderId="0" xfId="0" applyAlignment="1">
      <alignment horizontal="center"/>
    </xf>
    <xf numFmtId="0" fontId="0" fillId="0" borderId="0" xfId="0" applyAlignment="1">
      <alignment wrapText="1"/>
    </xf>
    <xf numFmtId="0" fontId="65" fillId="0" borderId="1" xfId="0" applyFont="1" applyFill="1" applyBorder="1" applyAlignment="1">
      <alignment horizontal="left" vertical="center"/>
    </xf>
    <xf numFmtId="1" fontId="54" fillId="26" borderId="1" xfId="0" applyNumberFormat="1" applyFont="1" applyFill="1" applyBorder="1" applyAlignment="1">
      <alignment horizontal="left" vertical="center"/>
    </xf>
    <xf numFmtId="0" fontId="66" fillId="0" borderId="1" xfId="0" applyFont="1" applyFill="1" applyBorder="1" applyAlignment="1">
      <alignment horizontal="left" vertical="center"/>
    </xf>
    <xf numFmtId="0" fontId="0" fillId="14" borderId="1" xfId="0" applyFill="1" applyBorder="1"/>
    <xf numFmtId="0" fontId="2" fillId="14" borderId="1" xfId="0" applyFont="1" applyFill="1" applyBorder="1"/>
    <xf numFmtId="165" fontId="0" fillId="14" borderId="1" xfId="1" applyNumberFormat="1" applyFont="1" applyFill="1" applyBorder="1"/>
    <xf numFmtId="9" fontId="0" fillId="14" borderId="1" xfId="2" applyFont="1" applyFill="1" applyBorder="1" applyAlignment="1">
      <alignment horizontal="right"/>
    </xf>
    <xf numFmtId="14" fontId="25" fillId="14" borderId="1" xfId="1" applyNumberFormat="1" applyFont="1" applyFill="1" applyBorder="1"/>
    <xf numFmtId="168" fontId="0" fillId="14" borderId="1" xfId="3" applyNumberFormat="1" applyFont="1" applyFill="1" applyBorder="1"/>
    <xf numFmtId="0" fontId="28" fillId="0" borderId="1" xfId="0" applyFont="1" applyFill="1" applyBorder="1" applyAlignment="1">
      <alignment horizontal="left" vertical="center"/>
    </xf>
    <xf numFmtId="10" fontId="0" fillId="0" borderId="0" xfId="2" applyNumberFormat="1" applyFont="1"/>
    <xf numFmtId="0" fontId="2" fillId="3" borderId="0" xfId="0" applyFont="1" applyFill="1"/>
    <xf numFmtId="170" fontId="0" fillId="0" borderId="0" xfId="0" applyNumberFormat="1"/>
    <xf numFmtId="9" fontId="0" fillId="0" borderId="0" xfId="2" applyFont="1" applyAlignment="1">
      <alignment horizontal="center"/>
    </xf>
    <xf numFmtId="14" fontId="36" fillId="0" borderId="0" xfId="5" applyNumberFormat="1" applyFont="1" applyFill="1" applyAlignment="1">
      <alignment horizontal="center"/>
    </xf>
    <xf numFmtId="0" fontId="49" fillId="4" borderId="1" xfId="0" applyFont="1" applyFill="1" applyBorder="1" applyAlignment="1">
      <alignment horizontal="center" vertical="center"/>
    </xf>
    <xf numFmtId="0" fontId="41" fillId="4"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1" fontId="36" fillId="0" borderId="0" xfId="5" applyNumberFormat="1" applyFont="1" applyFill="1" applyAlignment="1">
      <alignment horizontal="center"/>
    </xf>
    <xf numFmtId="0" fontId="0" fillId="3" borderId="0" xfId="0" applyFill="1" applyAlignment="1">
      <alignment horizontal="center"/>
    </xf>
    <xf numFmtId="1" fontId="67" fillId="0" borderId="0" xfId="5" applyNumberFormat="1" applyFont="1" applyFill="1" applyAlignment="1">
      <alignment horizontal="center"/>
    </xf>
    <xf numFmtId="0" fontId="0" fillId="0" borderId="0" xfId="0" applyAlignment="1">
      <alignment horizontal="center"/>
    </xf>
    <xf numFmtId="170" fontId="0" fillId="0" borderId="0" xfId="0" applyNumberFormat="1" applyAlignment="1">
      <alignment horizontal="right"/>
    </xf>
    <xf numFmtId="0" fontId="0" fillId="0" borderId="0" xfId="0" applyAlignment="1">
      <alignment horizontal="center"/>
    </xf>
    <xf numFmtId="0" fontId="41" fillId="37" borderId="13" xfId="0" applyFont="1" applyFill="1" applyBorder="1" applyAlignment="1">
      <alignment horizontal="center" vertical="center"/>
    </xf>
    <xf numFmtId="14" fontId="27" fillId="26" borderId="0"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2" fontId="31" fillId="0" borderId="0" xfId="0" applyNumberFormat="1" applyFont="1"/>
    <xf numFmtId="2" fontId="52" fillId="0" borderId="0" xfId="5" applyNumberFormat="1" applyFont="1"/>
    <xf numFmtId="0" fontId="36" fillId="0" borderId="1" xfId="5" applyFont="1" applyBorder="1" applyAlignment="1">
      <alignment horizontal="center"/>
    </xf>
    <xf numFmtId="0" fontId="68" fillId="0" borderId="1" xfId="5" applyFont="1" applyFill="1"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0" fillId="0" borderId="0" xfId="0" applyFont="1" applyBorder="1"/>
    <xf numFmtId="170" fontId="37" fillId="0" borderId="1" xfId="5" applyNumberFormat="1" applyFont="1" applyBorder="1"/>
    <xf numFmtId="170" fontId="61" fillId="0" borderId="1" xfId="5" applyNumberFormat="1" applyFont="1" applyFill="1" applyBorder="1"/>
    <xf numFmtId="170" fontId="0" fillId="0" borderId="1" xfId="0" applyNumberFormat="1" applyFont="1" applyBorder="1"/>
    <xf numFmtId="2" fontId="37" fillId="0" borderId="1" xfId="5" applyNumberFormat="1" applyFont="1" applyBorder="1"/>
    <xf numFmtId="2" fontId="61" fillId="0" borderId="1" xfId="5" applyNumberFormat="1" applyFont="1" applyFill="1" applyBorder="1"/>
    <xf numFmtId="2" fontId="0" fillId="0" borderId="1" xfId="0" applyNumberFormat="1" applyFont="1" applyBorder="1"/>
    <xf numFmtId="170" fontId="36" fillId="0" borderId="1" xfId="5" applyNumberFormat="1" applyFont="1" applyBorder="1"/>
    <xf numFmtId="2" fontId="36" fillId="0" borderId="1" xfId="5" applyNumberFormat="1" applyFont="1" applyBorder="1"/>
    <xf numFmtId="0" fontId="0" fillId="0" borderId="0" xfId="0" applyAlignment="1">
      <alignment horizontal="center"/>
    </xf>
    <xf numFmtId="0" fontId="14" fillId="10" borderId="8" xfId="0" applyFont="1" applyFill="1" applyBorder="1" applyAlignment="1">
      <alignment horizontal="center"/>
    </xf>
    <xf numFmtId="0" fontId="16" fillId="3" borderId="8" xfId="0" applyFont="1" applyFill="1" applyBorder="1" applyAlignment="1">
      <alignment horizontal="center"/>
    </xf>
    <xf numFmtId="9" fontId="0" fillId="0" borderId="1" xfId="0" applyNumberFormat="1" applyBorder="1" applyAlignment="1">
      <alignment horizontal="center"/>
    </xf>
    <xf numFmtId="170" fontId="2" fillId="0" borderId="1" xfId="0" applyNumberFormat="1" applyFont="1" applyFill="1" applyBorder="1" applyAlignment="1">
      <alignment horizontal="center"/>
    </xf>
    <xf numFmtId="170" fontId="16" fillId="3" borderId="1" xfId="0" applyNumberFormat="1" applyFont="1" applyFill="1" applyBorder="1" applyAlignment="1">
      <alignment horizontal="center"/>
    </xf>
    <xf numFmtId="0" fontId="32" fillId="0" borderId="0" xfId="0" applyFont="1" applyAlignment="1">
      <alignment horizontal="center"/>
    </xf>
    <xf numFmtId="0" fontId="0" fillId="0" borderId="0" xfId="0" applyAlignment="1">
      <alignment horizontal="center"/>
    </xf>
    <xf numFmtId="1" fontId="54" fillId="29" borderId="1" xfId="0" applyNumberFormat="1" applyFont="1" applyFill="1" applyBorder="1" applyAlignment="1">
      <alignment horizontal="center" vertical="center"/>
    </xf>
    <xf numFmtId="1" fontId="27" fillId="29" borderId="1" xfId="0" applyNumberFormat="1" applyFont="1" applyFill="1" applyBorder="1" applyAlignment="1">
      <alignment horizontal="center" vertical="center"/>
    </xf>
    <xf numFmtId="0" fontId="68" fillId="30" borderId="1" xfId="5" applyFont="1" applyFill="1" applyBorder="1" applyAlignment="1">
      <alignment horizontal="right"/>
    </xf>
    <xf numFmtId="0" fontId="36" fillId="30" borderId="1" xfId="5" applyFont="1" applyFill="1" applyBorder="1" applyAlignment="1">
      <alignment horizontal="right"/>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14" fontId="32" fillId="0" borderId="0" xfId="0" applyNumberFormat="1" applyFont="1"/>
    <xf numFmtId="1" fontId="69" fillId="0" borderId="0" xfId="5" applyNumberFormat="1" applyFont="1" applyFill="1" applyAlignment="1">
      <alignment horizontal="center"/>
    </xf>
    <xf numFmtId="0" fontId="0" fillId="0" borderId="0" xfId="0" applyAlignment="1">
      <alignment horizontal="center"/>
    </xf>
    <xf numFmtId="0" fontId="0" fillId="0" borderId="0" xfId="0" applyAlignment="1">
      <alignment horizontal="center"/>
    </xf>
    <xf numFmtId="166" fontId="70" fillId="23" borderId="1" xfId="0" applyNumberFormat="1" applyFont="1" applyFill="1" applyBorder="1"/>
    <xf numFmtId="166" fontId="70" fillId="23" borderId="1" xfId="0" applyNumberFormat="1" applyFont="1" applyFill="1" applyBorder="1" applyAlignment="1">
      <alignment horizontal="center"/>
    </xf>
    <xf numFmtId="166" fontId="71" fillId="23" borderId="1" xfId="0" applyNumberFormat="1" applyFont="1" applyFill="1" applyBorder="1"/>
    <xf numFmtId="166" fontId="70" fillId="18" borderId="1" xfId="0" applyNumberFormat="1" applyFont="1" applyFill="1" applyBorder="1"/>
    <xf numFmtId="166" fontId="72" fillId="18" borderId="1" xfId="0" applyNumberFormat="1" applyFont="1" applyFill="1" applyBorder="1"/>
    <xf numFmtId="166" fontId="73" fillId="22" borderId="1" xfId="0" applyNumberFormat="1" applyFont="1" applyFill="1" applyBorder="1"/>
    <xf numFmtId="166" fontId="0" fillId="18" borderId="1" xfId="0" applyNumberFormat="1" applyFont="1" applyFill="1" applyBorder="1"/>
    <xf numFmtId="166" fontId="0" fillId="23" borderId="1" xfId="0" applyNumberFormat="1" applyFont="1" applyFill="1" applyBorder="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2" fillId="0" borderId="1" xfId="0" applyFont="1" applyFill="1" applyBorder="1" applyAlignment="1">
      <alignment horizontal="left"/>
    </xf>
    <xf numFmtId="166" fontId="0" fillId="0" borderId="16" xfId="0" applyNumberFormat="1" applyFill="1" applyBorder="1"/>
    <xf numFmtId="164" fontId="1" fillId="0" borderId="13" xfId="2" applyNumberFormat="1" applyFont="1" applyFill="1" applyBorder="1"/>
    <xf numFmtId="171" fontId="0" fillId="0" borderId="0" xfId="3" applyNumberFormat="1" applyFont="1"/>
    <xf numFmtId="0" fontId="0" fillId="25" borderId="17" xfId="0" applyFill="1" applyBorder="1" applyAlignment="1">
      <alignment horizontal="right"/>
    </xf>
    <xf numFmtId="166" fontId="0" fillId="25" borderId="14" xfId="0" applyNumberFormat="1" applyFill="1" applyBorder="1"/>
    <xf numFmtId="164" fontId="1" fillId="0" borderId="2" xfId="2" applyNumberFormat="1" applyFont="1" applyBorder="1"/>
    <xf numFmtId="9" fontId="2" fillId="0" borderId="8" xfId="2" applyNumberFormat="1" applyFont="1" applyBorder="1"/>
    <xf numFmtId="166" fontId="0" fillId="0" borderId="19" xfId="0" applyNumberFormat="1" applyBorder="1"/>
    <xf numFmtId="0" fontId="8" fillId="0" borderId="0" xfId="0" applyFont="1" applyFill="1" applyBorder="1" applyAlignment="1">
      <alignment horizontal="right"/>
    </xf>
    <xf numFmtId="166" fontId="8" fillId="0" borderId="0" xfId="0" applyNumberFormat="1" applyFont="1"/>
    <xf numFmtId="0" fontId="56" fillId="0" borderId="0" xfId="0" applyFont="1" applyAlignment="1">
      <alignment horizontal="right"/>
    </xf>
    <xf numFmtId="166" fontId="56" fillId="0" borderId="0" xfId="0" applyNumberFormat="1" applyFont="1"/>
    <xf numFmtId="173" fontId="0" fillId="0" borderId="0" xfId="0" applyNumberFormat="1"/>
    <xf numFmtId="0" fontId="0" fillId="4" borderId="0" xfId="0" applyFill="1"/>
    <xf numFmtId="169" fontId="0" fillId="4" borderId="0" xfId="0" applyNumberFormat="1" applyFill="1"/>
    <xf numFmtId="170" fontId="0" fillId="4" borderId="0" xfId="0" applyNumberFormat="1" applyFill="1"/>
    <xf numFmtId="169" fontId="0" fillId="4" borderId="0" xfId="0" applyNumberFormat="1" applyFill="1" applyAlignment="1">
      <alignment horizontal="left" indent="2"/>
    </xf>
    <xf numFmtId="2" fontId="54" fillId="26" borderId="1" xfId="0" applyNumberFormat="1" applyFont="1" applyFill="1" applyBorder="1" applyAlignment="1">
      <alignment horizontal="left" vertical="center"/>
    </xf>
    <xf numFmtId="2" fontId="54" fillId="29" borderId="1" xfId="0" applyNumberFormat="1" applyFont="1" applyFill="1" applyBorder="1" applyAlignment="1">
      <alignment horizontal="left" vertical="center"/>
    </xf>
    <xf numFmtId="0" fontId="0" fillId="0" borderId="0" xfId="0" applyAlignment="1">
      <alignment horizontal="center"/>
    </xf>
    <xf numFmtId="0" fontId="74" fillId="42" borderId="0" xfId="0" applyFont="1" applyFill="1"/>
    <xf numFmtId="0" fontId="74" fillId="42" borderId="0" xfId="0" applyFont="1" applyFill="1" applyAlignment="1">
      <alignment horizontal="center"/>
    </xf>
    <xf numFmtId="0" fontId="74" fillId="9" borderId="0" xfId="0" applyFont="1" applyFill="1" applyAlignment="1">
      <alignment horizontal="center"/>
    </xf>
    <xf numFmtId="0" fontId="74" fillId="43" borderId="0" xfId="0" applyFont="1" applyFill="1" applyAlignment="1">
      <alignment horizontal="center"/>
    </xf>
    <xf numFmtId="0" fontId="74" fillId="44" borderId="0" xfId="0" applyFont="1" applyFill="1" applyAlignment="1">
      <alignment horizontal="center"/>
    </xf>
    <xf numFmtId="0" fontId="74" fillId="45" borderId="0" xfId="0" applyFont="1" applyFill="1" applyAlignment="1">
      <alignment horizontal="center"/>
    </xf>
    <xf numFmtId="0" fontId="74" fillId="46" borderId="0" xfId="0" applyFont="1" applyFill="1"/>
    <xf numFmtId="0" fontId="74" fillId="45" borderId="0" xfId="0" applyFont="1" applyFill="1"/>
    <xf numFmtId="43" fontId="0" fillId="0" borderId="0" xfId="3" applyFont="1" applyAlignment="1">
      <alignment horizontal="center"/>
    </xf>
    <xf numFmtId="169" fontId="0" fillId="0" borderId="0" xfId="0" applyNumberFormat="1" applyAlignment="1">
      <alignment horizontal="center"/>
    </xf>
    <xf numFmtId="170" fontId="11" fillId="0" borderId="1" xfId="0" applyNumberFormat="1" applyFont="1" applyFill="1" applyBorder="1" applyAlignment="1">
      <alignment horizontal="center"/>
    </xf>
    <xf numFmtId="170" fontId="18" fillId="3" borderId="1" xfId="0" applyNumberFormat="1" applyFont="1" applyFill="1" applyBorder="1" applyAlignment="1">
      <alignment horizontal="center"/>
    </xf>
    <xf numFmtId="9" fontId="54" fillId="29" borderId="1" xfId="2" applyFont="1" applyFill="1" applyBorder="1" applyAlignment="1">
      <alignment horizontal="center" vertical="center"/>
    </xf>
    <xf numFmtId="9" fontId="36" fillId="0" borderId="1" xfId="2" applyFont="1" applyFill="1" applyBorder="1" applyAlignment="1">
      <alignment horizontal="center"/>
    </xf>
    <xf numFmtId="2" fontId="8" fillId="0" borderId="0" xfId="0" applyNumberFormat="1" applyFont="1"/>
    <xf numFmtId="43" fontId="0" fillId="0" borderId="0" xfId="3" applyFont="1" applyAlignment="1">
      <alignment horizontal="right"/>
    </xf>
    <xf numFmtId="43" fontId="0" fillId="0" borderId="0" xfId="0" applyNumberFormat="1" applyAlignment="1">
      <alignment horizontal="right"/>
    </xf>
    <xf numFmtId="2" fontId="27" fillId="26" borderId="1"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0" fontId="7" fillId="0" borderId="0" xfId="0" applyFont="1" applyAlignment="1">
      <alignment horizontal="center"/>
    </xf>
    <xf numFmtId="0" fontId="61" fillId="0" borderId="0" xfId="5" applyFont="1" applyAlignment="1">
      <alignment horizontal="center"/>
    </xf>
    <xf numFmtId="0" fontId="61" fillId="0" borderId="0" xfId="5" applyFont="1" applyFill="1" applyAlignment="1">
      <alignment horizontal="center"/>
    </xf>
    <xf numFmtId="0" fontId="37" fillId="0" borderId="0" xfId="5" applyFont="1" applyAlignment="1">
      <alignment horizontal="center"/>
    </xf>
    <xf numFmtId="14" fontId="61" fillId="0" borderId="0" xfId="5" applyNumberFormat="1" applyFont="1" applyAlignment="1">
      <alignment horizontal="center"/>
    </xf>
    <xf numFmtId="14" fontId="61" fillId="0" borderId="0" xfId="5" applyNumberFormat="1" applyFont="1" applyFill="1" applyAlignment="1">
      <alignment horizontal="center"/>
    </xf>
    <xf numFmtId="14" fontId="32" fillId="0" borderId="0" xfId="0" applyNumberFormat="1" applyFont="1" applyAlignment="1">
      <alignment horizontal="center"/>
    </xf>
    <xf numFmtId="14" fontId="37" fillId="0" borderId="0" xfId="5" applyNumberFormat="1" applyFont="1" applyAlignment="1">
      <alignment horizontal="center"/>
    </xf>
    <xf numFmtId="14" fontId="0" fillId="0" borderId="0" xfId="0" applyNumberFormat="1" applyFont="1" applyAlignment="1">
      <alignment horizontal="center"/>
    </xf>
    <xf numFmtId="1" fontId="76" fillId="0" borderId="0" xfId="0" applyNumberFormat="1" applyFont="1" applyFill="1" applyBorder="1"/>
    <xf numFmtId="1" fontId="51" fillId="0" borderId="0" xfId="5" applyNumberFormat="1" applyFont="1" applyFill="1" applyBorder="1"/>
    <xf numFmtId="1" fontId="50" fillId="0" borderId="0" xfId="5" applyNumberFormat="1" applyFont="1" applyFill="1" applyBorder="1"/>
    <xf numFmtId="0" fontId="27" fillId="29" borderId="8" xfId="0" applyFont="1" applyFill="1" applyBorder="1" applyAlignment="1">
      <alignment horizontal="center" vertical="center"/>
    </xf>
    <xf numFmtId="0" fontId="35" fillId="46" borderId="1" xfId="5" applyFont="1" applyFill="1" applyBorder="1" applyAlignment="1">
      <alignment horizontal="left"/>
    </xf>
    <xf numFmtId="1" fontId="50" fillId="0" borderId="1" xfId="5" applyNumberFormat="1" applyFont="1" applyFill="1" applyBorder="1" applyAlignment="1">
      <alignment horizontal="right"/>
    </xf>
    <xf numFmtId="1" fontId="76" fillId="0" borderId="1" xfId="0" applyNumberFormat="1" applyFont="1" applyFill="1" applyBorder="1"/>
    <xf numFmtId="1" fontId="50" fillId="0" borderId="1" xfId="5" applyNumberFormat="1" applyFont="1" applyFill="1" applyBorder="1"/>
    <xf numFmtId="1" fontId="75" fillId="0" borderId="1" xfId="5" applyNumberFormat="1" applyFont="1" applyFill="1" applyBorder="1" applyAlignment="1">
      <alignment horizontal="right"/>
    </xf>
    <xf numFmtId="1" fontId="75" fillId="0" borderId="1" xfId="5" applyNumberFormat="1" applyFont="1" applyFill="1" applyBorder="1"/>
    <xf numFmtId="0" fontId="0" fillId="0" borderId="0" xfId="0" applyAlignment="1">
      <alignment horizontal="center"/>
    </xf>
    <xf numFmtId="0" fontId="36" fillId="4" borderId="1" xfId="5" applyFont="1" applyFill="1" applyBorder="1" applyAlignment="1">
      <alignment horizontal="center"/>
    </xf>
    <xf numFmtId="0" fontId="2" fillId="4" borderId="1" xfId="0" applyFont="1" applyFill="1" applyBorder="1" applyAlignment="1">
      <alignment horizontal="center"/>
    </xf>
    <xf numFmtId="174" fontId="0" fillId="0" borderId="0" xfId="0" applyNumberFormat="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23" borderId="5" xfId="0" applyFont="1" applyFill="1" applyBorder="1" applyAlignment="1">
      <alignment horizontal="center"/>
    </xf>
    <xf numFmtId="174" fontId="0" fillId="0" borderId="14" xfId="0" applyNumberFormat="1" applyFill="1" applyBorder="1" applyAlignment="1">
      <alignment horizontal="center"/>
    </xf>
    <xf numFmtId="164" fontId="0" fillId="0" borderId="16" xfId="2" applyNumberFormat="1" applyFont="1" applyFill="1" applyBorder="1" applyAlignment="1">
      <alignment horizontal="center"/>
    </xf>
    <xf numFmtId="164" fontId="0" fillId="0" borderId="14" xfId="2" applyNumberFormat="1" applyFont="1" applyFill="1" applyBorder="1" applyAlignment="1">
      <alignment horizontal="center"/>
    </xf>
    <xf numFmtId="0" fontId="0" fillId="4" borderId="0" xfId="0" applyFill="1" applyAlignment="1">
      <alignment horizontal="center"/>
    </xf>
    <xf numFmtId="14" fontId="0" fillId="4" borderId="0" xfId="0" applyNumberFormat="1" applyFill="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174" fontId="0" fillId="0" borderId="1" xfId="0" applyNumberFormat="1" applyFill="1" applyBorder="1" applyAlignment="1">
      <alignment horizontal="center"/>
    </xf>
    <xf numFmtId="174" fontId="0" fillId="0" borderId="5" xfId="0" applyNumberFormat="1" applyFill="1" applyBorder="1" applyAlignment="1">
      <alignment horizontal="center"/>
    </xf>
    <xf numFmtId="174" fontId="0" fillId="0" borderId="16" xfId="0" applyNumberFormat="1" applyFill="1" applyBorder="1" applyAlignment="1">
      <alignment horizontal="center"/>
    </xf>
    <xf numFmtId="164" fontId="0" fillId="0" borderId="1" xfId="2" applyNumberFormat="1" applyFont="1" applyFill="1" applyBorder="1" applyAlignment="1">
      <alignment horizontal="center"/>
    </xf>
    <xf numFmtId="164" fontId="0" fillId="0" borderId="5" xfId="2" applyNumberFormat="1" applyFont="1" applyFill="1" applyBorder="1" applyAlignment="1">
      <alignment horizontal="center"/>
    </xf>
    <xf numFmtId="164" fontId="0" fillId="0" borderId="8" xfId="2" applyNumberFormat="1" applyFont="1" applyFill="1" applyBorder="1" applyAlignment="1">
      <alignment horizontal="center"/>
    </xf>
    <xf numFmtId="164" fontId="0" fillId="0" borderId="7" xfId="2" applyNumberFormat="1" applyFont="1" applyFill="1" applyBorder="1" applyAlignment="1">
      <alignment horizontal="center"/>
    </xf>
    <xf numFmtId="164" fontId="0" fillId="0" borderId="13" xfId="2" applyNumberFormat="1" applyFont="1" applyFill="1" applyBorder="1" applyAlignment="1">
      <alignment horizontal="center"/>
    </xf>
    <xf numFmtId="164" fontId="0" fillId="0" borderId="2" xfId="2"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2" fontId="8" fillId="0" borderId="1" xfId="0" applyNumberFormat="1" applyFont="1" applyBorder="1"/>
    <xf numFmtId="2" fontId="77" fillId="0" borderId="1" xfId="5" applyNumberFormat="1" applyFont="1" applyBorder="1"/>
    <xf numFmtId="0" fontId="0" fillId="0" borderId="17" xfId="0" applyBorder="1" applyAlignment="1">
      <alignment horizontal="center" vertical="center"/>
    </xf>
    <xf numFmtId="0" fontId="0" fillId="0" borderId="3" xfId="0" applyBorder="1" applyAlignment="1">
      <alignment horizontal="center" vertical="center"/>
    </xf>
    <xf numFmtId="174" fontId="0" fillId="0" borderId="7" xfId="0" applyNumberFormat="1" applyFill="1" applyBorder="1" applyAlignment="1">
      <alignment horizontal="center"/>
    </xf>
    <xf numFmtId="9" fontId="0" fillId="0" borderId="0" xfId="0" applyNumberFormat="1"/>
    <xf numFmtId="166" fontId="0" fillId="23" borderId="1" xfId="0" applyNumberFormat="1" applyFont="1" applyFill="1" applyBorder="1" applyAlignment="1">
      <alignment horizontal="center"/>
    </xf>
    <xf numFmtId="0" fontId="0" fillId="0" borderId="0" xfId="0" applyAlignment="1">
      <alignment horizontal="center"/>
    </xf>
    <xf numFmtId="0" fontId="0" fillId="0" borderId="0" xfId="0" applyAlignment="1">
      <alignment wrapText="1"/>
    </xf>
    <xf numFmtId="1" fontId="68" fillId="0" borderId="1" xfId="5" applyNumberFormat="1" applyFont="1" applyFill="1" applyBorder="1" applyAlignment="1">
      <alignment horizontal="center"/>
    </xf>
    <xf numFmtId="1" fontId="68" fillId="0" borderId="1" xfId="5" applyNumberFormat="1" applyFont="1" applyFill="1" applyBorder="1" applyAlignment="1">
      <alignment horizontal="right"/>
    </xf>
    <xf numFmtId="1" fontId="78" fillId="0" borderId="1" xfId="5" applyNumberFormat="1" applyFont="1" applyFill="1" applyBorder="1" applyAlignment="1">
      <alignment horizontal="right"/>
    </xf>
    <xf numFmtId="1" fontId="79" fillId="0" borderId="1" xfId="5" applyNumberFormat="1" applyFont="1" applyFill="1" applyBorder="1" applyAlignment="1">
      <alignment horizontal="right"/>
    </xf>
    <xf numFmtId="1" fontId="80" fillId="0" borderId="1" xfId="5" applyNumberFormat="1" applyFont="1" applyFill="1" applyBorder="1" applyAlignment="1">
      <alignment horizontal="right"/>
    </xf>
    <xf numFmtId="1" fontId="81" fillId="0" borderId="1" xfId="5" applyNumberFormat="1" applyFont="1" applyFill="1" applyBorder="1" applyAlignment="1">
      <alignment horizontal="right"/>
    </xf>
    <xf numFmtId="0" fontId="0" fillId="0" borderId="0" xfId="0" applyAlignment="1">
      <alignment horizontal="center"/>
    </xf>
    <xf numFmtId="0" fontId="0" fillId="16" borderId="1" xfId="0" applyFill="1" applyBorder="1"/>
    <xf numFmtId="9" fontId="0" fillId="16" borderId="1" xfId="2" applyFont="1" applyFill="1" applyBorder="1" applyAlignment="1">
      <alignment horizontal="right"/>
    </xf>
    <xf numFmtId="0" fontId="7" fillId="0" borderId="15" xfId="0" applyFont="1" applyFill="1" applyBorder="1"/>
    <xf numFmtId="166" fontId="7" fillId="0" borderId="16" xfId="0" applyNumberFormat="1" applyFont="1" applyFill="1" applyBorder="1"/>
    <xf numFmtId="164" fontId="7" fillId="0" borderId="15" xfId="2" applyNumberFormat="1" applyFont="1" applyFill="1" applyBorder="1"/>
    <xf numFmtId="0" fontId="32" fillId="0" borderId="15" xfId="0" applyFont="1" applyFill="1" applyBorder="1" applyAlignment="1">
      <alignment horizontal="right"/>
    </xf>
    <xf numFmtId="166" fontId="32" fillId="0" borderId="16" xfId="0" applyNumberFormat="1" applyFont="1" applyFill="1" applyBorder="1"/>
    <xf numFmtId="164" fontId="32" fillId="0" borderId="13" xfId="2" applyNumberFormat="1" applyFont="1" applyFill="1" applyBorder="1"/>
    <xf numFmtId="0" fontId="2" fillId="47" borderId="5" xfId="0" applyFont="1" applyFill="1" applyBorder="1" applyAlignment="1">
      <alignment horizontal="center"/>
    </xf>
    <xf numFmtId="174" fontId="0" fillId="0" borderId="13" xfId="0" applyNumberFormat="1" applyFill="1" applyBorder="1" applyAlignment="1">
      <alignment horizontal="center"/>
    </xf>
    <xf numFmtId="174" fontId="0" fillId="0" borderId="2" xfId="0" applyNumberFormat="1" applyFill="1" applyBorder="1" applyAlignment="1">
      <alignment horizontal="center"/>
    </xf>
    <xf numFmtId="173" fontId="0" fillId="0" borderId="0" xfId="0" applyNumberFormat="1" applyFill="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174" fontId="0" fillId="0" borderId="8" xfId="0" applyNumberFormat="1" applyFill="1" applyBorder="1" applyAlignment="1">
      <alignment horizont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74" fillId="6" borderId="0" xfId="0" applyFont="1" applyFill="1"/>
    <xf numFmtId="170" fontId="2" fillId="0" borderId="0" xfId="0" applyNumberFormat="1" applyFont="1"/>
    <xf numFmtId="2" fontId="2" fillId="6" borderId="0" xfId="0" applyNumberFormat="1" applyFont="1" applyFill="1"/>
    <xf numFmtId="0" fontId="0" fillId="0" borderId="0" xfId="0" applyAlignment="1">
      <alignment horizontal="center"/>
    </xf>
    <xf numFmtId="0" fontId="0" fillId="0" borderId="0" xfId="0" applyAlignment="1">
      <alignment wrapText="1"/>
    </xf>
    <xf numFmtId="9" fontId="54" fillId="29" borderId="1" xfId="2" applyNumberFormat="1" applyFont="1" applyFill="1" applyBorder="1" applyAlignment="1">
      <alignment horizontal="center" vertical="center"/>
    </xf>
    <xf numFmtId="0" fontId="61" fillId="0" borderId="0" xfId="5" applyNumberFormat="1" applyFont="1" applyAlignment="1">
      <alignment horizontal="center"/>
    </xf>
    <xf numFmtId="169" fontId="61" fillId="0" borderId="0" xfId="5" applyNumberFormat="1" applyFont="1" applyAlignment="1">
      <alignment horizontal="center"/>
    </xf>
    <xf numFmtId="0" fontId="0" fillId="0" borderId="0" xfId="0" applyAlignment="1">
      <alignment horizontal="center"/>
    </xf>
    <xf numFmtId="0" fontId="8" fillId="0" borderId="0" xfId="0" applyFont="1" applyAlignment="1"/>
    <xf numFmtId="170" fontId="32" fillId="0" borderId="1" xfId="0" applyNumberFormat="1" applyFont="1" applyBorder="1" applyAlignment="1">
      <alignment horizontal="center"/>
    </xf>
    <xf numFmtId="2" fontId="0" fillId="0" borderId="1" xfId="0" applyNumberFormat="1" applyBorder="1"/>
    <xf numFmtId="2" fontId="2" fillId="0" borderId="1" xfId="0" applyNumberFormat="1" applyFont="1" applyBorder="1"/>
    <xf numFmtId="2" fontId="2" fillId="11" borderId="1" xfId="0" applyNumberFormat="1" applyFont="1" applyFill="1" applyBorder="1"/>
    <xf numFmtId="169" fontId="82" fillId="3" borderId="0" xfId="0" applyNumberFormat="1" applyFont="1" applyFill="1"/>
    <xf numFmtId="2" fontId="0" fillId="0" borderId="13" xfId="0" applyNumberFormat="1" applyFill="1" applyBorder="1"/>
    <xf numFmtId="1" fontId="0" fillId="0" borderId="0" xfId="0" applyNumberFormat="1" applyFill="1" applyBorder="1"/>
    <xf numFmtId="1" fontId="0" fillId="0" borderId="0" xfId="0" applyNumberFormat="1" applyBorder="1"/>
    <xf numFmtId="169" fontId="0" fillId="0" borderId="1" xfId="0" applyNumberFormat="1" applyBorder="1"/>
    <xf numFmtId="0" fontId="0" fillId="0" borderId="0" xfId="0" applyAlignment="1">
      <alignment horizontal="center"/>
    </xf>
    <xf numFmtId="168" fontId="0" fillId="0" borderId="0" xfId="0" applyNumberFormat="1" applyAlignment="1">
      <alignment horizontal="right"/>
    </xf>
    <xf numFmtId="0" fontId="0" fillId="0" borderId="0" xfId="0" applyAlignment="1">
      <alignment horizontal="center"/>
    </xf>
    <xf numFmtId="14" fontId="83" fillId="0" borderId="0" xfId="0" applyNumberFormat="1" applyFont="1" applyAlignment="1">
      <alignment vertical="center"/>
    </xf>
    <xf numFmtId="2" fontId="0" fillId="3" borderId="0" xfId="0" applyNumberFormat="1" applyFill="1"/>
    <xf numFmtId="169" fontId="82" fillId="12" borderId="0" xfId="0" applyNumberFormat="1" applyFont="1" applyFill="1"/>
    <xf numFmtId="0" fontId="0" fillId="0" borderId="0" xfId="0" applyAlignment="1">
      <alignment horizontal="center"/>
    </xf>
    <xf numFmtId="9" fontId="41" fillId="37" borderId="1" xfId="0" applyNumberFormat="1" applyFont="1" applyFill="1" applyBorder="1" applyAlignment="1">
      <alignment horizontal="center" vertical="center"/>
    </xf>
    <xf numFmtId="0" fontId="41" fillId="9" borderId="1" xfId="0" applyFont="1" applyFill="1" applyBorder="1" applyAlignment="1">
      <alignment horizontal="center" vertical="center"/>
    </xf>
    <xf numFmtId="9" fontId="41" fillId="9" borderId="1" xfId="0" applyNumberFormat="1" applyFont="1" applyFill="1" applyBorder="1" applyAlignment="1">
      <alignment horizontal="center" vertical="center"/>
    </xf>
    <xf numFmtId="170" fontId="0" fillId="0" borderId="0" xfId="0" applyNumberFormat="1" applyFill="1" applyBorder="1" applyAlignment="1">
      <alignment horizontal="center"/>
    </xf>
    <xf numFmtId="0" fontId="41" fillId="9" borderId="13" xfId="0" applyFont="1" applyFill="1" applyBorder="1" applyAlignment="1">
      <alignment horizontal="center" vertical="center"/>
    </xf>
    <xf numFmtId="0" fontId="0" fillId="0" borderId="0" xfId="0" applyAlignment="1">
      <alignment horizontal="center"/>
    </xf>
    <xf numFmtId="9" fontId="41" fillId="9" borderId="13" xfId="0" applyNumberFormat="1" applyFont="1" applyFill="1" applyBorder="1" applyAlignment="1">
      <alignment horizontal="center" vertical="center"/>
    </xf>
    <xf numFmtId="170" fontId="2" fillId="0" borderId="0" xfId="0" applyNumberFormat="1" applyFont="1" applyAlignment="1">
      <alignment horizontal="center"/>
    </xf>
    <xf numFmtId="0" fontId="0" fillId="0" borderId="0" xfId="0" applyAlignment="1">
      <alignment horizontal="center"/>
    </xf>
    <xf numFmtId="14" fontId="0" fillId="0" borderId="0" xfId="0" applyNumberFormat="1" applyAlignment="1">
      <alignment horizontal="center"/>
    </xf>
    <xf numFmtId="0" fontId="45" fillId="39" borderId="1" xfId="0" applyFont="1" applyFill="1" applyBorder="1" applyAlignment="1">
      <alignment horizontal="center" vertical="top" wrapText="1"/>
    </xf>
    <xf numFmtId="166" fontId="0" fillId="10" borderId="0" xfId="0" applyNumberFormat="1" applyFill="1" applyAlignment="1">
      <alignment horizontal="center"/>
    </xf>
    <xf numFmtId="0" fontId="27" fillId="29" borderId="0" xfId="0" applyFont="1" applyFill="1" applyBorder="1" applyAlignment="1">
      <alignment horizontal="center" vertical="center"/>
    </xf>
    <xf numFmtId="166" fontId="0" fillId="16" borderId="1" xfId="0" applyNumberFormat="1" applyFill="1" applyBorder="1"/>
    <xf numFmtId="166" fontId="0" fillId="14" borderId="1" xfId="0" applyNumberFormat="1" applyFill="1" applyBorder="1"/>
    <xf numFmtId="168" fontId="54" fillId="29" borderId="1" xfId="3" applyNumberFormat="1" applyFont="1" applyFill="1" applyBorder="1" applyAlignment="1">
      <alignment horizontal="left" vertical="center"/>
    </xf>
    <xf numFmtId="168" fontId="27" fillId="29" borderId="1" xfId="3" applyNumberFormat="1" applyFont="1" applyFill="1" applyBorder="1" applyAlignment="1">
      <alignment horizontal="right" vertical="center"/>
    </xf>
    <xf numFmtId="0" fontId="0" fillId="0" borderId="0" xfId="0" applyAlignment="1">
      <alignment horizontal="center"/>
    </xf>
    <xf numFmtId="0" fontId="14" fillId="0" borderId="0" xfId="0" applyFont="1" applyAlignment="1">
      <alignment horizontal="center"/>
    </xf>
    <xf numFmtId="169" fontId="51" fillId="0" borderId="0" xfId="5" applyNumberFormat="1"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ill="1" applyBorder="1"/>
    <xf numFmtId="0" fontId="0" fillId="0" borderId="0" xfId="0" applyAlignment="1">
      <alignment horizontal="center"/>
    </xf>
    <xf numFmtId="0" fontId="2" fillId="11" borderId="3" xfId="0" applyFont="1" applyFill="1" applyBorder="1" applyAlignment="1">
      <alignment horizontal="center"/>
    </xf>
    <xf numFmtId="0" fontId="2" fillId="11" borderId="1" xfId="0" applyFont="1" applyFill="1" applyBorder="1" applyAlignment="1">
      <alignment horizontal="center"/>
    </xf>
    <xf numFmtId="164" fontId="0" fillId="0" borderId="6" xfId="2" applyNumberFormat="1" applyFont="1" applyFill="1" applyBorder="1" applyAlignment="1">
      <alignment horizontal="center"/>
    </xf>
    <xf numFmtId="164" fontId="0" fillId="0" borderId="15" xfId="2" applyNumberFormat="1" applyFont="1" applyFill="1" applyBorder="1" applyAlignment="1">
      <alignment horizontal="center"/>
    </xf>
    <xf numFmtId="164" fontId="0" fillId="0" borderId="17" xfId="2" applyNumberFormat="1" applyFont="1" applyFill="1" applyBorder="1" applyAlignment="1">
      <alignment horizontal="center"/>
    </xf>
    <xf numFmtId="171" fontId="0" fillId="0" borderId="0" xfId="3" applyNumberFormat="1" applyFont="1" applyAlignment="1">
      <alignment horizontal="center"/>
    </xf>
    <xf numFmtId="171" fontId="0" fillId="0" borderId="5" xfId="3" applyNumberFormat="1" applyFont="1" applyFill="1" applyBorder="1" applyAlignment="1">
      <alignment horizontal="center"/>
    </xf>
    <xf numFmtId="171" fontId="0" fillId="0" borderId="7" xfId="3" applyNumberFormat="1" applyFont="1" applyFill="1" applyBorder="1" applyAlignment="1">
      <alignment horizontal="center"/>
    </xf>
    <xf numFmtId="171" fontId="0" fillId="0" borderId="16" xfId="3" applyNumberFormat="1" applyFont="1" applyFill="1" applyBorder="1" applyAlignment="1">
      <alignment horizontal="center"/>
    </xf>
    <xf numFmtId="171" fontId="0" fillId="0" borderId="14" xfId="3" applyNumberFormat="1" applyFont="1" applyFill="1" applyBorder="1" applyAlignment="1">
      <alignment horizontal="center"/>
    </xf>
    <xf numFmtId="171" fontId="0" fillId="0" borderId="13" xfId="3" applyNumberFormat="1" applyFont="1" applyFill="1" applyBorder="1" applyAlignment="1">
      <alignment horizontal="center"/>
    </xf>
    <xf numFmtId="171" fontId="0" fillId="0" borderId="8" xfId="3" applyNumberFormat="1" applyFont="1" applyFill="1" applyBorder="1" applyAlignment="1">
      <alignment horizontal="center"/>
    </xf>
    <xf numFmtId="171" fontId="0" fillId="0" borderId="2" xfId="3" applyNumberFormat="1" applyFont="1" applyFill="1" applyBorder="1" applyAlignment="1">
      <alignment horizontal="center"/>
    </xf>
    <xf numFmtId="171" fontId="0" fillId="0" borderId="1" xfId="3" applyNumberFormat="1" applyFont="1" applyFill="1" applyBorder="1" applyAlignment="1">
      <alignment horizontal="center"/>
    </xf>
    <xf numFmtId="171" fontId="0" fillId="0" borderId="19" xfId="3" applyNumberFormat="1" applyFont="1" applyFill="1" applyBorder="1" applyAlignment="1">
      <alignment horizontal="center"/>
    </xf>
    <xf numFmtId="171" fontId="0" fillId="0" borderId="0" xfId="3" applyNumberFormat="1" applyFont="1" applyFill="1" applyBorder="1" applyAlignment="1">
      <alignment horizontal="center"/>
    </xf>
    <xf numFmtId="171" fontId="0" fillId="0" borderId="20" xfId="3" applyNumberFormat="1" applyFont="1" applyFill="1" applyBorder="1" applyAlignment="1">
      <alignment horizontal="center"/>
    </xf>
    <xf numFmtId="2" fontId="2" fillId="0" borderId="1" xfId="0" applyNumberFormat="1" applyFont="1" applyFill="1" applyBorder="1"/>
    <xf numFmtId="169" fontId="0" fillId="0" borderId="0" xfId="0" applyNumberFormat="1" applyFill="1" applyAlignment="1">
      <alignment horizontal="left"/>
    </xf>
    <xf numFmtId="0" fontId="0" fillId="0" borderId="0" xfId="0" applyAlignment="1">
      <alignment horizontal="center"/>
    </xf>
    <xf numFmtId="0" fontId="0" fillId="0" borderId="0" xfId="0" applyAlignment="1">
      <alignment horizontal="center"/>
    </xf>
    <xf numFmtId="0" fontId="61" fillId="10" borderId="1" xfId="5" applyFont="1" applyFill="1" applyBorder="1" applyAlignment="1">
      <alignment horizontal="right"/>
    </xf>
    <xf numFmtId="0" fontId="37" fillId="10" borderId="1" xfId="5" applyFont="1" applyFill="1" applyBorder="1" applyAlignment="1">
      <alignment horizontal="right"/>
    </xf>
    <xf numFmtId="0" fontId="0" fillId="0" borderId="0" xfId="0" applyAlignment="1">
      <alignment horizontal="center"/>
    </xf>
    <xf numFmtId="2" fontId="29" fillId="0" borderId="0" xfId="0" applyNumberFormat="1" applyFont="1"/>
    <xf numFmtId="0" fontId="84" fillId="0" borderId="0" xfId="0" applyFont="1" applyAlignment="1">
      <alignment horizontal="center"/>
    </xf>
    <xf numFmtId="0" fontId="84" fillId="0" borderId="0" xfId="0" applyFont="1"/>
    <xf numFmtId="14" fontId="84" fillId="0" borderId="0" xfId="0" applyNumberFormat="1" applyFont="1"/>
    <xf numFmtId="0" fontId="85" fillId="0" borderId="0" xfId="0" applyFont="1" applyAlignment="1">
      <alignment horizontal="center"/>
    </xf>
    <xf numFmtId="164" fontId="84" fillId="0" borderId="0" xfId="2" applyNumberFormat="1" applyFont="1" applyAlignment="1">
      <alignment horizontal="center"/>
    </xf>
    <xf numFmtId="0" fontId="2" fillId="23" borderId="0" xfId="0" applyFont="1" applyFill="1" applyAlignment="1">
      <alignment horizontal="center"/>
    </xf>
    <xf numFmtId="0" fontId="2" fillId="23" borderId="0" xfId="0" applyFont="1" applyFill="1"/>
    <xf numFmtId="0" fontId="0" fillId="0" borderId="0" xfId="0" applyAlignment="1">
      <alignment horizontal="center"/>
    </xf>
    <xf numFmtId="0" fontId="32" fillId="15" borderId="1" xfId="0" applyFont="1" applyFill="1" applyBorder="1"/>
    <xf numFmtId="0" fontId="32" fillId="25" borderId="1" xfId="0" applyFont="1" applyFill="1" applyBorder="1"/>
    <xf numFmtId="2" fontId="2" fillId="3" borderId="0" xfId="0" applyNumberFormat="1" applyFont="1" applyFill="1"/>
    <xf numFmtId="0" fontId="0" fillId="0" borderId="0" xfId="0" applyAlignment="1">
      <alignment horizontal="center"/>
    </xf>
    <xf numFmtId="0" fontId="0" fillId="0" borderId="0" xfId="0" applyAlignment="1">
      <alignment horizontal="center"/>
    </xf>
    <xf numFmtId="168" fontId="29" fillId="0" borderId="0" xfId="0" applyNumberFormat="1" applyFont="1"/>
    <xf numFmtId="2" fontId="32" fillId="0" borderId="0" xfId="0" applyNumberFormat="1" applyFont="1"/>
    <xf numFmtId="164" fontId="32" fillId="0" borderId="0" xfId="2" applyNumberFormat="1" applyFont="1"/>
    <xf numFmtId="14" fontId="54" fillId="29" borderId="1" xfId="0" applyNumberFormat="1" applyFont="1" applyFill="1" applyBorder="1" applyAlignment="1">
      <alignment horizontal="center" vertical="center"/>
    </xf>
    <xf numFmtId="2" fontId="54" fillId="29" borderId="1" xfId="0" applyNumberFormat="1"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0" fillId="0" borderId="0" xfId="0" applyNumberFormat="1" applyAlignment="1">
      <alignment horizontal="center"/>
    </xf>
    <xf numFmtId="0" fontId="86" fillId="0" borderId="0" xfId="0" applyFont="1" applyAlignment="1">
      <alignment horizontal="center"/>
    </xf>
    <xf numFmtId="0" fontId="86" fillId="0" borderId="0" xfId="0" applyFont="1"/>
    <xf numFmtId="168" fontId="66" fillId="29" borderId="1" xfId="3" applyNumberFormat="1" applyFont="1" applyFill="1" applyBorder="1" applyAlignment="1">
      <alignment horizontal="right" vertical="center"/>
    </xf>
    <xf numFmtId="0" fontId="0" fillId="0" borderId="0" xfId="0" applyAlignment="1">
      <alignment horizontal="center"/>
    </xf>
    <xf numFmtId="0" fontId="7" fillId="0" borderId="0" xfId="0" applyFont="1" applyFill="1" applyAlignment="1">
      <alignment horizontal="center"/>
    </xf>
    <xf numFmtId="0" fontId="2" fillId="15" borderId="0" xfId="0" applyFont="1" applyFill="1" applyAlignment="1">
      <alignment horizontal="center"/>
    </xf>
    <xf numFmtId="14" fontId="0" fillId="0" borderId="1" xfId="0" applyNumberFormat="1" applyBorder="1" applyAlignment="1">
      <alignment horizontal="center"/>
    </xf>
    <xf numFmtId="0" fontId="34" fillId="2" borderId="0" xfId="0" applyFont="1" applyFill="1" applyAlignment="1">
      <alignment horizontal="center" wrapText="1"/>
    </xf>
    <xf numFmtId="0" fontId="24" fillId="32"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35" borderId="0" xfId="0" applyFont="1" applyFill="1" applyAlignment="1">
      <alignment horizontal="center" wrapText="1"/>
    </xf>
    <xf numFmtId="0" fontId="24" fillId="36" borderId="0" xfId="0" applyFont="1" applyFill="1" applyAlignment="1">
      <alignment horizontal="center" wrapText="1"/>
    </xf>
    <xf numFmtId="0" fontId="43" fillId="38" borderId="1" xfId="0" applyFont="1" applyFill="1" applyBorder="1" applyAlignment="1">
      <alignment horizontal="center" vertical="top" wrapText="1"/>
    </xf>
    <xf numFmtId="0" fontId="44" fillId="39"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0" fillId="0" borderId="0" xfId="0" applyAlignment="1">
      <alignment horizontal="center"/>
    </xf>
    <xf numFmtId="0" fontId="7" fillId="11" borderId="3" xfId="0" applyFont="1" applyFill="1" applyBorder="1" applyAlignment="1">
      <alignment horizontal="center"/>
    </xf>
    <xf numFmtId="0" fontId="7" fillId="11" borderId="5" xfId="0" applyFont="1"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14" fillId="0" borderId="0" xfId="0" applyFont="1" applyAlignment="1">
      <alignment horizontal="left"/>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0" borderId="0" xfId="0" applyAlignment="1">
      <alignment wrapText="1"/>
    </xf>
    <xf numFmtId="0" fontId="11" fillId="19" borderId="0" xfId="0" applyFont="1" applyFill="1" applyAlignment="1">
      <alignment horizontal="center" wrapText="1"/>
    </xf>
    <xf numFmtId="0" fontId="2" fillId="24" borderId="0" xfId="0" applyFont="1" applyFill="1" applyAlignment="1">
      <alignment horizontal="center"/>
    </xf>
    <xf numFmtId="166" fontId="16" fillId="13" borderId="3" xfId="0" applyNumberFormat="1" applyFont="1" applyFill="1" applyBorder="1" applyAlignment="1">
      <alignment horizontal="center"/>
    </xf>
    <xf numFmtId="166" fontId="16" fillId="13" borderId="5" xfId="0" applyNumberFormat="1" applyFont="1" applyFill="1" applyBorder="1" applyAlignment="1">
      <alignment horizontal="center"/>
    </xf>
    <xf numFmtId="0" fontId="2" fillId="0" borderId="0" xfId="0" applyFont="1" applyAlignment="1">
      <alignment horizontal="center" vertical="center" wrapText="1"/>
    </xf>
    <xf numFmtId="0" fontId="2" fillId="23" borderId="13" xfId="0" applyFont="1" applyFill="1" applyBorder="1" applyAlignment="1">
      <alignment vertical="top" wrapText="1"/>
    </xf>
    <xf numFmtId="0" fontId="2" fillId="23" borderId="2" xfId="0" applyFont="1" applyFill="1" applyBorder="1" applyAlignment="1">
      <alignment vertical="top" wrapText="1"/>
    </xf>
    <xf numFmtId="166" fontId="15" fillId="16" borderId="3" xfId="0" applyNumberFormat="1" applyFont="1" applyFill="1" applyBorder="1" applyAlignment="1">
      <alignment horizontal="center"/>
    </xf>
    <xf numFmtId="166" fontId="15" fillId="16" borderId="5" xfId="0" applyNumberFormat="1" applyFont="1" applyFill="1" applyBorder="1" applyAlignment="1">
      <alignment horizontal="center"/>
    </xf>
    <xf numFmtId="0" fontId="11" fillId="4" borderId="0" xfId="0" applyFont="1" applyFill="1" applyAlignment="1">
      <alignment horizontal="center" wrapText="1"/>
    </xf>
    <xf numFmtId="0" fontId="2" fillId="30" borderId="16" xfId="0" applyFont="1" applyFill="1" applyBorder="1" applyAlignment="1">
      <alignment horizontal="center" vertical="top" wrapText="1"/>
    </xf>
    <xf numFmtId="0" fontId="23" fillId="3" borderId="3" xfId="0" applyFont="1" applyFill="1" applyBorder="1" applyAlignment="1">
      <alignment horizontal="center"/>
    </xf>
    <xf numFmtId="0" fontId="23" fillId="3" borderId="4" xfId="0" applyFont="1" applyFill="1" applyBorder="1" applyAlignment="1">
      <alignment horizontal="center"/>
    </xf>
    <xf numFmtId="0" fontId="23" fillId="3" borderId="5" xfId="0" applyFont="1" applyFill="1" applyBorder="1" applyAlignment="1">
      <alignment horizontal="center"/>
    </xf>
    <xf numFmtId="0" fontId="2" fillId="25" borderId="1" xfId="0" applyFont="1" applyFill="1" applyBorder="1" applyAlignment="1">
      <alignment horizontal="center"/>
    </xf>
    <xf numFmtId="0" fontId="0" fillId="0" borderId="3" xfId="0" applyBorder="1" applyAlignment="1">
      <alignment horizontal="right"/>
    </xf>
    <xf numFmtId="0" fontId="0" fillId="0" borderId="4" xfId="0" applyBorder="1" applyAlignment="1">
      <alignment horizontal="right"/>
    </xf>
    <xf numFmtId="0" fontId="0" fillId="0" borderId="5" xfId="0" applyBorder="1" applyAlignment="1">
      <alignment horizontal="right"/>
    </xf>
    <xf numFmtId="0" fontId="14" fillId="0" borderId="3" xfId="0" applyFont="1" applyBorder="1" applyAlignment="1">
      <alignment horizontal="center"/>
    </xf>
    <xf numFmtId="0" fontId="14" fillId="0" borderId="5" xfId="0" applyFont="1" applyBorder="1" applyAlignment="1">
      <alignment horizontal="center"/>
    </xf>
    <xf numFmtId="0" fontId="14" fillId="0" borderId="4" xfId="0" applyFont="1" applyBorder="1" applyAlignment="1">
      <alignment horizontal="center"/>
    </xf>
    <xf numFmtId="0" fontId="2" fillId="3" borderId="1"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14" fillId="4" borderId="3" xfId="0" applyFont="1" applyFill="1" applyBorder="1" applyAlignment="1">
      <alignment horizontal="center"/>
    </xf>
    <xf numFmtId="0" fontId="14" fillId="4" borderId="5" xfId="0" applyFont="1" applyFill="1" applyBorder="1" applyAlignment="1">
      <alignment horizontal="center"/>
    </xf>
    <xf numFmtId="0" fontId="14" fillId="41" borderId="4" xfId="0" applyFont="1" applyFill="1" applyBorder="1" applyAlignment="1">
      <alignment horizontal="center"/>
    </xf>
    <xf numFmtId="0" fontId="14" fillId="41" borderId="5" xfId="0" applyFont="1" applyFill="1" applyBorder="1" applyAlignment="1">
      <alignment horizontal="center"/>
    </xf>
    <xf numFmtId="0" fontId="26" fillId="26" borderId="1" xfId="0" applyFont="1" applyFill="1" applyBorder="1" applyAlignment="1">
      <alignment horizontal="left" vertical="top" wrapText="1" indent="1"/>
    </xf>
  </cellXfs>
  <cellStyles count="6">
    <cellStyle name="Coma" xfId="3" builtinId="3"/>
    <cellStyle name="Enllaç" xfId="4" builtinId="8"/>
    <cellStyle name="Excel Built-in Normal" xfId="5"/>
    <cellStyle name="Moneda" xfId="1" builtinId="4"/>
    <cellStyle name="Normal" xfId="0" builtinId="0"/>
    <cellStyle name="Percentatge" xfId="2" builtinId="5"/>
  </cellStyles>
  <dxfs count="370">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b/>
        <i val="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EconomiaT40!$C$6</c:f>
              <c:numCache>
                <c:formatCode>_-* #,##0\ [$€-C0A]_-;\-* #,##0\ [$€-C0A]_-;_-* "-"??\ [$€-C0A]_-;_-@_-</c:formatCode>
                <c:ptCount val="1"/>
                <c:pt idx="0">
                  <c:v>675050</c:v>
                </c:pt>
              </c:numCache>
            </c:numRef>
          </c:val>
          <c:extLst xmlns:c16r2="http://schemas.microsoft.com/office/drawing/2015/06/chart">
            <c:ext xmlns:c16="http://schemas.microsoft.com/office/drawing/2014/chart" uri="{C3380CC4-5D6E-409C-BE32-E72D297353CC}">
              <c16:uniqueId val="{00000000-8A51-47DD-BEAB-BC0C28EEB9F7}"/>
            </c:ext>
          </c:extLst>
        </c:ser>
        <c:ser>
          <c:idx val="1"/>
          <c:order val="1"/>
          <c:tx>
            <c:strRef>
              <c:f>EconomiaT40!$B$7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EconomiaT40!$C$7</c:f>
              <c:numCache>
                <c:formatCode>_-* #,##0\ [$€-C0A]_-;\-* #,##0\ [$€-C0A]_-;_-* "-"??\ [$€-C0A]_-;_-@_-</c:formatCode>
                <c:ptCount val="1"/>
                <c:pt idx="0">
                  <c:v>626821</c:v>
                </c:pt>
              </c:numCache>
            </c:numRef>
          </c:val>
          <c:extLst xmlns:c16r2="http://schemas.microsoft.com/office/drawing/2015/06/chart">
            <c:ext xmlns:c16="http://schemas.microsoft.com/office/drawing/2014/chart" uri="{C3380CC4-5D6E-409C-BE32-E72D297353CC}">
              <c16:uniqueId val="{00000001-8A51-47DD-BEAB-BC0C28EEB9F7}"/>
            </c:ext>
          </c:extLst>
        </c:ser>
        <c:ser>
          <c:idx val="2"/>
          <c:order val="2"/>
          <c:tx>
            <c:strRef>
              <c:f>EconomiaT40!$B$8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EconomiaT40!$C$8</c:f>
              <c:numCache>
                <c:formatCode>_-* #,##0\ [$€-C0A]_-;\-* #,##0\ [$€-C0A]_-;_-* "-"??\ [$€-C0A]_-;_-@_-</c:formatCode>
                <c:ptCount val="1"/>
                <c:pt idx="0">
                  <c:v>0</c:v>
                </c:pt>
              </c:numCache>
            </c:numRef>
          </c:val>
          <c:extLst xmlns:c16r2="http://schemas.microsoft.com/office/drawing/2015/06/chart">
            <c:ext xmlns:c16="http://schemas.microsoft.com/office/drawing/2014/chart" uri="{C3380CC4-5D6E-409C-BE32-E72D297353CC}">
              <c16:uniqueId val="{00000002-8A51-47DD-BEAB-BC0C28EEB9F7}"/>
            </c:ext>
          </c:extLst>
        </c:ser>
        <c:ser>
          <c:idx val="3"/>
          <c:order val="3"/>
          <c:tx>
            <c:strRef>
              <c:f>EconomiaT40!$B$9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EconomiaT40!$C$9</c:f>
              <c:numCache>
                <c:formatCode>_-* #,##0\ [$€-C0A]_-;\-* #,##0\ [$€-C0A]_-;_-* "-"??\ [$€-C0A]_-;_-@_-</c:formatCode>
                <c:ptCount val="1"/>
                <c:pt idx="0">
                  <c:v>0</c:v>
                </c:pt>
              </c:numCache>
            </c:numRef>
          </c:val>
          <c:extLst xmlns:c16r2="http://schemas.microsoft.com/office/drawing/2015/06/chart">
            <c:ext xmlns:c16="http://schemas.microsoft.com/office/drawing/2014/chart" uri="{C3380CC4-5D6E-409C-BE32-E72D297353CC}">
              <c16:uniqueId val="{00000003-8A51-47DD-BEAB-BC0C28EEB9F7}"/>
            </c:ext>
          </c:extLst>
        </c:ser>
        <c:ser>
          <c:idx val="4"/>
          <c:order val="4"/>
          <c:tx>
            <c:strRef>
              <c:f>EconomiaT40!$B$10</c:f>
              <c:strCache>
                <c:ptCount val="1"/>
                <c:pt idx="0">
                  <c:v>Comisiones</c:v>
                </c:pt>
              </c:strCache>
            </c:strRef>
          </c:tx>
          <c:invertIfNegative val="0"/>
          <c:cat>
            <c:strRef>
              <c:f>[1]EconomiaT38!$A$13</c:f>
              <c:strCache>
                <c:ptCount val="1"/>
                <c:pt idx="0">
                  <c:v>TOTAL INGRESOS</c:v>
                </c:pt>
              </c:strCache>
            </c:strRef>
          </c:cat>
          <c:val>
            <c:numRef>
              <c:f>EconomiaT40!$C$10</c:f>
              <c:numCache>
                <c:formatCode>_-* #,##0\ [$€-C0A]_-;\-* #,##0\ [$€-C0A]_-;_-* "-"??\ [$€-C0A]_-;_-@_-</c:formatCode>
                <c:ptCount val="1"/>
                <c:pt idx="0">
                  <c:v>0</c:v>
                </c:pt>
              </c:numCache>
            </c:numRef>
          </c:val>
          <c:extLst xmlns:c16r2="http://schemas.microsoft.com/office/drawing/2015/06/chart">
            <c:ext xmlns:c16="http://schemas.microsoft.com/office/drawing/2014/chart" uri="{C3380CC4-5D6E-409C-BE32-E72D297353CC}">
              <c16:uniqueId val="{00000004-8A51-47DD-BEAB-BC0C28EEB9F7}"/>
            </c:ext>
          </c:extLst>
        </c:ser>
        <c:ser>
          <c:idx val="5"/>
          <c:order val="5"/>
          <c:tx>
            <c:strRef>
              <c:f>EconomiaT40!$B$11</c:f>
              <c:strCache>
                <c:ptCount val="1"/>
                <c:pt idx="0">
                  <c:v>Nuevos Socios</c:v>
                </c:pt>
              </c:strCache>
            </c:strRef>
          </c:tx>
          <c:invertIfNegative val="0"/>
          <c:cat>
            <c:strRef>
              <c:f>[1]EconomiaT38!$A$13</c:f>
              <c:strCache>
                <c:ptCount val="1"/>
                <c:pt idx="0">
                  <c:v>TOTAL INGRESOS</c:v>
                </c:pt>
              </c:strCache>
            </c:strRef>
          </c:cat>
          <c:val>
            <c:numRef>
              <c:f>EconomiaT40!$C$11</c:f>
              <c:numCache>
                <c:formatCode>_-* #,##0\ [$€-C0A]_-;\-* #,##0\ [$€-C0A]_-;_-* "-"??\ [$€-C0A]_-;_-@_-</c:formatCode>
                <c:ptCount val="1"/>
                <c:pt idx="0">
                  <c:v>38970</c:v>
                </c:pt>
              </c:numCache>
            </c:numRef>
          </c:val>
          <c:extLst xmlns:c16r2="http://schemas.microsoft.com/office/drawing/2015/06/chart">
            <c:ext xmlns:c16="http://schemas.microsoft.com/office/drawing/2014/chart" uri="{C3380CC4-5D6E-409C-BE32-E72D297353CC}">
              <c16:uniqueId val="{00000005-8A51-47DD-BEAB-BC0C28EEB9F7}"/>
            </c:ext>
          </c:extLst>
        </c:ser>
        <c:ser>
          <c:idx val="6"/>
          <c:order val="6"/>
          <c:tx>
            <c:strRef>
              <c:f>EconomiaT40!$B$12</c:f>
              <c:strCache>
                <c:ptCount val="1"/>
                <c:pt idx="0">
                  <c:v>Premios</c:v>
                </c:pt>
              </c:strCache>
            </c:strRef>
          </c:tx>
          <c:invertIfNegative val="0"/>
          <c:cat>
            <c:strRef>
              <c:f>[1]EconomiaT38!$A$13</c:f>
              <c:strCache>
                <c:ptCount val="1"/>
                <c:pt idx="0">
                  <c:v>TOTAL INGRESOS</c:v>
                </c:pt>
              </c:strCache>
            </c:strRef>
          </c:cat>
          <c:val>
            <c:numRef>
              <c:f>EconomiaT40!$C$12</c:f>
              <c:numCache>
                <c:formatCode>_-* #,##0\ [$€-C0A]_-;\-* #,##0\ [$€-C0A]_-;_-* "-"??\ [$€-C0A]_-;_-@_-</c:formatCode>
                <c:ptCount val="1"/>
                <c:pt idx="0">
                  <c:v>164000</c:v>
                </c:pt>
              </c:numCache>
            </c:numRef>
          </c:val>
          <c:extLst xmlns:c16r2="http://schemas.microsoft.com/office/drawing/2015/06/chart">
            <c:ext xmlns:c16="http://schemas.microsoft.com/office/drawing/2014/chart" uri="{C3380CC4-5D6E-409C-BE32-E72D297353CC}">
              <c16:uniqueId val="{00000006-8A51-47DD-BEAB-BC0C28EEB9F7}"/>
            </c:ext>
          </c:extLst>
        </c:ser>
        <c:dLbls>
          <c:showLegendKey val="0"/>
          <c:showVal val="0"/>
          <c:showCatName val="0"/>
          <c:showSerName val="0"/>
          <c:showPercent val="0"/>
          <c:showBubbleSize val="0"/>
        </c:dLbls>
        <c:gapWidth val="150"/>
        <c:overlap val="100"/>
        <c:axId val="1187687872"/>
        <c:axId val="1187690048"/>
      </c:barChart>
      <c:catAx>
        <c:axId val="1187687872"/>
        <c:scaling>
          <c:orientation val="minMax"/>
        </c:scaling>
        <c:delete val="0"/>
        <c:axPos val="b"/>
        <c:numFmt formatCode="General" sourceLinked="1"/>
        <c:majorTickMark val="out"/>
        <c:minorTickMark val="none"/>
        <c:tickLblPos val="nextTo"/>
        <c:crossAx val="1187690048"/>
        <c:crosses val="autoZero"/>
        <c:auto val="1"/>
        <c:lblAlgn val="ctr"/>
        <c:lblOffset val="100"/>
        <c:noMultiLvlLbl val="0"/>
      </c:catAx>
      <c:valAx>
        <c:axId val="1187690048"/>
        <c:scaling>
          <c:orientation val="minMax"/>
        </c:scaling>
        <c:delete val="0"/>
        <c:axPos val="l"/>
        <c:majorGridlines/>
        <c:numFmt formatCode="_-* #,##0\ [$€-C0A]_-;\-* #,##0\ [$€-C0A]_-;_-* &quot;-&quot;??\ [$€-C0A]_-;_-@_-" sourceLinked="1"/>
        <c:majorTickMark val="out"/>
        <c:minorTickMark val="none"/>
        <c:tickLblPos val="nextTo"/>
        <c:crossAx val="118768787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EconomiaT44!$C$14</c:f>
              <c:numCache>
                <c:formatCode>_-* #,##0\ [$€-C0A]_-;\-* #,##0\ [$€-C0A]_-;_-* "-"??\ [$€-C0A]_-;_-@_-</c:formatCode>
                <c:ptCount val="1"/>
                <c:pt idx="0">
                  <c:v>470268</c:v>
                </c:pt>
              </c:numCache>
            </c:numRef>
          </c:val>
          <c:extLst xmlns:c16r2="http://schemas.microsoft.com/office/drawing/2015/06/chart">
            <c:ext xmlns:c16="http://schemas.microsoft.com/office/drawing/2014/chart" uri="{C3380CC4-5D6E-409C-BE32-E72D297353CC}">
              <c16:uniqueId val="{00000000-2A47-4103-818C-CF1252B78150}"/>
            </c:ext>
          </c:extLst>
        </c:ser>
        <c:ser>
          <c:idx val="1"/>
          <c:order val="1"/>
          <c:tx>
            <c:strRef>
              <c:f>EconomiaT44!$B$15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EconomiaT44!$C$15</c:f>
              <c:numCache>
                <c:formatCode>_-* #,##0\ [$€-C0A]_-;\-* #,##0\ [$€-C0A]_-;_-* "-"??\ [$€-C0A]_-;_-@_-</c:formatCode>
                <c:ptCount val="1"/>
                <c:pt idx="0">
                  <c:v>319514</c:v>
                </c:pt>
              </c:numCache>
            </c:numRef>
          </c:val>
          <c:extLst xmlns:c16r2="http://schemas.microsoft.com/office/drawing/2015/06/chart">
            <c:ext xmlns:c16="http://schemas.microsoft.com/office/drawing/2014/chart" uri="{C3380CC4-5D6E-409C-BE32-E72D297353CC}">
              <c16:uniqueId val="{00000001-2A47-4103-818C-CF1252B78150}"/>
            </c:ext>
          </c:extLst>
        </c:ser>
        <c:ser>
          <c:idx val="2"/>
          <c:order val="2"/>
          <c:tx>
            <c:strRef>
              <c:f>EconomiaT44!$B$16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EconomiaT44!$C$16</c:f>
              <c:numCache>
                <c:formatCode>_-* #,##0\ [$€-C0A]_-;\-* #,##0\ [$€-C0A]_-;_-* "-"??\ [$€-C0A]_-;_-@_-</c:formatCode>
                <c:ptCount val="1"/>
                <c:pt idx="0">
                  <c:v>0</c:v>
                </c:pt>
              </c:numCache>
            </c:numRef>
          </c:val>
          <c:extLst xmlns:c16r2="http://schemas.microsoft.com/office/drawing/2015/06/chart">
            <c:ext xmlns:c16="http://schemas.microsoft.com/office/drawing/2014/chart" uri="{C3380CC4-5D6E-409C-BE32-E72D297353CC}">
              <c16:uniqueId val="{00000002-2A47-4103-818C-CF1252B78150}"/>
            </c:ext>
          </c:extLst>
        </c:ser>
        <c:ser>
          <c:idx val="3"/>
          <c:order val="3"/>
          <c:tx>
            <c:strRef>
              <c:f>EconomiaT44!$B$17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EconomiaT44!$C$17</c:f>
              <c:numCache>
                <c:formatCode>_-* #,##0\ [$€-C0A]_-;\-* #,##0\ [$€-C0A]_-;_-* "-"??\ [$€-C0A]_-;_-@_-</c:formatCode>
                <c:ptCount val="1"/>
                <c:pt idx="0">
                  <c:v>1338000</c:v>
                </c:pt>
              </c:numCache>
            </c:numRef>
          </c:val>
          <c:extLst xmlns:c16r2="http://schemas.microsoft.com/office/drawing/2015/06/chart">
            <c:ext xmlns:c16="http://schemas.microsoft.com/office/drawing/2014/chart" uri="{C3380CC4-5D6E-409C-BE32-E72D297353CC}">
              <c16:uniqueId val="{00000003-2A47-4103-818C-CF1252B78150}"/>
            </c:ext>
          </c:extLst>
        </c:ser>
        <c:ser>
          <c:idx val="4"/>
          <c:order val="4"/>
          <c:tx>
            <c:strRef>
              <c:f>EconomiaT44!$B$18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EconomiaT44!$C$18</c:f>
              <c:numCache>
                <c:formatCode>_-* #,##0\ [$€-C0A]_-;\-* #,##0\ [$€-C0A]_-;_-* "-"??\ [$€-C0A]_-;_-@_-</c:formatCode>
                <c:ptCount val="1"/>
                <c:pt idx="0">
                  <c:v>320000</c:v>
                </c:pt>
              </c:numCache>
            </c:numRef>
          </c:val>
          <c:extLst xmlns:c16r2="http://schemas.microsoft.com/office/drawing/2015/06/chart">
            <c:ext xmlns:c16="http://schemas.microsoft.com/office/drawing/2014/chart" uri="{C3380CC4-5D6E-409C-BE32-E72D297353CC}">
              <c16:uniqueId val="{00000004-2A47-4103-818C-CF1252B78150}"/>
            </c:ext>
          </c:extLst>
        </c:ser>
        <c:ser>
          <c:idx val="5"/>
          <c:order val="5"/>
          <c:tx>
            <c:strRef>
              <c:f>EconomiaT44!$B$19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EconomiaT44!$C$19</c:f>
              <c:numCache>
                <c:formatCode>_-* #,##0\ [$€-C0A]_-;\-* #,##0\ [$€-C0A]_-;_-* "-"??\ [$€-C0A]_-;_-@_-</c:formatCode>
                <c:ptCount val="1"/>
                <c:pt idx="0">
                  <c:v>0</c:v>
                </c:pt>
              </c:numCache>
            </c:numRef>
          </c:val>
          <c:extLst xmlns:c16r2="http://schemas.microsoft.com/office/drawing/2015/06/chart">
            <c:ext xmlns:c16="http://schemas.microsoft.com/office/drawing/2014/chart" uri="{C3380CC4-5D6E-409C-BE32-E72D297353CC}">
              <c16:uniqueId val="{00000005-2A47-4103-818C-CF1252B78150}"/>
            </c:ext>
          </c:extLst>
        </c:ser>
        <c:ser>
          <c:idx val="6"/>
          <c:order val="6"/>
          <c:tx>
            <c:strRef>
              <c:f>EconomiaT44!$B$20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EconomiaT44!$C$20</c:f>
              <c:numCache>
                <c:formatCode>_-* #,##0\ [$€-C0A]_-;\-* #,##0\ [$€-C0A]_-;_-* "-"??\ [$€-C0A]_-;_-@_-</c:formatCode>
                <c:ptCount val="1"/>
                <c:pt idx="0">
                  <c:v>0</c:v>
                </c:pt>
              </c:numCache>
            </c:numRef>
          </c:val>
          <c:extLst xmlns:c16r2="http://schemas.microsoft.com/office/drawing/2015/06/chart">
            <c:ext xmlns:c16="http://schemas.microsoft.com/office/drawing/2014/chart" uri="{C3380CC4-5D6E-409C-BE32-E72D297353CC}">
              <c16:uniqueId val="{00000006-2A47-4103-818C-CF1252B78150}"/>
            </c:ext>
          </c:extLst>
        </c:ser>
        <c:ser>
          <c:idx val="7"/>
          <c:order val="7"/>
          <c:tx>
            <c:strRef>
              <c:f>EconomiaT44!$B$21</c:f>
              <c:strCache>
                <c:ptCount val="1"/>
                <c:pt idx="0">
                  <c:v>Viajes+Venta</c:v>
                </c:pt>
              </c:strCache>
            </c:strRef>
          </c:tx>
          <c:invertIfNegative val="0"/>
          <c:val>
            <c:numRef>
              <c:f>EconomiaT44!$C$21</c:f>
              <c:numCache>
                <c:formatCode>_-* #,##0\ [$€-C0A]_-;\-* #,##0\ [$€-C0A]_-;_-* "-"??\ [$€-C0A]_-;_-@_-</c:formatCode>
                <c:ptCount val="1"/>
                <c:pt idx="0">
                  <c:v>88000</c:v>
                </c:pt>
              </c:numCache>
            </c:numRef>
          </c:val>
          <c:extLst xmlns:c16r2="http://schemas.microsoft.com/office/drawing/2015/06/chart">
            <c:ext xmlns:c16="http://schemas.microsoft.com/office/drawing/2014/chart" uri="{C3380CC4-5D6E-409C-BE32-E72D297353CC}">
              <c16:uniqueId val="{00000007-2A47-4103-818C-CF1252B78150}"/>
            </c:ext>
          </c:extLst>
        </c:ser>
        <c:ser>
          <c:idx val="8"/>
          <c:order val="8"/>
          <c:tx>
            <c:strRef>
              <c:f>EconomiaT44!$B$22</c:f>
              <c:strCache>
                <c:ptCount val="1"/>
                <c:pt idx="0">
                  <c:v>Intereses</c:v>
                </c:pt>
              </c:strCache>
            </c:strRef>
          </c:tx>
          <c:invertIfNegative val="0"/>
          <c:val>
            <c:numRef>
              <c:f>EconomiaT44!$C$22</c:f>
              <c:numCache>
                <c:formatCode>_-* #,##0\ [$€-C0A]_-;\-* #,##0\ [$€-C0A]_-;_-* "-"??\ [$€-C0A]_-;_-@_-</c:formatCode>
                <c:ptCount val="1"/>
                <c:pt idx="0">
                  <c:v>0</c:v>
                </c:pt>
              </c:numCache>
            </c:numRef>
          </c:val>
          <c:extLst xmlns:c16r2="http://schemas.microsoft.com/office/drawing/2015/06/chart">
            <c:ext xmlns:c16="http://schemas.microsoft.com/office/drawing/2014/chart" uri="{C3380CC4-5D6E-409C-BE32-E72D297353CC}">
              <c16:uniqueId val="{00000008-2A47-4103-818C-CF1252B78150}"/>
            </c:ext>
          </c:extLst>
        </c:ser>
        <c:dLbls>
          <c:showLegendKey val="0"/>
          <c:showVal val="0"/>
          <c:showCatName val="0"/>
          <c:showSerName val="0"/>
          <c:showPercent val="0"/>
          <c:showBubbleSize val="0"/>
        </c:dLbls>
        <c:gapWidth val="150"/>
        <c:overlap val="100"/>
        <c:axId val="1411640592"/>
        <c:axId val="1411643856"/>
      </c:barChart>
      <c:catAx>
        <c:axId val="1411640592"/>
        <c:scaling>
          <c:orientation val="minMax"/>
        </c:scaling>
        <c:delete val="0"/>
        <c:axPos val="b"/>
        <c:numFmt formatCode="General" sourceLinked="1"/>
        <c:majorTickMark val="out"/>
        <c:minorTickMark val="none"/>
        <c:tickLblPos val="nextTo"/>
        <c:crossAx val="1411643856"/>
        <c:crosses val="autoZero"/>
        <c:auto val="1"/>
        <c:lblAlgn val="ctr"/>
        <c:lblOffset val="100"/>
        <c:noMultiLvlLbl val="0"/>
      </c:catAx>
      <c:valAx>
        <c:axId val="1411643856"/>
        <c:scaling>
          <c:orientation val="minMax"/>
        </c:scaling>
        <c:delete val="0"/>
        <c:axPos val="l"/>
        <c:majorGridlines/>
        <c:numFmt formatCode="_-* #,##0\ [$€-C0A]_-;\-* #,##0\ [$€-C0A]_-;_-* &quot;-&quot;??\ [$€-C0A]_-;_-@_-" sourceLinked="1"/>
        <c:majorTickMark val="out"/>
        <c:minorTickMark val="none"/>
        <c:tickLblPos val="nextTo"/>
        <c:crossAx val="141164059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EconomiaT45!$C$6</c:f>
              <c:numCache>
                <c:formatCode>_-* #,##0\ [$€-C0A]_-;\-* #,##0\ [$€-C0A]_-;_-* "-"??\ [$€-C0A]_-;_-@_-</c:formatCode>
                <c:ptCount val="1"/>
                <c:pt idx="0">
                  <c:v>2802198</c:v>
                </c:pt>
              </c:numCache>
            </c:numRef>
          </c:val>
          <c:extLst xmlns:c16r2="http://schemas.microsoft.com/office/drawing/2015/06/chart">
            <c:ext xmlns:c16="http://schemas.microsoft.com/office/drawing/2014/chart" uri="{C3380CC4-5D6E-409C-BE32-E72D297353CC}">
              <c16:uniqueId val="{00000000-2CFC-4BAB-8494-88C64F1D199F}"/>
            </c:ext>
          </c:extLst>
        </c:ser>
        <c:ser>
          <c:idx val="1"/>
          <c:order val="1"/>
          <c:tx>
            <c:strRef>
              <c:f>EconomiaT45!$B$7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EconomiaT45!$C$7</c:f>
              <c:numCache>
                <c:formatCode>_-* #,##0\ [$€-C0A]_-;\-* #,##0\ [$€-C0A]_-;_-* "-"??\ [$€-C0A]_-;_-@_-</c:formatCode>
                <c:ptCount val="1"/>
                <c:pt idx="0">
                  <c:v>1358155</c:v>
                </c:pt>
              </c:numCache>
            </c:numRef>
          </c:val>
          <c:extLst xmlns:c16r2="http://schemas.microsoft.com/office/drawing/2015/06/chart">
            <c:ext xmlns:c16="http://schemas.microsoft.com/office/drawing/2014/chart" uri="{C3380CC4-5D6E-409C-BE32-E72D297353CC}">
              <c16:uniqueId val="{00000001-2CFC-4BAB-8494-88C64F1D199F}"/>
            </c:ext>
          </c:extLst>
        </c:ser>
        <c:ser>
          <c:idx val="2"/>
          <c:order val="2"/>
          <c:tx>
            <c:strRef>
              <c:f>EconomiaT45!$B$8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EconomiaT45!$C$8</c:f>
              <c:numCache>
                <c:formatCode>_-* #,##0\ [$€-C0A]_-;\-* #,##0\ [$€-C0A]_-;_-* "-"??\ [$€-C0A]_-;_-@_-</c:formatCode>
                <c:ptCount val="1"/>
                <c:pt idx="0">
                  <c:v>44127</c:v>
                </c:pt>
              </c:numCache>
            </c:numRef>
          </c:val>
          <c:extLst xmlns:c16r2="http://schemas.microsoft.com/office/drawing/2015/06/chart">
            <c:ext xmlns:c16="http://schemas.microsoft.com/office/drawing/2014/chart" uri="{C3380CC4-5D6E-409C-BE32-E72D297353CC}">
              <c16:uniqueId val="{00000002-2CFC-4BAB-8494-88C64F1D199F}"/>
            </c:ext>
          </c:extLst>
        </c:ser>
        <c:ser>
          <c:idx val="3"/>
          <c:order val="3"/>
          <c:tx>
            <c:strRef>
              <c:f>EconomiaT45!$B$9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EconomiaT45!$C$9</c:f>
              <c:numCache>
                <c:formatCode>_-* #,##0\ [$€-C0A]_-;\-* #,##0\ [$€-C0A]_-;_-* "-"??\ [$€-C0A]_-;_-@_-</c:formatCode>
                <c:ptCount val="1"/>
                <c:pt idx="0">
                  <c:v>40850</c:v>
                </c:pt>
              </c:numCache>
            </c:numRef>
          </c:val>
          <c:extLst xmlns:c16r2="http://schemas.microsoft.com/office/drawing/2015/06/chart">
            <c:ext xmlns:c16="http://schemas.microsoft.com/office/drawing/2014/chart" uri="{C3380CC4-5D6E-409C-BE32-E72D297353CC}">
              <c16:uniqueId val="{00000003-2CFC-4BAB-8494-88C64F1D199F}"/>
            </c:ext>
          </c:extLst>
        </c:ser>
        <c:ser>
          <c:idx val="4"/>
          <c:order val="4"/>
          <c:tx>
            <c:strRef>
              <c:f>EconomiaT45!$B$10</c:f>
              <c:strCache>
                <c:ptCount val="1"/>
                <c:pt idx="0">
                  <c:v>Comisiones</c:v>
                </c:pt>
              </c:strCache>
            </c:strRef>
          </c:tx>
          <c:invertIfNegative val="0"/>
          <c:cat>
            <c:numLit>
              <c:formatCode>General</c:formatCode>
              <c:ptCount val="1"/>
              <c:pt idx="0">
                <c:v>0</c:v>
              </c:pt>
            </c:numLit>
          </c:cat>
          <c:val>
            <c:numRef>
              <c:f>EconomiaT45!$C$10</c:f>
              <c:numCache>
                <c:formatCode>_-* #,##0\ [$€-C0A]_-;\-* #,##0\ [$€-C0A]_-;_-* "-"??\ [$€-C0A]_-;_-@_-</c:formatCode>
                <c:ptCount val="1"/>
                <c:pt idx="0">
                  <c:v>473</c:v>
                </c:pt>
              </c:numCache>
            </c:numRef>
          </c:val>
          <c:extLst xmlns:c16r2="http://schemas.microsoft.com/office/drawing/2015/06/chart">
            <c:ext xmlns:c16="http://schemas.microsoft.com/office/drawing/2014/chart" uri="{C3380CC4-5D6E-409C-BE32-E72D297353CC}">
              <c16:uniqueId val="{00000004-2CFC-4BAB-8494-88C64F1D199F}"/>
            </c:ext>
          </c:extLst>
        </c:ser>
        <c:ser>
          <c:idx val="5"/>
          <c:order val="5"/>
          <c:tx>
            <c:strRef>
              <c:f>EconomiaT45!$B$11</c:f>
              <c:strCache>
                <c:ptCount val="1"/>
                <c:pt idx="0">
                  <c:v>Nuevos Socios</c:v>
                </c:pt>
              </c:strCache>
            </c:strRef>
          </c:tx>
          <c:invertIfNegative val="0"/>
          <c:cat>
            <c:numLit>
              <c:formatCode>General</c:formatCode>
              <c:ptCount val="1"/>
              <c:pt idx="0">
                <c:v>0</c:v>
              </c:pt>
            </c:numLit>
          </c:cat>
          <c:val>
            <c:numRef>
              <c:f>EconomiaT45!$C$11</c:f>
              <c:numCache>
                <c:formatCode>_-* #,##0\ [$€-C0A]_-;\-* #,##0\ [$€-C0A]_-;_-* "-"??\ [$€-C0A]_-;_-@_-</c:formatCode>
                <c:ptCount val="1"/>
                <c:pt idx="0">
                  <c:v>72269</c:v>
                </c:pt>
              </c:numCache>
            </c:numRef>
          </c:val>
          <c:extLst xmlns:c16r2="http://schemas.microsoft.com/office/drawing/2015/06/chart">
            <c:ext xmlns:c16="http://schemas.microsoft.com/office/drawing/2014/chart" uri="{C3380CC4-5D6E-409C-BE32-E72D297353CC}">
              <c16:uniqueId val="{00000005-2CFC-4BAB-8494-88C64F1D199F}"/>
            </c:ext>
          </c:extLst>
        </c:ser>
        <c:ser>
          <c:idx val="6"/>
          <c:order val="6"/>
          <c:tx>
            <c:strRef>
              <c:f>EconomiaT45!$B$12</c:f>
              <c:strCache>
                <c:ptCount val="1"/>
                <c:pt idx="0">
                  <c:v>Premios</c:v>
                </c:pt>
              </c:strCache>
            </c:strRef>
          </c:tx>
          <c:invertIfNegative val="0"/>
          <c:cat>
            <c:numLit>
              <c:formatCode>General</c:formatCode>
              <c:ptCount val="1"/>
              <c:pt idx="0">
                <c:v>0</c:v>
              </c:pt>
            </c:numLit>
          </c:cat>
          <c:val>
            <c:numRef>
              <c:f>EconomiaT45!$C$12</c:f>
              <c:numCache>
                <c:formatCode>_-* #,##0\ [$€-C0A]_-;\-* #,##0\ [$€-C0A]_-;_-* "-"??\ [$€-C0A]_-;_-@_-</c:formatCode>
                <c:ptCount val="1"/>
                <c:pt idx="0">
                  <c:v>900000</c:v>
                </c:pt>
              </c:numCache>
            </c:numRef>
          </c:val>
          <c:extLst xmlns:c16r2="http://schemas.microsoft.com/office/drawing/2015/06/chart">
            <c:ext xmlns:c16="http://schemas.microsoft.com/office/drawing/2014/chart" uri="{C3380CC4-5D6E-409C-BE32-E72D297353CC}">
              <c16:uniqueId val="{00000006-2CFC-4BAB-8494-88C64F1D199F}"/>
            </c:ext>
          </c:extLst>
        </c:ser>
        <c:dLbls>
          <c:showLegendKey val="0"/>
          <c:showVal val="0"/>
          <c:showCatName val="0"/>
          <c:showSerName val="0"/>
          <c:showPercent val="0"/>
          <c:showBubbleSize val="0"/>
        </c:dLbls>
        <c:gapWidth val="150"/>
        <c:overlap val="100"/>
        <c:axId val="1411632976"/>
        <c:axId val="1411641136"/>
      </c:barChart>
      <c:catAx>
        <c:axId val="1411632976"/>
        <c:scaling>
          <c:orientation val="minMax"/>
        </c:scaling>
        <c:delete val="0"/>
        <c:axPos val="b"/>
        <c:numFmt formatCode="General" sourceLinked="1"/>
        <c:majorTickMark val="out"/>
        <c:minorTickMark val="none"/>
        <c:tickLblPos val="nextTo"/>
        <c:crossAx val="1411641136"/>
        <c:crosses val="autoZero"/>
        <c:auto val="1"/>
        <c:lblAlgn val="ctr"/>
        <c:lblOffset val="100"/>
        <c:noMultiLvlLbl val="0"/>
      </c:catAx>
      <c:valAx>
        <c:axId val="1411641136"/>
        <c:scaling>
          <c:orientation val="minMax"/>
        </c:scaling>
        <c:delete val="0"/>
        <c:axPos val="l"/>
        <c:majorGridlines/>
        <c:numFmt formatCode="_-* #,##0\ [$€-C0A]_-;\-* #,##0\ [$€-C0A]_-;_-* &quot;-&quot;??\ [$€-C0A]_-;_-@_-" sourceLinked="1"/>
        <c:majorTickMark val="out"/>
        <c:minorTickMark val="none"/>
        <c:tickLblPos val="nextTo"/>
        <c:crossAx val="141163297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EconomiaT45!$C$14</c:f>
              <c:numCache>
                <c:formatCode>_-* #,##0\ [$€-C0A]_-;\-* #,##0\ [$€-C0A]_-;_-* "-"??\ [$€-C0A]_-;_-@_-</c:formatCode>
                <c:ptCount val="1"/>
                <c:pt idx="0">
                  <c:v>604148</c:v>
                </c:pt>
              </c:numCache>
            </c:numRef>
          </c:val>
          <c:extLst xmlns:c16r2="http://schemas.microsoft.com/office/drawing/2015/06/chart">
            <c:ext xmlns:c16="http://schemas.microsoft.com/office/drawing/2014/chart" uri="{C3380CC4-5D6E-409C-BE32-E72D297353CC}">
              <c16:uniqueId val="{00000000-30D8-4619-B26E-D6868D80218E}"/>
            </c:ext>
          </c:extLst>
        </c:ser>
        <c:ser>
          <c:idx val="1"/>
          <c:order val="1"/>
          <c:tx>
            <c:strRef>
              <c:f>EconomiaT45!$B$15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EconomiaT45!$C$15</c:f>
              <c:numCache>
                <c:formatCode>_-* #,##0\ [$€-C0A]_-;\-* #,##0\ [$€-C0A]_-;_-* "-"??\ [$€-C0A]_-;_-@_-</c:formatCode>
                <c:ptCount val="1"/>
                <c:pt idx="0">
                  <c:v>322016</c:v>
                </c:pt>
              </c:numCache>
            </c:numRef>
          </c:val>
          <c:extLst xmlns:c16r2="http://schemas.microsoft.com/office/drawing/2015/06/chart">
            <c:ext xmlns:c16="http://schemas.microsoft.com/office/drawing/2014/chart" uri="{C3380CC4-5D6E-409C-BE32-E72D297353CC}">
              <c16:uniqueId val="{00000001-30D8-4619-B26E-D6868D80218E}"/>
            </c:ext>
          </c:extLst>
        </c:ser>
        <c:ser>
          <c:idx val="2"/>
          <c:order val="2"/>
          <c:tx>
            <c:strRef>
              <c:f>EconomiaT45!$B$16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EconomiaT45!$C$16</c:f>
              <c:numCache>
                <c:formatCode>_-* #,##0\ [$€-C0A]_-;\-* #,##0\ [$€-C0A]_-;_-* "-"??\ [$€-C0A]_-;_-@_-</c:formatCode>
                <c:ptCount val="1"/>
                <c:pt idx="0">
                  <c:v>377170</c:v>
                </c:pt>
              </c:numCache>
            </c:numRef>
          </c:val>
          <c:extLst xmlns:c16r2="http://schemas.microsoft.com/office/drawing/2015/06/chart">
            <c:ext xmlns:c16="http://schemas.microsoft.com/office/drawing/2014/chart" uri="{C3380CC4-5D6E-409C-BE32-E72D297353CC}">
              <c16:uniqueId val="{00000002-30D8-4619-B26E-D6868D80218E}"/>
            </c:ext>
          </c:extLst>
        </c:ser>
        <c:ser>
          <c:idx val="3"/>
          <c:order val="3"/>
          <c:tx>
            <c:strRef>
              <c:f>EconomiaT45!$B$17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EconomiaT45!$C$17</c:f>
              <c:numCache>
                <c:formatCode>_-* #,##0\ [$€-C0A]_-;\-* #,##0\ [$€-C0A]_-;_-* "-"??\ [$€-C0A]_-;_-@_-</c:formatCode>
                <c:ptCount val="1"/>
                <c:pt idx="0">
                  <c:v>1680000</c:v>
                </c:pt>
              </c:numCache>
            </c:numRef>
          </c:val>
          <c:extLst xmlns:c16r2="http://schemas.microsoft.com/office/drawing/2015/06/chart">
            <c:ext xmlns:c16="http://schemas.microsoft.com/office/drawing/2014/chart" uri="{C3380CC4-5D6E-409C-BE32-E72D297353CC}">
              <c16:uniqueId val="{00000003-30D8-4619-B26E-D6868D80218E}"/>
            </c:ext>
          </c:extLst>
        </c:ser>
        <c:ser>
          <c:idx val="4"/>
          <c:order val="4"/>
          <c:tx>
            <c:strRef>
              <c:f>EconomiaT45!$B$18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EconomiaT45!$C$18</c:f>
              <c:numCache>
                <c:formatCode>_-* #,##0\ [$€-C0A]_-;\-* #,##0\ [$€-C0A]_-;_-* "-"??\ [$€-C0A]_-;_-@_-</c:formatCode>
                <c:ptCount val="1"/>
                <c:pt idx="0">
                  <c:v>320000</c:v>
                </c:pt>
              </c:numCache>
            </c:numRef>
          </c:val>
          <c:extLst xmlns:c16r2="http://schemas.microsoft.com/office/drawing/2015/06/chart">
            <c:ext xmlns:c16="http://schemas.microsoft.com/office/drawing/2014/chart" uri="{C3380CC4-5D6E-409C-BE32-E72D297353CC}">
              <c16:uniqueId val="{00000004-30D8-4619-B26E-D6868D80218E}"/>
            </c:ext>
          </c:extLst>
        </c:ser>
        <c:ser>
          <c:idx val="5"/>
          <c:order val="5"/>
          <c:tx>
            <c:strRef>
              <c:f>EconomiaT45!$B$19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EconomiaT45!$C$19</c:f>
              <c:numCache>
                <c:formatCode>_-* #,##0\ [$€-C0A]_-;\-* #,##0\ [$€-C0A]_-;_-* "-"??\ [$€-C0A]_-;_-@_-</c:formatCode>
                <c:ptCount val="1"/>
                <c:pt idx="0">
                  <c:v>1052940</c:v>
                </c:pt>
              </c:numCache>
            </c:numRef>
          </c:val>
          <c:extLst xmlns:c16r2="http://schemas.microsoft.com/office/drawing/2015/06/chart">
            <c:ext xmlns:c16="http://schemas.microsoft.com/office/drawing/2014/chart" uri="{C3380CC4-5D6E-409C-BE32-E72D297353CC}">
              <c16:uniqueId val="{00000005-30D8-4619-B26E-D6868D80218E}"/>
            </c:ext>
          </c:extLst>
        </c:ser>
        <c:ser>
          <c:idx val="6"/>
          <c:order val="6"/>
          <c:tx>
            <c:strRef>
              <c:f>EconomiaT45!$B$20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EconomiaT45!$C$20</c:f>
              <c:numCache>
                <c:formatCode>_-* #,##0\ [$€-C0A]_-;\-* #,##0\ [$€-C0A]_-;_-* "-"??\ [$€-C0A]_-;_-@_-</c:formatCode>
                <c:ptCount val="1"/>
                <c:pt idx="0">
                  <c:v>0</c:v>
                </c:pt>
              </c:numCache>
            </c:numRef>
          </c:val>
          <c:extLst xmlns:c16r2="http://schemas.microsoft.com/office/drawing/2015/06/chart">
            <c:ext xmlns:c16="http://schemas.microsoft.com/office/drawing/2014/chart" uri="{C3380CC4-5D6E-409C-BE32-E72D297353CC}">
              <c16:uniqueId val="{00000006-30D8-4619-B26E-D6868D80218E}"/>
            </c:ext>
          </c:extLst>
        </c:ser>
        <c:ser>
          <c:idx val="7"/>
          <c:order val="7"/>
          <c:tx>
            <c:strRef>
              <c:f>EconomiaT45!$B$21</c:f>
              <c:strCache>
                <c:ptCount val="1"/>
                <c:pt idx="0">
                  <c:v>Viajes+Venta</c:v>
                </c:pt>
              </c:strCache>
            </c:strRef>
          </c:tx>
          <c:invertIfNegative val="0"/>
          <c:val>
            <c:numRef>
              <c:f>EconomiaT45!$C$21</c:f>
              <c:numCache>
                <c:formatCode>_-* #,##0\ [$€-C0A]_-;\-* #,##0\ [$€-C0A]_-;_-* "-"??\ [$€-C0A]_-;_-@_-</c:formatCode>
                <c:ptCount val="1"/>
                <c:pt idx="0">
                  <c:v>59000</c:v>
                </c:pt>
              </c:numCache>
            </c:numRef>
          </c:val>
          <c:extLst xmlns:c16r2="http://schemas.microsoft.com/office/drawing/2015/06/chart">
            <c:ext xmlns:c16="http://schemas.microsoft.com/office/drawing/2014/chart" uri="{C3380CC4-5D6E-409C-BE32-E72D297353CC}">
              <c16:uniqueId val="{00000007-30D8-4619-B26E-D6868D80218E}"/>
            </c:ext>
          </c:extLst>
        </c:ser>
        <c:ser>
          <c:idx val="8"/>
          <c:order val="8"/>
          <c:tx>
            <c:strRef>
              <c:f>EconomiaT45!$B$22</c:f>
              <c:strCache>
                <c:ptCount val="1"/>
                <c:pt idx="0">
                  <c:v>Intereses</c:v>
                </c:pt>
              </c:strCache>
            </c:strRef>
          </c:tx>
          <c:invertIfNegative val="0"/>
          <c:val>
            <c:numRef>
              <c:f>EconomiaT45!$C$22</c:f>
              <c:numCache>
                <c:formatCode>_-* #,##0\ [$€-C0A]_-;\-* #,##0\ [$€-C0A]_-;_-* "-"??\ [$€-C0A]_-;_-@_-</c:formatCode>
                <c:ptCount val="1"/>
                <c:pt idx="0">
                  <c:v>0</c:v>
                </c:pt>
              </c:numCache>
            </c:numRef>
          </c:val>
          <c:extLst xmlns:c16r2="http://schemas.microsoft.com/office/drawing/2015/06/chart">
            <c:ext xmlns:c16="http://schemas.microsoft.com/office/drawing/2014/chart" uri="{C3380CC4-5D6E-409C-BE32-E72D297353CC}">
              <c16:uniqueId val="{00000008-30D8-4619-B26E-D6868D80218E}"/>
            </c:ext>
          </c:extLst>
        </c:ser>
        <c:dLbls>
          <c:showLegendKey val="0"/>
          <c:showVal val="0"/>
          <c:showCatName val="0"/>
          <c:showSerName val="0"/>
          <c:showPercent val="0"/>
          <c:showBubbleSize val="0"/>
        </c:dLbls>
        <c:gapWidth val="150"/>
        <c:overlap val="100"/>
        <c:axId val="1411638960"/>
        <c:axId val="1411631888"/>
      </c:barChart>
      <c:catAx>
        <c:axId val="1411638960"/>
        <c:scaling>
          <c:orientation val="minMax"/>
        </c:scaling>
        <c:delete val="0"/>
        <c:axPos val="b"/>
        <c:numFmt formatCode="General" sourceLinked="1"/>
        <c:majorTickMark val="out"/>
        <c:minorTickMark val="none"/>
        <c:tickLblPos val="nextTo"/>
        <c:crossAx val="1411631888"/>
        <c:crosses val="autoZero"/>
        <c:auto val="1"/>
        <c:lblAlgn val="ctr"/>
        <c:lblOffset val="100"/>
        <c:noMultiLvlLbl val="0"/>
      </c:catAx>
      <c:valAx>
        <c:axId val="1411631888"/>
        <c:scaling>
          <c:orientation val="minMax"/>
        </c:scaling>
        <c:delete val="0"/>
        <c:axPos val="l"/>
        <c:majorGridlines/>
        <c:numFmt formatCode="_-* #,##0\ [$€-C0A]_-;\-* #,##0\ [$€-C0A]_-;_-* &quot;-&quot;??\ [$€-C0A]_-;_-@_-" sourceLinked="1"/>
        <c:majorTickMark val="out"/>
        <c:minorTickMark val="none"/>
        <c:tickLblPos val="nextTo"/>
        <c:crossAx val="141163896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EconomiaT46!$C$6</c:f>
              <c:numCache>
                <c:formatCode>_-* #,##0\ [$€-C0A]_-;\-* #,##0\ [$€-C0A]_-;_-* "-"??\ [$€-C0A]_-;_-@_-</c:formatCode>
                <c:ptCount val="1"/>
                <c:pt idx="0">
                  <c:v>3356670</c:v>
                </c:pt>
              </c:numCache>
            </c:numRef>
          </c:val>
          <c:extLst xmlns:c16r2="http://schemas.microsoft.com/office/drawing/2015/06/chart">
            <c:ext xmlns:c16="http://schemas.microsoft.com/office/drawing/2014/chart" uri="{C3380CC4-5D6E-409C-BE32-E72D297353CC}">
              <c16:uniqueId val="{00000000-C874-438B-9FC9-F217CD9778A0}"/>
            </c:ext>
          </c:extLst>
        </c:ser>
        <c:ser>
          <c:idx val="1"/>
          <c:order val="1"/>
          <c:tx>
            <c:strRef>
              <c:f>EconomiaT46!$B$7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EconomiaT46!$C$7</c:f>
              <c:numCache>
                <c:formatCode>_-* #,##0\ [$€-C0A]_-;\-* #,##0\ [$€-C0A]_-;_-* "-"??\ [$€-C0A]_-;_-@_-</c:formatCode>
                <c:ptCount val="1"/>
                <c:pt idx="0">
                  <c:v>1671554.3711659508</c:v>
                </c:pt>
              </c:numCache>
            </c:numRef>
          </c:val>
          <c:extLst xmlns:c16r2="http://schemas.microsoft.com/office/drawing/2015/06/chart">
            <c:ext xmlns:c16="http://schemas.microsoft.com/office/drawing/2014/chart" uri="{C3380CC4-5D6E-409C-BE32-E72D297353CC}">
              <c16:uniqueId val="{00000001-C874-438B-9FC9-F217CD9778A0}"/>
            </c:ext>
          </c:extLst>
        </c:ser>
        <c:ser>
          <c:idx val="2"/>
          <c:order val="2"/>
          <c:tx>
            <c:strRef>
              <c:f>EconomiaT46!$B$8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EconomiaT46!$C$8</c:f>
              <c:numCache>
                <c:formatCode>_-* #,##0\ [$€-C0A]_-;\-* #,##0\ [$€-C0A]_-;_-* "-"??\ [$€-C0A]_-;_-@_-</c:formatCode>
                <c:ptCount val="1"/>
                <c:pt idx="0">
                  <c:v>0</c:v>
                </c:pt>
              </c:numCache>
            </c:numRef>
          </c:val>
          <c:extLst xmlns:c16r2="http://schemas.microsoft.com/office/drawing/2015/06/chart">
            <c:ext xmlns:c16="http://schemas.microsoft.com/office/drawing/2014/chart" uri="{C3380CC4-5D6E-409C-BE32-E72D297353CC}">
              <c16:uniqueId val="{00000002-C874-438B-9FC9-F217CD9778A0}"/>
            </c:ext>
          </c:extLst>
        </c:ser>
        <c:ser>
          <c:idx val="3"/>
          <c:order val="3"/>
          <c:tx>
            <c:strRef>
              <c:f>EconomiaT46!$B$9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EconomiaT46!$C$9</c:f>
              <c:numCache>
                <c:formatCode>_-* #,##0\ [$€-C0A]_-;\-* #,##0\ [$€-C0A]_-;_-* "-"??\ [$€-C0A]_-;_-@_-</c:formatCode>
                <c:ptCount val="1"/>
                <c:pt idx="0">
                  <c:v>15200</c:v>
                </c:pt>
              </c:numCache>
            </c:numRef>
          </c:val>
          <c:extLst xmlns:c16r2="http://schemas.microsoft.com/office/drawing/2015/06/chart">
            <c:ext xmlns:c16="http://schemas.microsoft.com/office/drawing/2014/chart" uri="{C3380CC4-5D6E-409C-BE32-E72D297353CC}">
              <c16:uniqueId val="{00000003-C874-438B-9FC9-F217CD9778A0}"/>
            </c:ext>
          </c:extLst>
        </c:ser>
        <c:ser>
          <c:idx val="4"/>
          <c:order val="4"/>
          <c:tx>
            <c:strRef>
              <c:f>EconomiaT46!$B$10</c:f>
              <c:strCache>
                <c:ptCount val="1"/>
                <c:pt idx="0">
                  <c:v>Comisiones</c:v>
                </c:pt>
              </c:strCache>
            </c:strRef>
          </c:tx>
          <c:invertIfNegative val="0"/>
          <c:cat>
            <c:numLit>
              <c:formatCode>General</c:formatCode>
              <c:ptCount val="1"/>
              <c:pt idx="0">
                <c:v>0</c:v>
              </c:pt>
            </c:numLit>
          </c:cat>
          <c:val>
            <c:numRef>
              <c:f>EconomiaT46!$C$10</c:f>
              <c:numCache>
                <c:formatCode>_-* #,##0\ [$€-C0A]_-;\-* #,##0\ [$€-C0A]_-;_-* "-"??\ [$€-C0A]_-;_-@_-</c:formatCode>
                <c:ptCount val="1"/>
                <c:pt idx="0">
                  <c:v>7140</c:v>
                </c:pt>
              </c:numCache>
            </c:numRef>
          </c:val>
          <c:extLst xmlns:c16r2="http://schemas.microsoft.com/office/drawing/2015/06/chart">
            <c:ext xmlns:c16="http://schemas.microsoft.com/office/drawing/2014/chart" uri="{C3380CC4-5D6E-409C-BE32-E72D297353CC}">
              <c16:uniqueId val="{00000004-C874-438B-9FC9-F217CD9778A0}"/>
            </c:ext>
          </c:extLst>
        </c:ser>
        <c:ser>
          <c:idx val="5"/>
          <c:order val="5"/>
          <c:tx>
            <c:strRef>
              <c:f>EconomiaT46!$B$11</c:f>
              <c:strCache>
                <c:ptCount val="1"/>
                <c:pt idx="0">
                  <c:v>Nuevos Socios</c:v>
                </c:pt>
              </c:strCache>
            </c:strRef>
          </c:tx>
          <c:invertIfNegative val="0"/>
          <c:cat>
            <c:numLit>
              <c:formatCode>General</c:formatCode>
              <c:ptCount val="1"/>
              <c:pt idx="0">
                <c:v>0</c:v>
              </c:pt>
            </c:numLit>
          </c:cat>
          <c:val>
            <c:numRef>
              <c:f>EconomiaT46!$C$11</c:f>
              <c:numCache>
                <c:formatCode>_-* #,##0\ [$€-C0A]_-;\-* #,##0\ [$€-C0A]_-;_-* "-"??\ [$€-C0A]_-;_-@_-</c:formatCode>
                <c:ptCount val="1"/>
                <c:pt idx="0">
                  <c:v>83340</c:v>
                </c:pt>
              </c:numCache>
            </c:numRef>
          </c:val>
          <c:extLst xmlns:c16r2="http://schemas.microsoft.com/office/drawing/2015/06/chart">
            <c:ext xmlns:c16="http://schemas.microsoft.com/office/drawing/2014/chart" uri="{C3380CC4-5D6E-409C-BE32-E72D297353CC}">
              <c16:uniqueId val="{00000005-C874-438B-9FC9-F217CD9778A0}"/>
            </c:ext>
          </c:extLst>
        </c:ser>
        <c:ser>
          <c:idx val="6"/>
          <c:order val="6"/>
          <c:tx>
            <c:strRef>
              <c:f>EconomiaT46!$B$12</c:f>
              <c:strCache>
                <c:ptCount val="1"/>
                <c:pt idx="0">
                  <c:v>Premios</c:v>
                </c:pt>
              </c:strCache>
            </c:strRef>
          </c:tx>
          <c:invertIfNegative val="0"/>
          <c:cat>
            <c:numLit>
              <c:formatCode>General</c:formatCode>
              <c:ptCount val="1"/>
              <c:pt idx="0">
                <c:v>0</c:v>
              </c:pt>
            </c:numLit>
          </c:cat>
          <c:val>
            <c:numRef>
              <c:f>EconomiaT46!$C$12</c:f>
              <c:numCache>
                <c:formatCode>_-* #,##0\ [$€-C0A]_-;\-* #,##0\ [$€-C0A]_-;_-* "-"??\ [$€-C0A]_-;_-@_-</c:formatCode>
                <c:ptCount val="1"/>
                <c:pt idx="0">
                  <c:v>1430300</c:v>
                </c:pt>
              </c:numCache>
            </c:numRef>
          </c:val>
          <c:extLst xmlns:c16r2="http://schemas.microsoft.com/office/drawing/2015/06/chart">
            <c:ext xmlns:c16="http://schemas.microsoft.com/office/drawing/2014/chart" uri="{C3380CC4-5D6E-409C-BE32-E72D297353CC}">
              <c16:uniqueId val="{00000006-C874-438B-9FC9-F217CD9778A0}"/>
            </c:ext>
          </c:extLst>
        </c:ser>
        <c:dLbls>
          <c:showLegendKey val="0"/>
          <c:showVal val="0"/>
          <c:showCatName val="0"/>
          <c:showSerName val="0"/>
          <c:showPercent val="0"/>
          <c:showBubbleSize val="0"/>
        </c:dLbls>
        <c:gapWidth val="150"/>
        <c:overlap val="100"/>
        <c:axId val="1411642768"/>
        <c:axId val="1411635696"/>
      </c:barChart>
      <c:catAx>
        <c:axId val="1411642768"/>
        <c:scaling>
          <c:orientation val="minMax"/>
        </c:scaling>
        <c:delete val="0"/>
        <c:axPos val="b"/>
        <c:numFmt formatCode="General" sourceLinked="1"/>
        <c:majorTickMark val="out"/>
        <c:minorTickMark val="none"/>
        <c:tickLblPos val="nextTo"/>
        <c:crossAx val="1411635696"/>
        <c:crosses val="autoZero"/>
        <c:auto val="1"/>
        <c:lblAlgn val="ctr"/>
        <c:lblOffset val="100"/>
        <c:noMultiLvlLbl val="0"/>
      </c:catAx>
      <c:valAx>
        <c:axId val="1411635696"/>
        <c:scaling>
          <c:orientation val="minMax"/>
        </c:scaling>
        <c:delete val="0"/>
        <c:axPos val="l"/>
        <c:majorGridlines/>
        <c:numFmt formatCode="_-* #,##0\ [$€-C0A]_-;\-* #,##0\ [$€-C0A]_-;_-* &quot;-&quot;??\ [$€-C0A]_-;_-@_-" sourceLinked="1"/>
        <c:majorTickMark val="out"/>
        <c:minorTickMark val="none"/>
        <c:tickLblPos val="nextTo"/>
        <c:crossAx val="141164276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EconomiaT46!$C$14</c:f>
              <c:numCache>
                <c:formatCode>_-* #,##0\ [$€-C0A]_-;\-* #,##0\ [$€-C0A]_-;_-* "-"??\ [$€-C0A]_-;_-@_-</c:formatCode>
                <c:ptCount val="1"/>
                <c:pt idx="0">
                  <c:v>839530</c:v>
                </c:pt>
              </c:numCache>
            </c:numRef>
          </c:val>
          <c:extLst xmlns:c16r2="http://schemas.microsoft.com/office/drawing/2015/06/chart">
            <c:ext xmlns:c16="http://schemas.microsoft.com/office/drawing/2014/chart" uri="{C3380CC4-5D6E-409C-BE32-E72D297353CC}">
              <c16:uniqueId val="{00000000-3299-4E16-8961-E6DA132C5E80}"/>
            </c:ext>
          </c:extLst>
        </c:ser>
        <c:ser>
          <c:idx val="1"/>
          <c:order val="1"/>
          <c:tx>
            <c:strRef>
              <c:f>EconomiaT46!$B$15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EconomiaT46!$C$15</c:f>
              <c:numCache>
                <c:formatCode>_-* #,##0\ [$€-C0A]_-;\-* #,##0\ [$€-C0A]_-;_-* "-"??\ [$€-C0A]_-;_-@_-</c:formatCode>
                <c:ptCount val="1"/>
                <c:pt idx="0">
                  <c:v>415055</c:v>
                </c:pt>
              </c:numCache>
            </c:numRef>
          </c:val>
          <c:extLst xmlns:c16r2="http://schemas.microsoft.com/office/drawing/2015/06/chart">
            <c:ext xmlns:c16="http://schemas.microsoft.com/office/drawing/2014/chart" uri="{C3380CC4-5D6E-409C-BE32-E72D297353CC}">
              <c16:uniqueId val="{00000001-3299-4E16-8961-E6DA132C5E80}"/>
            </c:ext>
          </c:extLst>
        </c:ser>
        <c:ser>
          <c:idx val="2"/>
          <c:order val="2"/>
          <c:tx>
            <c:strRef>
              <c:f>EconomiaT46!$B$16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EconomiaT46!$C$16</c:f>
              <c:numCache>
                <c:formatCode>_-* #,##0\ [$€-C0A]_-;\-* #,##0\ [$€-C0A]_-;_-* "-"??\ [$€-C0A]_-;_-@_-</c:formatCode>
                <c:ptCount val="1"/>
                <c:pt idx="0">
                  <c:v>996890</c:v>
                </c:pt>
              </c:numCache>
            </c:numRef>
          </c:val>
          <c:extLst xmlns:c16r2="http://schemas.microsoft.com/office/drawing/2015/06/chart">
            <c:ext xmlns:c16="http://schemas.microsoft.com/office/drawing/2014/chart" uri="{C3380CC4-5D6E-409C-BE32-E72D297353CC}">
              <c16:uniqueId val="{00000002-3299-4E16-8961-E6DA132C5E80}"/>
            </c:ext>
          </c:extLst>
        </c:ser>
        <c:ser>
          <c:idx val="3"/>
          <c:order val="3"/>
          <c:tx>
            <c:strRef>
              <c:f>EconomiaT46!$B$17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EconomiaT46!$C$17</c:f>
              <c:numCache>
                <c:formatCode>_-* #,##0\ [$€-C0A]_-;\-* #,##0\ [$€-C0A]_-;_-* "-"??\ [$€-C0A]_-;_-@_-</c:formatCode>
                <c:ptCount val="1"/>
                <c:pt idx="0">
                  <c:v>1848000</c:v>
                </c:pt>
              </c:numCache>
            </c:numRef>
          </c:val>
          <c:extLst xmlns:c16r2="http://schemas.microsoft.com/office/drawing/2015/06/chart">
            <c:ext xmlns:c16="http://schemas.microsoft.com/office/drawing/2014/chart" uri="{C3380CC4-5D6E-409C-BE32-E72D297353CC}">
              <c16:uniqueId val="{00000003-3299-4E16-8961-E6DA132C5E80}"/>
            </c:ext>
          </c:extLst>
        </c:ser>
        <c:ser>
          <c:idx val="4"/>
          <c:order val="4"/>
          <c:tx>
            <c:strRef>
              <c:f>EconomiaT46!$B$18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EconomiaT46!$C$18</c:f>
              <c:numCache>
                <c:formatCode>_-* #,##0\ [$€-C0A]_-;\-* #,##0\ [$€-C0A]_-;_-* "-"??\ [$€-C0A]_-;_-@_-</c:formatCode>
                <c:ptCount val="1"/>
                <c:pt idx="0">
                  <c:v>320000</c:v>
                </c:pt>
              </c:numCache>
            </c:numRef>
          </c:val>
          <c:extLst xmlns:c16r2="http://schemas.microsoft.com/office/drawing/2015/06/chart">
            <c:ext xmlns:c16="http://schemas.microsoft.com/office/drawing/2014/chart" uri="{C3380CC4-5D6E-409C-BE32-E72D297353CC}">
              <c16:uniqueId val="{00000004-3299-4E16-8961-E6DA132C5E80}"/>
            </c:ext>
          </c:extLst>
        </c:ser>
        <c:ser>
          <c:idx val="5"/>
          <c:order val="5"/>
          <c:tx>
            <c:strRef>
              <c:f>EconomiaT46!$B$19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EconomiaT46!$C$19</c:f>
              <c:numCache>
                <c:formatCode>_-* #,##0\ [$€-C0A]_-;\-* #,##0\ [$€-C0A]_-;_-* "-"??\ [$€-C0A]_-;_-@_-</c:formatCode>
                <c:ptCount val="1"/>
                <c:pt idx="0">
                  <c:v>0</c:v>
                </c:pt>
              </c:numCache>
            </c:numRef>
          </c:val>
          <c:extLst xmlns:c16r2="http://schemas.microsoft.com/office/drawing/2015/06/chart">
            <c:ext xmlns:c16="http://schemas.microsoft.com/office/drawing/2014/chart" uri="{C3380CC4-5D6E-409C-BE32-E72D297353CC}">
              <c16:uniqueId val="{00000005-3299-4E16-8961-E6DA132C5E80}"/>
            </c:ext>
          </c:extLst>
        </c:ser>
        <c:ser>
          <c:idx val="6"/>
          <c:order val="6"/>
          <c:tx>
            <c:strRef>
              <c:f>EconomiaT46!$B$20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EconomiaT46!$C$20</c:f>
              <c:numCache>
                <c:formatCode>_-* #,##0\ [$€-C0A]_-;\-* #,##0\ [$€-C0A]_-;_-* "-"??\ [$€-C0A]_-;_-@_-</c:formatCode>
                <c:ptCount val="1"/>
                <c:pt idx="0">
                  <c:v>0</c:v>
                </c:pt>
              </c:numCache>
            </c:numRef>
          </c:val>
          <c:extLst xmlns:c16r2="http://schemas.microsoft.com/office/drawing/2015/06/chart">
            <c:ext xmlns:c16="http://schemas.microsoft.com/office/drawing/2014/chart" uri="{C3380CC4-5D6E-409C-BE32-E72D297353CC}">
              <c16:uniqueId val="{00000006-3299-4E16-8961-E6DA132C5E80}"/>
            </c:ext>
          </c:extLst>
        </c:ser>
        <c:ser>
          <c:idx val="7"/>
          <c:order val="7"/>
          <c:tx>
            <c:strRef>
              <c:f>EconomiaT46!$B$21</c:f>
              <c:strCache>
                <c:ptCount val="1"/>
                <c:pt idx="0">
                  <c:v>Viajes+Venta</c:v>
                </c:pt>
              </c:strCache>
            </c:strRef>
          </c:tx>
          <c:invertIfNegative val="0"/>
          <c:val>
            <c:numRef>
              <c:f>EconomiaT46!$C$21</c:f>
              <c:numCache>
                <c:formatCode>_-* #,##0\ [$€-C0A]_-;\-* #,##0\ [$€-C0A]_-;_-* "-"??\ [$€-C0A]_-;_-@_-</c:formatCode>
                <c:ptCount val="1"/>
                <c:pt idx="0">
                  <c:v>82000</c:v>
                </c:pt>
              </c:numCache>
            </c:numRef>
          </c:val>
          <c:extLst xmlns:c16r2="http://schemas.microsoft.com/office/drawing/2015/06/chart">
            <c:ext xmlns:c16="http://schemas.microsoft.com/office/drawing/2014/chart" uri="{C3380CC4-5D6E-409C-BE32-E72D297353CC}">
              <c16:uniqueId val="{00000007-3299-4E16-8961-E6DA132C5E80}"/>
            </c:ext>
          </c:extLst>
        </c:ser>
        <c:ser>
          <c:idx val="8"/>
          <c:order val="8"/>
          <c:tx>
            <c:strRef>
              <c:f>EconomiaT46!$B$22</c:f>
              <c:strCache>
                <c:ptCount val="1"/>
                <c:pt idx="0">
                  <c:v>Intereses</c:v>
                </c:pt>
              </c:strCache>
            </c:strRef>
          </c:tx>
          <c:invertIfNegative val="0"/>
          <c:val>
            <c:numRef>
              <c:f>EconomiaT46!$C$22</c:f>
              <c:numCache>
                <c:formatCode>_-* #,##0\ [$€-C0A]_-;\-* #,##0\ [$€-C0A]_-;_-* "-"??\ [$€-C0A]_-;_-@_-</c:formatCode>
                <c:ptCount val="1"/>
                <c:pt idx="0">
                  <c:v>821</c:v>
                </c:pt>
              </c:numCache>
            </c:numRef>
          </c:val>
          <c:extLst xmlns:c16r2="http://schemas.microsoft.com/office/drawing/2015/06/chart">
            <c:ext xmlns:c16="http://schemas.microsoft.com/office/drawing/2014/chart" uri="{C3380CC4-5D6E-409C-BE32-E72D297353CC}">
              <c16:uniqueId val="{00000008-3299-4E16-8961-E6DA132C5E80}"/>
            </c:ext>
          </c:extLst>
        </c:ser>
        <c:dLbls>
          <c:showLegendKey val="0"/>
          <c:showVal val="0"/>
          <c:showCatName val="0"/>
          <c:showSerName val="0"/>
          <c:showPercent val="0"/>
          <c:showBubbleSize val="0"/>
        </c:dLbls>
        <c:gapWidth val="150"/>
        <c:overlap val="100"/>
        <c:axId val="1411636240"/>
        <c:axId val="1411636784"/>
      </c:barChart>
      <c:catAx>
        <c:axId val="1411636240"/>
        <c:scaling>
          <c:orientation val="minMax"/>
        </c:scaling>
        <c:delete val="0"/>
        <c:axPos val="b"/>
        <c:numFmt formatCode="General" sourceLinked="1"/>
        <c:majorTickMark val="out"/>
        <c:minorTickMark val="none"/>
        <c:tickLblPos val="nextTo"/>
        <c:crossAx val="1411636784"/>
        <c:crosses val="autoZero"/>
        <c:auto val="1"/>
        <c:lblAlgn val="ctr"/>
        <c:lblOffset val="100"/>
        <c:noMultiLvlLbl val="0"/>
      </c:catAx>
      <c:valAx>
        <c:axId val="1411636784"/>
        <c:scaling>
          <c:orientation val="minMax"/>
        </c:scaling>
        <c:delete val="0"/>
        <c:axPos val="l"/>
        <c:majorGridlines/>
        <c:numFmt formatCode="_-* #,##0\ [$€-C0A]_-;\-* #,##0\ [$€-C0A]_-;_-* &quot;-&quot;??\ [$€-C0A]_-;_-@_-" sourceLinked="1"/>
        <c:majorTickMark val="out"/>
        <c:minorTickMark val="none"/>
        <c:tickLblPos val="nextTo"/>
        <c:crossAx val="141163624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EconomiaT47!$C$6</c:f>
              <c:numCache>
                <c:formatCode>_-* #,##0\ [$€-C0A]_-;\-* #,##0\ [$€-C0A]_-;_-* "-"??\ [$€-C0A]_-;_-@_-</c:formatCode>
                <c:ptCount val="1"/>
                <c:pt idx="0">
                  <c:v>4582612</c:v>
                </c:pt>
              </c:numCache>
            </c:numRef>
          </c:val>
          <c:extLst xmlns:c16r2="http://schemas.microsoft.com/office/drawing/2015/06/chart">
            <c:ext xmlns:c16="http://schemas.microsoft.com/office/drawing/2014/chart" uri="{C3380CC4-5D6E-409C-BE32-E72D297353CC}">
              <c16:uniqueId val="{00000000-0A7F-4467-9D3C-7A23A5D1347C}"/>
            </c:ext>
          </c:extLst>
        </c:ser>
        <c:ser>
          <c:idx val="1"/>
          <c:order val="1"/>
          <c:tx>
            <c:strRef>
              <c:f>EconomiaT47!$B$7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EconomiaT47!$C$7</c:f>
              <c:numCache>
                <c:formatCode>_-* #,##0\ [$€-C0A]_-;\-* #,##0\ [$€-C0A]_-;_-* "-"??\ [$€-C0A]_-;_-@_-</c:formatCode>
                <c:ptCount val="1"/>
                <c:pt idx="0">
                  <c:v>2087517.6435892477</c:v>
                </c:pt>
              </c:numCache>
            </c:numRef>
          </c:val>
          <c:extLst xmlns:c16r2="http://schemas.microsoft.com/office/drawing/2015/06/chart">
            <c:ext xmlns:c16="http://schemas.microsoft.com/office/drawing/2014/chart" uri="{C3380CC4-5D6E-409C-BE32-E72D297353CC}">
              <c16:uniqueId val="{00000001-0A7F-4467-9D3C-7A23A5D1347C}"/>
            </c:ext>
          </c:extLst>
        </c:ser>
        <c:ser>
          <c:idx val="2"/>
          <c:order val="2"/>
          <c:tx>
            <c:strRef>
              <c:f>EconomiaT47!$B$8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EconomiaT47!$C$8</c:f>
              <c:numCache>
                <c:formatCode>_-* #,##0\ [$€-C0A]_-;\-* #,##0\ [$€-C0A]_-;_-* "-"??\ [$€-C0A]_-;_-@_-</c:formatCode>
                <c:ptCount val="1"/>
                <c:pt idx="0">
                  <c:v>0</c:v>
                </c:pt>
              </c:numCache>
            </c:numRef>
          </c:val>
          <c:extLst xmlns:c16r2="http://schemas.microsoft.com/office/drawing/2015/06/chart">
            <c:ext xmlns:c16="http://schemas.microsoft.com/office/drawing/2014/chart" uri="{C3380CC4-5D6E-409C-BE32-E72D297353CC}">
              <c16:uniqueId val="{00000002-0A7F-4467-9D3C-7A23A5D1347C}"/>
            </c:ext>
          </c:extLst>
        </c:ser>
        <c:ser>
          <c:idx val="3"/>
          <c:order val="3"/>
          <c:tx>
            <c:strRef>
              <c:f>EconomiaT47!$B$9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EconomiaT47!$C$9</c:f>
              <c:numCache>
                <c:formatCode>_-* #,##0\ [$€-C0A]_-;\-* #,##0\ [$€-C0A]_-;_-* "-"??\ [$€-C0A]_-;_-@_-</c:formatCode>
                <c:ptCount val="1"/>
                <c:pt idx="0">
                  <c:v>108300</c:v>
                </c:pt>
              </c:numCache>
            </c:numRef>
          </c:val>
          <c:extLst xmlns:c16r2="http://schemas.microsoft.com/office/drawing/2015/06/chart">
            <c:ext xmlns:c16="http://schemas.microsoft.com/office/drawing/2014/chart" uri="{C3380CC4-5D6E-409C-BE32-E72D297353CC}">
              <c16:uniqueId val="{00000003-0A7F-4467-9D3C-7A23A5D1347C}"/>
            </c:ext>
          </c:extLst>
        </c:ser>
        <c:ser>
          <c:idx val="4"/>
          <c:order val="4"/>
          <c:tx>
            <c:strRef>
              <c:f>EconomiaT47!$B$10</c:f>
              <c:strCache>
                <c:ptCount val="1"/>
                <c:pt idx="0">
                  <c:v>Comisiones</c:v>
                </c:pt>
              </c:strCache>
            </c:strRef>
          </c:tx>
          <c:invertIfNegative val="0"/>
          <c:cat>
            <c:numLit>
              <c:formatCode>General</c:formatCode>
              <c:ptCount val="1"/>
              <c:pt idx="0">
                <c:v>0</c:v>
              </c:pt>
            </c:numLit>
          </c:cat>
          <c:val>
            <c:numRef>
              <c:f>EconomiaT47!$C$10</c:f>
              <c:numCache>
                <c:formatCode>_-* #,##0\ [$€-C0A]_-;\-* #,##0\ [$€-C0A]_-;_-* "-"??\ [$€-C0A]_-;_-@_-</c:formatCode>
                <c:ptCount val="1"/>
                <c:pt idx="0">
                  <c:v>21440</c:v>
                </c:pt>
              </c:numCache>
            </c:numRef>
          </c:val>
          <c:extLst xmlns:c16r2="http://schemas.microsoft.com/office/drawing/2015/06/chart">
            <c:ext xmlns:c16="http://schemas.microsoft.com/office/drawing/2014/chart" uri="{C3380CC4-5D6E-409C-BE32-E72D297353CC}">
              <c16:uniqueId val="{00000004-0A7F-4467-9D3C-7A23A5D1347C}"/>
            </c:ext>
          </c:extLst>
        </c:ser>
        <c:ser>
          <c:idx val="5"/>
          <c:order val="5"/>
          <c:tx>
            <c:strRef>
              <c:f>EconomiaT47!$B$11</c:f>
              <c:strCache>
                <c:ptCount val="1"/>
                <c:pt idx="0">
                  <c:v>Nuevos Socios</c:v>
                </c:pt>
              </c:strCache>
            </c:strRef>
          </c:tx>
          <c:invertIfNegative val="0"/>
          <c:cat>
            <c:numLit>
              <c:formatCode>General</c:formatCode>
              <c:ptCount val="1"/>
              <c:pt idx="0">
                <c:v>0</c:v>
              </c:pt>
            </c:numLit>
          </c:cat>
          <c:val>
            <c:numRef>
              <c:f>EconomiaT47!$C$11</c:f>
              <c:numCache>
                <c:formatCode>_-* #,##0\ [$€-C0A]_-;\-* #,##0\ [$€-C0A]_-;_-* "-"??\ [$€-C0A]_-;_-@_-</c:formatCode>
                <c:ptCount val="1"/>
                <c:pt idx="0">
                  <c:v>82440</c:v>
                </c:pt>
              </c:numCache>
            </c:numRef>
          </c:val>
          <c:extLst xmlns:c16r2="http://schemas.microsoft.com/office/drawing/2015/06/chart">
            <c:ext xmlns:c16="http://schemas.microsoft.com/office/drawing/2014/chart" uri="{C3380CC4-5D6E-409C-BE32-E72D297353CC}">
              <c16:uniqueId val="{00000005-0A7F-4467-9D3C-7A23A5D1347C}"/>
            </c:ext>
          </c:extLst>
        </c:ser>
        <c:ser>
          <c:idx val="6"/>
          <c:order val="6"/>
          <c:tx>
            <c:strRef>
              <c:f>EconomiaT47!$B$12</c:f>
              <c:strCache>
                <c:ptCount val="1"/>
                <c:pt idx="0">
                  <c:v>Premios</c:v>
                </c:pt>
              </c:strCache>
            </c:strRef>
          </c:tx>
          <c:invertIfNegative val="0"/>
          <c:cat>
            <c:numLit>
              <c:formatCode>General</c:formatCode>
              <c:ptCount val="1"/>
              <c:pt idx="0">
                <c:v>0</c:v>
              </c:pt>
            </c:numLit>
          </c:cat>
          <c:val>
            <c:numRef>
              <c:f>EconomiaT47!$C$12</c:f>
              <c:numCache>
                <c:formatCode>_-* #,##0\ [$€-C0A]_-;\-* #,##0\ [$€-C0A]_-;_-* "-"??\ [$€-C0A]_-;_-@_-</c:formatCode>
                <c:ptCount val="1"/>
                <c:pt idx="0">
                  <c:v>25000</c:v>
                </c:pt>
              </c:numCache>
            </c:numRef>
          </c:val>
          <c:extLst xmlns:c16r2="http://schemas.microsoft.com/office/drawing/2015/06/chart">
            <c:ext xmlns:c16="http://schemas.microsoft.com/office/drawing/2014/chart" uri="{C3380CC4-5D6E-409C-BE32-E72D297353CC}">
              <c16:uniqueId val="{00000006-0A7F-4467-9D3C-7A23A5D1347C}"/>
            </c:ext>
          </c:extLst>
        </c:ser>
        <c:dLbls>
          <c:showLegendKey val="0"/>
          <c:showVal val="0"/>
          <c:showCatName val="0"/>
          <c:showSerName val="0"/>
          <c:showPercent val="0"/>
          <c:showBubbleSize val="0"/>
        </c:dLbls>
        <c:gapWidth val="150"/>
        <c:overlap val="100"/>
        <c:axId val="1411630256"/>
        <c:axId val="1411632432"/>
      </c:barChart>
      <c:catAx>
        <c:axId val="1411630256"/>
        <c:scaling>
          <c:orientation val="minMax"/>
        </c:scaling>
        <c:delete val="0"/>
        <c:axPos val="b"/>
        <c:numFmt formatCode="General" sourceLinked="1"/>
        <c:majorTickMark val="out"/>
        <c:minorTickMark val="none"/>
        <c:tickLblPos val="nextTo"/>
        <c:crossAx val="1411632432"/>
        <c:crosses val="autoZero"/>
        <c:auto val="1"/>
        <c:lblAlgn val="ctr"/>
        <c:lblOffset val="100"/>
        <c:noMultiLvlLbl val="0"/>
      </c:catAx>
      <c:valAx>
        <c:axId val="1411632432"/>
        <c:scaling>
          <c:orientation val="minMax"/>
        </c:scaling>
        <c:delete val="0"/>
        <c:axPos val="l"/>
        <c:majorGridlines/>
        <c:numFmt formatCode="_-* #,##0\ [$€-C0A]_-;\-* #,##0\ [$€-C0A]_-;_-* &quot;-&quot;??\ [$€-C0A]_-;_-@_-" sourceLinked="1"/>
        <c:majorTickMark val="out"/>
        <c:minorTickMark val="none"/>
        <c:tickLblPos val="nextTo"/>
        <c:crossAx val="141163025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EconomiaT47!$C$14</c:f>
              <c:numCache>
                <c:formatCode>_-* #,##0\ [$€-C0A]_-;\-* #,##0\ [$€-C0A]_-;_-* "-"??\ [$€-C0A]_-;_-@_-</c:formatCode>
                <c:ptCount val="1"/>
                <c:pt idx="0">
                  <c:v>1070030</c:v>
                </c:pt>
              </c:numCache>
            </c:numRef>
          </c:val>
          <c:extLst xmlns:c16r2="http://schemas.microsoft.com/office/drawing/2015/06/chart">
            <c:ext xmlns:c16="http://schemas.microsoft.com/office/drawing/2014/chart" uri="{C3380CC4-5D6E-409C-BE32-E72D297353CC}">
              <c16:uniqueId val="{00000000-D051-4470-915D-21D3A43D9C0B}"/>
            </c:ext>
          </c:extLst>
        </c:ser>
        <c:ser>
          <c:idx val="1"/>
          <c:order val="1"/>
          <c:tx>
            <c:strRef>
              <c:f>EconomiaT47!$B$15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EconomiaT47!$C$15</c:f>
              <c:numCache>
                <c:formatCode>_-* #,##0\ [$€-C0A]_-;\-* #,##0\ [$€-C0A]_-;_-* "-"??\ [$€-C0A]_-;_-@_-</c:formatCode>
                <c:ptCount val="1"/>
                <c:pt idx="0">
                  <c:v>555962</c:v>
                </c:pt>
              </c:numCache>
            </c:numRef>
          </c:val>
          <c:extLst xmlns:c16r2="http://schemas.microsoft.com/office/drawing/2015/06/chart">
            <c:ext xmlns:c16="http://schemas.microsoft.com/office/drawing/2014/chart" uri="{C3380CC4-5D6E-409C-BE32-E72D297353CC}">
              <c16:uniqueId val="{00000001-D051-4470-915D-21D3A43D9C0B}"/>
            </c:ext>
          </c:extLst>
        </c:ser>
        <c:ser>
          <c:idx val="2"/>
          <c:order val="2"/>
          <c:tx>
            <c:strRef>
              <c:f>EconomiaT47!$B$16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EconomiaT47!$C$16</c:f>
              <c:numCache>
                <c:formatCode>_-* #,##0\ [$€-C0A]_-;\-* #,##0\ [$€-C0A]_-;_-* "-"??\ [$€-C0A]_-;_-@_-</c:formatCode>
                <c:ptCount val="1"/>
                <c:pt idx="0">
                  <c:v>184115</c:v>
                </c:pt>
              </c:numCache>
            </c:numRef>
          </c:val>
          <c:extLst xmlns:c16r2="http://schemas.microsoft.com/office/drawing/2015/06/chart">
            <c:ext xmlns:c16="http://schemas.microsoft.com/office/drawing/2014/chart" uri="{C3380CC4-5D6E-409C-BE32-E72D297353CC}">
              <c16:uniqueId val="{00000002-D051-4470-915D-21D3A43D9C0B}"/>
            </c:ext>
          </c:extLst>
        </c:ser>
        <c:ser>
          <c:idx val="3"/>
          <c:order val="3"/>
          <c:tx>
            <c:strRef>
              <c:f>EconomiaT47!$B$17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EconomiaT47!$C$17</c:f>
              <c:numCache>
                <c:formatCode>_-* #,##0\ [$€-C0A]_-;\-* #,##0\ [$€-C0A]_-;_-* "-"??\ [$€-C0A]_-;_-@_-</c:formatCode>
                <c:ptCount val="1"/>
                <c:pt idx="0">
                  <c:v>1920000</c:v>
                </c:pt>
              </c:numCache>
            </c:numRef>
          </c:val>
          <c:extLst xmlns:c16r2="http://schemas.microsoft.com/office/drawing/2015/06/chart">
            <c:ext xmlns:c16="http://schemas.microsoft.com/office/drawing/2014/chart" uri="{C3380CC4-5D6E-409C-BE32-E72D297353CC}">
              <c16:uniqueId val="{00000003-D051-4470-915D-21D3A43D9C0B}"/>
            </c:ext>
          </c:extLst>
        </c:ser>
        <c:ser>
          <c:idx val="4"/>
          <c:order val="4"/>
          <c:tx>
            <c:strRef>
              <c:f>EconomiaT47!$B$18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EconomiaT47!$C$18</c:f>
              <c:numCache>
                <c:formatCode>_-* #,##0\ [$€-C0A]_-;\-* #,##0\ [$€-C0A]_-;_-* "-"??\ [$€-C0A]_-;_-@_-</c:formatCode>
                <c:ptCount val="1"/>
                <c:pt idx="0">
                  <c:v>320000</c:v>
                </c:pt>
              </c:numCache>
            </c:numRef>
          </c:val>
          <c:extLst xmlns:c16r2="http://schemas.microsoft.com/office/drawing/2015/06/chart">
            <c:ext xmlns:c16="http://schemas.microsoft.com/office/drawing/2014/chart" uri="{C3380CC4-5D6E-409C-BE32-E72D297353CC}">
              <c16:uniqueId val="{00000004-D051-4470-915D-21D3A43D9C0B}"/>
            </c:ext>
          </c:extLst>
        </c:ser>
        <c:ser>
          <c:idx val="5"/>
          <c:order val="5"/>
          <c:tx>
            <c:strRef>
              <c:f>EconomiaT47!$B$19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EconomiaT47!$C$19</c:f>
              <c:numCache>
                <c:formatCode>_-* #,##0\ [$€-C0A]_-;\-* #,##0\ [$€-C0A]_-;_-* "-"??\ [$€-C0A]_-;_-@_-</c:formatCode>
                <c:ptCount val="1"/>
                <c:pt idx="0">
                  <c:v>0</c:v>
                </c:pt>
              </c:numCache>
            </c:numRef>
          </c:val>
          <c:extLst xmlns:c16r2="http://schemas.microsoft.com/office/drawing/2015/06/chart">
            <c:ext xmlns:c16="http://schemas.microsoft.com/office/drawing/2014/chart" uri="{C3380CC4-5D6E-409C-BE32-E72D297353CC}">
              <c16:uniqueId val="{00000005-D051-4470-915D-21D3A43D9C0B}"/>
            </c:ext>
          </c:extLst>
        </c:ser>
        <c:ser>
          <c:idx val="6"/>
          <c:order val="6"/>
          <c:tx>
            <c:strRef>
              <c:f>EconomiaT47!$B$20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EconomiaT47!$C$20</c:f>
              <c:numCache>
                <c:formatCode>_-* #,##0\ [$€-C0A]_-;\-* #,##0\ [$€-C0A]_-;_-* "-"??\ [$€-C0A]_-;_-@_-</c:formatCode>
                <c:ptCount val="1"/>
                <c:pt idx="0">
                  <c:v>0</c:v>
                </c:pt>
              </c:numCache>
            </c:numRef>
          </c:val>
          <c:extLst xmlns:c16r2="http://schemas.microsoft.com/office/drawing/2015/06/chart">
            <c:ext xmlns:c16="http://schemas.microsoft.com/office/drawing/2014/chart" uri="{C3380CC4-5D6E-409C-BE32-E72D297353CC}">
              <c16:uniqueId val="{00000006-D051-4470-915D-21D3A43D9C0B}"/>
            </c:ext>
          </c:extLst>
        </c:ser>
        <c:ser>
          <c:idx val="7"/>
          <c:order val="7"/>
          <c:tx>
            <c:strRef>
              <c:f>EconomiaT47!$B$21</c:f>
              <c:strCache>
                <c:ptCount val="1"/>
                <c:pt idx="0">
                  <c:v>Viajes+Venta</c:v>
                </c:pt>
              </c:strCache>
            </c:strRef>
          </c:tx>
          <c:invertIfNegative val="0"/>
          <c:val>
            <c:numRef>
              <c:f>EconomiaT47!$C$21</c:f>
              <c:numCache>
                <c:formatCode>_-* #,##0\ [$€-C0A]_-;\-* #,##0\ [$€-C0A]_-;_-* "-"??\ [$€-C0A]_-;_-@_-</c:formatCode>
                <c:ptCount val="1"/>
                <c:pt idx="0">
                  <c:v>56000</c:v>
                </c:pt>
              </c:numCache>
            </c:numRef>
          </c:val>
          <c:extLst xmlns:c16r2="http://schemas.microsoft.com/office/drawing/2015/06/chart">
            <c:ext xmlns:c16="http://schemas.microsoft.com/office/drawing/2014/chart" uri="{C3380CC4-5D6E-409C-BE32-E72D297353CC}">
              <c16:uniqueId val="{00000007-D051-4470-915D-21D3A43D9C0B}"/>
            </c:ext>
          </c:extLst>
        </c:ser>
        <c:ser>
          <c:idx val="8"/>
          <c:order val="8"/>
          <c:tx>
            <c:strRef>
              <c:f>EconomiaT47!$B$22</c:f>
              <c:strCache>
                <c:ptCount val="1"/>
                <c:pt idx="0">
                  <c:v>Intereses</c:v>
                </c:pt>
              </c:strCache>
            </c:strRef>
          </c:tx>
          <c:invertIfNegative val="0"/>
          <c:val>
            <c:numRef>
              <c:f>EconomiaT47!$C$22</c:f>
              <c:numCache>
                <c:formatCode>_-* #,##0\ [$€-C0A]_-;\-* #,##0\ [$€-C0A]_-;_-* "-"??\ [$€-C0A]_-;_-@_-</c:formatCode>
                <c:ptCount val="1"/>
                <c:pt idx="0">
                  <c:v>0</c:v>
                </c:pt>
              </c:numCache>
            </c:numRef>
          </c:val>
          <c:extLst xmlns:c16r2="http://schemas.microsoft.com/office/drawing/2015/06/chart">
            <c:ext xmlns:c16="http://schemas.microsoft.com/office/drawing/2014/chart" uri="{C3380CC4-5D6E-409C-BE32-E72D297353CC}">
              <c16:uniqueId val="{00000008-D051-4470-915D-21D3A43D9C0B}"/>
            </c:ext>
          </c:extLst>
        </c:ser>
        <c:dLbls>
          <c:showLegendKey val="0"/>
          <c:showVal val="0"/>
          <c:showCatName val="0"/>
          <c:showSerName val="0"/>
          <c:showPercent val="0"/>
          <c:showBubbleSize val="0"/>
        </c:dLbls>
        <c:gapWidth val="150"/>
        <c:overlap val="100"/>
        <c:axId val="1411639504"/>
        <c:axId val="1411634064"/>
      </c:barChart>
      <c:catAx>
        <c:axId val="1411639504"/>
        <c:scaling>
          <c:orientation val="minMax"/>
        </c:scaling>
        <c:delete val="0"/>
        <c:axPos val="b"/>
        <c:numFmt formatCode="General" sourceLinked="1"/>
        <c:majorTickMark val="out"/>
        <c:minorTickMark val="none"/>
        <c:tickLblPos val="nextTo"/>
        <c:crossAx val="1411634064"/>
        <c:crosses val="autoZero"/>
        <c:auto val="1"/>
        <c:lblAlgn val="ctr"/>
        <c:lblOffset val="100"/>
        <c:noMultiLvlLbl val="0"/>
      </c:catAx>
      <c:valAx>
        <c:axId val="1411634064"/>
        <c:scaling>
          <c:orientation val="minMax"/>
        </c:scaling>
        <c:delete val="0"/>
        <c:axPos val="l"/>
        <c:majorGridlines/>
        <c:numFmt formatCode="_-* #,##0\ [$€-C0A]_-;\-* #,##0\ [$€-C0A]_-;_-* &quot;-&quot;??\ [$€-C0A]_-;_-@_-" sourceLinked="1"/>
        <c:majorTickMark val="out"/>
        <c:minorTickMark val="none"/>
        <c:tickLblPos val="nextTo"/>
        <c:crossAx val="141163950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EconomiaT48!$C$6</c:f>
              <c:numCache>
                <c:formatCode>_-* #,##0\ [$€-C0A]_-;\-* #,##0\ [$€-C0A]_-;_-* "-"??\ [$€-C0A]_-;_-@_-</c:formatCode>
                <c:ptCount val="1"/>
                <c:pt idx="0">
                  <c:v>3813690</c:v>
                </c:pt>
              </c:numCache>
            </c:numRef>
          </c:val>
          <c:extLst xmlns:c16r2="http://schemas.microsoft.com/office/drawing/2015/06/chart">
            <c:ext xmlns:c16="http://schemas.microsoft.com/office/drawing/2014/chart" uri="{C3380CC4-5D6E-409C-BE32-E72D297353CC}">
              <c16:uniqueId val="{00000000-67EB-4F3C-9113-6B3533C12C7E}"/>
            </c:ext>
          </c:extLst>
        </c:ser>
        <c:ser>
          <c:idx val="1"/>
          <c:order val="1"/>
          <c:tx>
            <c:strRef>
              <c:f>EconomiaT48!$B$7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EconomiaT48!$C$7</c:f>
              <c:numCache>
                <c:formatCode>_-* #,##0\ [$€-C0A]_-;\-* #,##0\ [$€-C0A]_-;_-* "-"??\ [$€-C0A]_-;_-@_-</c:formatCode>
                <c:ptCount val="1"/>
                <c:pt idx="0">
                  <c:v>2830725</c:v>
                </c:pt>
              </c:numCache>
            </c:numRef>
          </c:val>
          <c:extLst xmlns:c16r2="http://schemas.microsoft.com/office/drawing/2015/06/chart">
            <c:ext xmlns:c16="http://schemas.microsoft.com/office/drawing/2014/chart" uri="{C3380CC4-5D6E-409C-BE32-E72D297353CC}">
              <c16:uniqueId val="{00000001-67EB-4F3C-9113-6B3533C12C7E}"/>
            </c:ext>
          </c:extLst>
        </c:ser>
        <c:ser>
          <c:idx val="2"/>
          <c:order val="2"/>
          <c:tx>
            <c:strRef>
              <c:f>EconomiaT48!$B$8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EconomiaT48!$C$8</c:f>
              <c:numCache>
                <c:formatCode>_-* #,##0\ [$€-C0A]_-;\-* #,##0\ [$€-C0A]_-;_-* "-"??\ [$€-C0A]_-;_-@_-</c:formatCode>
                <c:ptCount val="1"/>
                <c:pt idx="0">
                  <c:v>0</c:v>
                </c:pt>
              </c:numCache>
            </c:numRef>
          </c:val>
          <c:extLst xmlns:c16r2="http://schemas.microsoft.com/office/drawing/2015/06/chart">
            <c:ext xmlns:c16="http://schemas.microsoft.com/office/drawing/2014/chart" uri="{C3380CC4-5D6E-409C-BE32-E72D297353CC}">
              <c16:uniqueId val="{00000002-67EB-4F3C-9113-6B3533C12C7E}"/>
            </c:ext>
          </c:extLst>
        </c:ser>
        <c:ser>
          <c:idx val="3"/>
          <c:order val="3"/>
          <c:tx>
            <c:strRef>
              <c:f>EconomiaT48!$B$9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EconomiaT48!$C$9</c:f>
              <c:numCache>
                <c:formatCode>_-* #,##0\ [$€-C0A]_-;\-* #,##0\ [$€-C0A]_-;_-* "-"??\ [$€-C0A]_-;_-@_-</c:formatCode>
                <c:ptCount val="1"/>
                <c:pt idx="0">
                  <c:v>476900</c:v>
                </c:pt>
              </c:numCache>
            </c:numRef>
          </c:val>
          <c:extLst xmlns:c16r2="http://schemas.microsoft.com/office/drawing/2015/06/chart">
            <c:ext xmlns:c16="http://schemas.microsoft.com/office/drawing/2014/chart" uri="{C3380CC4-5D6E-409C-BE32-E72D297353CC}">
              <c16:uniqueId val="{00000003-67EB-4F3C-9113-6B3533C12C7E}"/>
            </c:ext>
          </c:extLst>
        </c:ser>
        <c:ser>
          <c:idx val="4"/>
          <c:order val="4"/>
          <c:tx>
            <c:strRef>
              <c:f>EconomiaT48!$B$10</c:f>
              <c:strCache>
                <c:ptCount val="1"/>
                <c:pt idx="0">
                  <c:v>Comisiones</c:v>
                </c:pt>
              </c:strCache>
            </c:strRef>
          </c:tx>
          <c:invertIfNegative val="0"/>
          <c:cat>
            <c:numLit>
              <c:formatCode>General</c:formatCode>
              <c:ptCount val="1"/>
              <c:pt idx="0">
                <c:v>0</c:v>
              </c:pt>
            </c:numLit>
          </c:cat>
          <c:val>
            <c:numRef>
              <c:f>EconomiaT48!$C$10</c:f>
              <c:numCache>
                <c:formatCode>_-* #,##0\ [$€-C0A]_-;\-* #,##0\ [$€-C0A]_-;_-* "-"??\ [$€-C0A]_-;_-@_-</c:formatCode>
                <c:ptCount val="1"/>
                <c:pt idx="0">
                  <c:v>10640</c:v>
                </c:pt>
              </c:numCache>
            </c:numRef>
          </c:val>
          <c:extLst xmlns:c16r2="http://schemas.microsoft.com/office/drawing/2015/06/chart">
            <c:ext xmlns:c16="http://schemas.microsoft.com/office/drawing/2014/chart" uri="{C3380CC4-5D6E-409C-BE32-E72D297353CC}">
              <c16:uniqueId val="{00000004-67EB-4F3C-9113-6B3533C12C7E}"/>
            </c:ext>
          </c:extLst>
        </c:ser>
        <c:ser>
          <c:idx val="5"/>
          <c:order val="5"/>
          <c:tx>
            <c:strRef>
              <c:f>EconomiaT48!$B$11</c:f>
              <c:strCache>
                <c:ptCount val="1"/>
                <c:pt idx="0">
                  <c:v>Nuevos Socios</c:v>
                </c:pt>
              </c:strCache>
            </c:strRef>
          </c:tx>
          <c:invertIfNegative val="0"/>
          <c:cat>
            <c:numLit>
              <c:formatCode>General</c:formatCode>
              <c:ptCount val="1"/>
              <c:pt idx="0">
                <c:v>0</c:v>
              </c:pt>
            </c:numLit>
          </c:cat>
          <c:val>
            <c:numRef>
              <c:f>EconomiaT48!$C$11</c:f>
              <c:numCache>
                <c:formatCode>_-* #,##0\ [$€-C0A]_-;\-* #,##0\ [$€-C0A]_-;_-* "-"??\ [$€-C0A]_-;_-@_-</c:formatCode>
                <c:ptCount val="1"/>
                <c:pt idx="0">
                  <c:v>84270</c:v>
                </c:pt>
              </c:numCache>
            </c:numRef>
          </c:val>
          <c:extLst xmlns:c16r2="http://schemas.microsoft.com/office/drawing/2015/06/chart">
            <c:ext xmlns:c16="http://schemas.microsoft.com/office/drawing/2014/chart" uri="{C3380CC4-5D6E-409C-BE32-E72D297353CC}">
              <c16:uniqueId val="{00000005-67EB-4F3C-9113-6B3533C12C7E}"/>
            </c:ext>
          </c:extLst>
        </c:ser>
        <c:ser>
          <c:idx val="6"/>
          <c:order val="6"/>
          <c:tx>
            <c:strRef>
              <c:f>EconomiaT48!$B$12</c:f>
              <c:strCache>
                <c:ptCount val="1"/>
                <c:pt idx="0">
                  <c:v>Premios</c:v>
                </c:pt>
              </c:strCache>
            </c:strRef>
          </c:tx>
          <c:invertIfNegative val="0"/>
          <c:cat>
            <c:numLit>
              <c:formatCode>General</c:formatCode>
              <c:ptCount val="1"/>
              <c:pt idx="0">
                <c:v>0</c:v>
              </c:pt>
            </c:numLit>
          </c:cat>
          <c:val>
            <c:numRef>
              <c:f>EconomiaT48!$C$12</c:f>
              <c:numCache>
                <c:formatCode>_-* #,##0\ [$€-C0A]_-;\-* #,##0\ [$€-C0A]_-;_-* "-"??\ [$€-C0A]_-;_-@_-</c:formatCode>
                <c:ptCount val="1"/>
                <c:pt idx="0">
                  <c:v>0</c:v>
                </c:pt>
              </c:numCache>
            </c:numRef>
          </c:val>
          <c:extLst xmlns:c16r2="http://schemas.microsoft.com/office/drawing/2015/06/chart">
            <c:ext xmlns:c16="http://schemas.microsoft.com/office/drawing/2014/chart" uri="{C3380CC4-5D6E-409C-BE32-E72D297353CC}">
              <c16:uniqueId val="{00000006-67EB-4F3C-9113-6B3533C12C7E}"/>
            </c:ext>
          </c:extLst>
        </c:ser>
        <c:dLbls>
          <c:showLegendKey val="0"/>
          <c:showVal val="0"/>
          <c:showCatName val="0"/>
          <c:showSerName val="0"/>
          <c:showPercent val="0"/>
          <c:showBubbleSize val="0"/>
        </c:dLbls>
        <c:gapWidth val="150"/>
        <c:overlap val="100"/>
        <c:axId val="1411637328"/>
        <c:axId val="1411637872"/>
      </c:barChart>
      <c:catAx>
        <c:axId val="1411637328"/>
        <c:scaling>
          <c:orientation val="minMax"/>
        </c:scaling>
        <c:delete val="0"/>
        <c:axPos val="b"/>
        <c:numFmt formatCode="General" sourceLinked="1"/>
        <c:majorTickMark val="out"/>
        <c:minorTickMark val="none"/>
        <c:tickLblPos val="nextTo"/>
        <c:crossAx val="1411637872"/>
        <c:crosses val="autoZero"/>
        <c:auto val="1"/>
        <c:lblAlgn val="ctr"/>
        <c:lblOffset val="100"/>
        <c:noMultiLvlLbl val="0"/>
      </c:catAx>
      <c:valAx>
        <c:axId val="1411637872"/>
        <c:scaling>
          <c:orientation val="minMax"/>
        </c:scaling>
        <c:delete val="0"/>
        <c:axPos val="l"/>
        <c:majorGridlines/>
        <c:numFmt formatCode="_-* #,##0\ [$€-C0A]_-;\-* #,##0\ [$€-C0A]_-;_-* &quot;-&quot;??\ [$€-C0A]_-;_-@_-" sourceLinked="1"/>
        <c:majorTickMark val="out"/>
        <c:minorTickMark val="none"/>
        <c:tickLblPos val="nextTo"/>
        <c:crossAx val="141163732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EconomiaT48!$C$14</c:f>
              <c:numCache>
                <c:formatCode>_-* #,##0\ [$€-C0A]_-;\-* #,##0\ [$€-C0A]_-;_-* "-"??\ [$€-C0A]_-;_-@_-</c:formatCode>
                <c:ptCount val="1"/>
                <c:pt idx="0">
                  <c:v>1266317</c:v>
                </c:pt>
              </c:numCache>
            </c:numRef>
          </c:val>
          <c:extLst xmlns:c16r2="http://schemas.microsoft.com/office/drawing/2015/06/chart">
            <c:ext xmlns:c16="http://schemas.microsoft.com/office/drawing/2014/chart" uri="{C3380CC4-5D6E-409C-BE32-E72D297353CC}">
              <c16:uniqueId val="{00000000-DFDD-4ACB-B11C-4BE3E5CB6458}"/>
            </c:ext>
          </c:extLst>
        </c:ser>
        <c:ser>
          <c:idx val="1"/>
          <c:order val="1"/>
          <c:tx>
            <c:strRef>
              <c:f>EconomiaT48!$B$15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EconomiaT48!$C$15</c:f>
              <c:numCache>
                <c:formatCode>_-* #,##0\ [$€-C0A]_-;\-* #,##0\ [$€-C0A]_-;_-* "-"??\ [$€-C0A]_-;_-@_-</c:formatCode>
                <c:ptCount val="1"/>
                <c:pt idx="0">
                  <c:v>572416</c:v>
                </c:pt>
              </c:numCache>
            </c:numRef>
          </c:val>
          <c:extLst xmlns:c16r2="http://schemas.microsoft.com/office/drawing/2015/06/chart">
            <c:ext xmlns:c16="http://schemas.microsoft.com/office/drawing/2014/chart" uri="{C3380CC4-5D6E-409C-BE32-E72D297353CC}">
              <c16:uniqueId val="{00000001-DFDD-4ACB-B11C-4BE3E5CB6458}"/>
            </c:ext>
          </c:extLst>
        </c:ser>
        <c:ser>
          <c:idx val="2"/>
          <c:order val="2"/>
          <c:tx>
            <c:strRef>
              <c:f>EconomiaT48!$B$16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EconomiaT48!$C$16</c:f>
              <c:numCache>
                <c:formatCode>_-* #,##0\ [$€-C0A]_-;\-* #,##0\ [$€-C0A]_-;_-* "-"??\ [$€-C0A]_-;_-@_-</c:formatCode>
                <c:ptCount val="1"/>
                <c:pt idx="0">
                  <c:v>0</c:v>
                </c:pt>
              </c:numCache>
            </c:numRef>
          </c:val>
          <c:extLst xmlns:c16r2="http://schemas.microsoft.com/office/drawing/2015/06/chart">
            <c:ext xmlns:c16="http://schemas.microsoft.com/office/drawing/2014/chart" uri="{C3380CC4-5D6E-409C-BE32-E72D297353CC}">
              <c16:uniqueId val="{00000002-DFDD-4ACB-B11C-4BE3E5CB6458}"/>
            </c:ext>
          </c:extLst>
        </c:ser>
        <c:ser>
          <c:idx val="3"/>
          <c:order val="3"/>
          <c:tx>
            <c:strRef>
              <c:f>EconomiaT48!$B$17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EconomiaT48!$C$17</c:f>
              <c:numCache>
                <c:formatCode>_-* #,##0\ [$€-C0A]_-;\-* #,##0\ [$€-C0A]_-;_-* "-"??\ [$€-C0A]_-;_-@_-</c:formatCode>
                <c:ptCount val="1"/>
                <c:pt idx="0">
                  <c:v>1482240</c:v>
                </c:pt>
              </c:numCache>
            </c:numRef>
          </c:val>
          <c:extLst xmlns:c16r2="http://schemas.microsoft.com/office/drawing/2015/06/chart">
            <c:ext xmlns:c16="http://schemas.microsoft.com/office/drawing/2014/chart" uri="{C3380CC4-5D6E-409C-BE32-E72D297353CC}">
              <c16:uniqueId val="{00000003-DFDD-4ACB-B11C-4BE3E5CB6458}"/>
            </c:ext>
          </c:extLst>
        </c:ser>
        <c:ser>
          <c:idx val="4"/>
          <c:order val="4"/>
          <c:tx>
            <c:strRef>
              <c:f>EconomiaT48!$B$18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EconomiaT48!$C$18</c:f>
              <c:numCache>
                <c:formatCode>_-* #,##0\ [$€-C0A]_-;\-* #,##0\ [$€-C0A]_-;_-* "-"??\ [$€-C0A]_-;_-@_-</c:formatCode>
                <c:ptCount val="1"/>
                <c:pt idx="0">
                  <c:v>320000</c:v>
                </c:pt>
              </c:numCache>
            </c:numRef>
          </c:val>
          <c:extLst xmlns:c16r2="http://schemas.microsoft.com/office/drawing/2015/06/chart">
            <c:ext xmlns:c16="http://schemas.microsoft.com/office/drawing/2014/chart" uri="{C3380CC4-5D6E-409C-BE32-E72D297353CC}">
              <c16:uniqueId val="{00000004-DFDD-4ACB-B11C-4BE3E5CB6458}"/>
            </c:ext>
          </c:extLst>
        </c:ser>
        <c:ser>
          <c:idx val="5"/>
          <c:order val="5"/>
          <c:tx>
            <c:strRef>
              <c:f>EconomiaT48!$B$19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EconomiaT48!$C$19</c:f>
              <c:numCache>
                <c:formatCode>_-* #,##0\ [$€-C0A]_-;\-* #,##0\ [$€-C0A]_-;_-* "-"??\ [$€-C0A]_-;_-@_-</c:formatCode>
                <c:ptCount val="1"/>
                <c:pt idx="0">
                  <c:v>0</c:v>
                </c:pt>
              </c:numCache>
            </c:numRef>
          </c:val>
          <c:extLst xmlns:c16r2="http://schemas.microsoft.com/office/drawing/2015/06/chart">
            <c:ext xmlns:c16="http://schemas.microsoft.com/office/drawing/2014/chart" uri="{C3380CC4-5D6E-409C-BE32-E72D297353CC}">
              <c16:uniqueId val="{00000005-DFDD-4ACB-B11C-4BE3E5CB6458}"/>
            </c:ext>
          </c:extLst>
        </c:ser>
        <c:ser>
          <c:idx val="6"/>
          <c:order val="6"/>
          <c:tx>
            <c:strRef>
              <c:f>EconomiaT48!$B$20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EconomiaT48!$C$20</c:f>
              <c:numCache>
                <c:formatCode>_-* #,##0\ [$€-C0A]_-;\-* #,##0\ [$€-C0A]_-;_-* "-"??\ [$€-C0A]_-;_-@_-</c:formatCode>
                <c:ptCount val="1"/>
                <c:pt idx="0">
                  <c:v>2059800</c:v>
                </c:pt>
              </c:numCache>
            </c:numRef>
          </c:val>
          <c:extLst xmlns:c16r2="http://schemas.microsoft.com/office/drawing/2015/06/chart">
            <c:ext xmlns:c16="http://schemas.microsoft.com/office/drawing/2014/chart" uri="{C3380CC4-5D6E-409C-BE32-E72D297353CC}">
              <c16:uniqueId val="{00000006-DFDD-4ACB-B11C-4BE3E5CB6458}"/>
            </c:ext>
          </c:extLst>
        </c:ser>
        <c:ser>
          <c:idx val="7"/>
          <c:order val="7"/>
          <c:tx>
            <c:strRef>
              <c:f>EconomiaT48!$B$21</c:f>
              <c:strCache>
                <c:ptCount val="1"/>
                <c:pt idx="0">
                  <c:v>Viajes+Venta</c:v>
                </c:pt>
              </c:strCache>
            </c:strRef>
          </c:tx>
          <c:invertIfNegative val="0"/>
          <c:val>
            <c:numRef>
              <c:f>EconomiaT48!$C$21</c:f>
              <c:numCache>
                <c:formatCode>_-* #,##0\ [$€-C0A]_-;\-* #,##0\ [$€-C0A]_-;_-* "-"??\ [$€-C0A]_-;_-@_-</c:formatCode>
                <c:ptCount val="1"/>
                <c:pt idx="0">
                  <c:v>55200</c:v>
                </c:pt>
              </c:numCache>
            </c:numRef>
          </c:val>
          <c:extLst xmlns:c16r2="http://schemas.microsoft.com/office/drawing/2015/06/chart">
            <c:ext xmlns:c16="http://schemas.microsoft.com/office/drawing/2014/chart" uri="{C3380CC4-5D6E-409C-BE32-E72D297353CC}">
              <c16:uniqueId val="{00000007-DFDD-4ACB-B11C-4BE3E5CB6458}"/>
            </c:ext>
          </c:extLst>
        </c:ser>
        <c:ser>
          <c:idx val="8"/>
          <c:order val="8"/>
          <c:tx>
            <c:strRef>
              <c:f>EconomiaT48!$B$22</c:f>
              <c:strCache>
                <c:ptCount val="1"/>
                <c:pt idx="0">
                  <c:v>Intereses</c:v>
                </c:pt>
              </c:strCache>
            </c:strRef>
          </c:tx>
          <c:invertIfNegative val="0"/>
          <c:val>
            <c:numRef>
              <c:f>EconomiaT48!$C$22</c:f>
              <c:numCache>
                <c:formatCode>_-* #,##0\ [$€-C0A]_-;\-* #,##0\ [$€-C0A]_-;_-* "-"??\ [$€-C0A]_-;_-@_-</c:formatCode>
                <c:ptCount val="1"/>
                <c:pt idx="0">
                  <c:v>0</c:v>
                </c:pt>
              </c:numCache>
            </c:numRef>
          </c:val>
          <c:extLst xmlns:c16r2="http://schemas.microsoft.com/office/drawing/2015/06/chart">
            <c:ext xmlns:c16="http://schemas.microsoft.com/office/drawing/2014/chart" uri="{C3380CC4-5D6E-409C-BE32-E72D297353CC}">
              <c16:uniqueId val="{00000008-DFDD-4ACB-B11C-4BE3E5CB6458}"/>
            </c:ext>
          </c:extLst>
        </c:ser>
        <c:dLbls>
          <c:showLegendKey val="0"/>
          <c:showVal val="0"/>
          <c:showCatName val="0"/>
          <c:showSerName val="0"/>
          <c:showPercent val="0"/>
          <c:showBubbleSize val="0"/>
        </c:dLbls>
        <c:gapWidth val="150"/>
        <c:overlap val="100"/>
        <c:axId val="1411638416"/>
        <c:axId val="1411640048"/>
      </c:barChart>
      <c:catAx>
        <c:axId val="1411638416"/>
        <c:scaling>
          <c:orientation val="minMax"/>
        </c:scaling>
        <c:delete val="0"/>
        <c:axPos val="b"/>
        <c:numFmt formatCode="General" sourceLinked="1"/>
        <c:majorTickMark val="out"/>
        <c:minorTickMark val="none"/>
        <c:tickLblPos val="nextTo"/>
        <c:crossAx val="1411640048"/>
        <c:crosses val="autoZero"/>
        <c:auto val="1"/>
        <c:lblAlgn val="ctr"/>
        <c:lblOffset val="100"/>
        <c:noMultiLvlLbl val="0"/>
      </c:catAx>
      <c:valAx>
        <c:axId val="1411640048"/>
        <c:scaling>
          <c:orientation val="minMax"/>
        </c:scaling>
        <c:delete val="0"/>
        <c:axPos val="l"/>
        <c:majorGridlines/>
        <c:numFmt formatCode="_-* #,##0\ [$€-C0A]_-;\-* #,##0\ [$€-C0A]_-;_-* &quot;-&quot;??\ [$€-C0A]_-;_-@_-" sourceLinked="1"/>
        <c:majorTickMark val="out"/>
        <c:minorTickMark val="none"/>
        <c:tickLblPos val="nextTo"/>
        <c:crossAx val="141163841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EconomiaT49!$C$6</c:f>
              <c:numCache>
                <c:formatCode>_-* #,##0\ [$€-C0A]_-;\-* #,##0\ [$€-C0A]_-;_-* "-"??\ [$€-C0A]_-;_-@_-</c:formatCode>
                <c:ptCount val="1"/>
                <c:pt idx="0">
                  <c:v>5131192</c:v>
                </c:pt>
              </c:numCache>
            </c:numRef>
          </c:val>
          <c:extLst xmlns:c16r2="http://schemas.microsoft.com/office/drawing/2015/06/chart">
            <c:ext xmlns:c16="http://schemas.microsoft.com/office/drawing/2014/chart" uri="{C3380CC4-5D6E-409C-BE32-E72D297353CC}">
              <c16:uniqueId val="{00000000-27D7-4757-AC26-4D33D2778C91}"/>
            </c:ext>
          </c:extLst>
        </c:ser>
        <c:ser>
          <c:idx val="1"/>
          <c:order val="1"/>
          <c:tx>
            <c:strRef>
              <c:f>EconomiaT49!$B$7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EconomiaT49!$C$7</c:f>
              <c:numCache>
                <c:formatCode>_-* #,##0\ [$€-C0A]_-;\-* #,##0\ [$€-C0A]_-;_-* "-"??\ [$€-C0A]_-;_-@_-</c:formatCode>
                <c:ptCount val="1"/>
                <c:pt idx="0">
                  <c:v>2970900</c:v>
                </c:pt>
              </c:numCache>
            </c:numRef>
          </c:val>
          <c:extLst xmlns:c16r2="http://schemas.microsoft.com/office/drawing/2015/06/chart">
            <c:ext xmlns:c16="http://schemas.microsoft.com/office/drawing/2014/chart" uri="{C3380CC4-5D6E-409C-BE32-E72D297353CC}">
              <c16:uniqueId val="{00000001-27D7-4757-AC26-4D33D2778C91}"/>
            </c:ext>
          </c:extLst>
        </c:ser>
        <c:ser>
          <c:idx val="2"/>
          <c:order val="2"/>
          <c:tx>
            <c:strRef>
              <c:f>EconomiaT49!$B$8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EconomiaT49!$C$8</c:f>
              <c:numCache>
                <c:formatCode>_-* #,##0\ [$€-C0A]_-;\-* #,##0\ [$€-C0A]_-;_-* "-"??\ [$€-C0A]_-;_-@_-</c:formatCode>
                <c:ptCount val="1"/>
                <c:pt idx="0">
                  <c:v>0</c:v>
                </c:pt>
              </c:numCache>
            </c:numRef>
          </c:val>
          <c:extLst xmlns:c16r2="http://schemas.microsoft.com/office/drawing/2015/06/chart">
            <c:ext xmlns:c16="http://schemas.microsoft.com/office/drawing/2014/chart" uri="{C3380CC4-5D6E-409C-BE32-E72D297353CC}">
              <c16:uniqueId val="{00000002-27D7-4757-AC26-4D33D2778C91}"/>
            </c:ext>
          </c:extLst>
        </c:ser>
        <c:ser>
          <c:idx val="3"/>
          <c:order val="3"/>
          <c:tx>
            <c:strRef>
              <c:f>EconomiaT49!$B$9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EconomiaT49!$C$9</c:f>
              <c:numCache>
                <c:formatCode>_-* #,##0\ [$€-C0A]_-;\-* #,##0\ [$€-C0A]_-;_-* "-"??\ [$€-C0A]_-;_-@_-</c:formatCode>
                <c:ptCount val="1"/>
                <c:pt idx="0">
                  <c:v>272556</c:v>
                </c:pt>
              </c:numCache>
            </c:numRef>
          </c:val>
          <c:extLst xmlns:c16r2="http://schemas.microsoft.com/office/drawing/2015/06/chart">
            <c:ext xmlns:c16="http://schemas.microsoft.com/office/drawing/2014/chart" uri="{C3380CC4-5D6E-409C-BE32-E72D297353CC}">
              <c16:uniqueId val="{00000003-27D7-4757-AC26-4D33D2778C91}"/>
            </c:ext>
          </c:extLst>
        </c:ser>
        <c:ser>
          <c:idx val="4"/>
          <c:order val="4"/>
          <c:tx>
            <c:strRef>
              <c:f>EconomiaT49!$B$10</c:f>
              <c:strCache>
                <c:ptCount val="1"/>
                <c:pt idx="0">
                  <c:v>Comisiones</c:v>
                </c:pt>
              </c:strCache>
            </c:strRef>
          </c:tx>
          <c:invertIfNegative val="0"/>
          <c:cat>
            <c:numLit>
              <c:formatCode>General</c:formatCode>
              <c:ptCount val="1"/>
              <c:pt idx="0">
                <c:v>0</c:v>
              </c:pt>
            </c:numLit>
          </c:cat>
          <c:val>
            <c:numRef>
              <c:f>EconomiaT49!$C$10</c:f>
              <c:numCache>
                <c:formatCode>_-* #,##0\ [$€-C0A]_-;\-* #,##0\ [$€-C0A]_-;_-* "-"??\ [$€-C0A]_-;_-@_-</c:formatCode>
                <c:ptCount val="1"/>
                <c:pt idx="0">
                  <c:v>120557</c:v>
                </c:pt>
              </c:numCache>
            </c:numRef>
          </c:val>
          <c:extLst xmlns:c16r2="http://schemas.microsoft.com/office/drawing/2015/06/chart">
            <c:ext xmlns:c16="http://schemas.microsoft.com/office/drawing/2014/chart" uri="{C3380CC4-5D6E-409C-BE32-E72D297353CC}">
              <c16:uniqueId val="{00000004-27D7-4757-AC26-4D33D2778C91}"/>
            </c:ext>
          </c:extLst>
        </c:ser>
        <c:ser>
          <c:idx val="5"/>
          <c:order val="5"/>
          <c:tx>
            <c:strRef>
              <c:f>EconomiaT49!$B$11</c:f>
              <c:strCache>
                <c:ptCount val="1"/>
                <c:pt idx="0">
                  <c:v>Nuevos Socios</c:v>
                </c:pt>
              </c:strCache>
            </c:strRef>
          </c:tx>
          <c:invertIfNegative val="0"/>
          <c:cat>
            <c:numLit>
              <c:formatCode>General</c:formatCode>
              <c:ptCount val="1"/>
              <c:pt idx="0">
                <c:v>0</c:v>
              </c:pt>
            </c:numLit>
          </c:cat>
          <c:val>
            <c:numRef>
              <c:f>EconomiaT49!$C$11</c:f>
              <c:numCache>
                <c:formatCode>_-* #,##0\ [$€-C0A]_-;\-* #,##0\ [$€-C0A]_-;_-* "-"??\ [$€-C0A]_-;_-@_-</c:formatCode>
                <c:ptCount val="1"/>
                <c:pt idx="0">
                  <c:v>88230</c:v>
                </c:pt>
              </c:numCache>
            </c:numRef>
          </c:val>
          <c:extLst xmlns:c16r2="http://schemas.microsoft.com/office/drawing/2015/06/chart">
            <c:ext xmlns:c16="http://schemas.microsoft.com/office/drawing/2014/chart" uri="{C3380CC4-5D6E-409C-BE32-E72D297353CC}">
              <c16:uniqueId val="{00000005-27D7-4757-AC26-4D33D2778C91}"/>
            </c:ext>
          </c:extLst>
        </c:ser>
        <c:ser>
          <c:idx val="6"/>
          <c:order val="6"/>
          <c:tx>
            <c:strRef>
              <c:f>EconomiaT49!$B$12</c:f>
              <c:strCache>
                <c:ptCount val="1"/>
                <c:pt idx="0">
                  <c:v>Premios</c:v>
                </c:pt>
              </c:strCache>
            </c:strRef>
          </c:tx>
          <c:invertIfNegative val="0"/>
          <c:cat>
            <c:numLit>
              <c:formatCode>General</c:formatCode>
              <c:ptCount val="1"/>
              <c:pt idx="0">
                <c:v>0</c:v>
              </c:pt>
            </c:numLit>
          </c:cat>
          <c:val>
            <c:numRef>
              <c:f>EconomiaT49!$C$12</c:f>
              <c:numCache>
                <c:formatCode>_-* #,##0\ [$€-C0A]_-;\-* #,##0\ [$€-C0A]_-;_-* "-"??\ [$€-C0A]_-;_-@_-</c:formatCode>
                <c:ptCount val="1"/>
                <c:pt idx="0">
                  <c:v>1105000</c:v>
                </c:pt>
              </c:numCache>
            </c:numRef>
          </c:val>
          <c:extLst xmlns:c16r2="http://schemas.microsoft.com/office/drawing/2015/06/chart">
            <c:ext xmlns:c16="http://schemas.microsoft.com/office/drawing/2014/chart" uri="{C3380CC4-5D6E-409C-BE32-E72D297353CC}">
              <c16:uniqueId val="{00000006-27D7-4757-AC26-4D33D2778C91}"/>
            </c:ext>
          </c:extLst>
        </c:ser>
        <c:dLbls>
          <c:showLegendKey val="0"/>
          <c:showVal val="0"/>
          <c:showCatName val="0"/>
          <c:showSerName val="0"/>
          <c:showPercent val="0"/>
          <c:showBubbleSize val="0"/>
        </c:dLbls>
        <c:gapWidth val="150"/>
        <c:overlap val="100"/>
        <c:axId val="1411643312"/>
        <c:axId val="1411641680"/>
      </c:barChart>
      <c:catAx>
        <c:axId val="1411643312"/>
        <c:scaling>
          <c:orientation val="minMax"/>
        </c:scaling>
        <c:delete val="0"/>
        <c:axPos val="b"/>
        <c:numFmt formatCode="General" sourceLinked="1"/>
        <c:majorTickMark val="out"/>
        <c:minorTickMark val="none"/>
        <c:tickLblPos val="nextTo"/>
        <c:crossAx val="1411641680"/>
        <c:crosses val="autoZero"/>
        <c:auto val="1"/>
        <c:lblAlgn val="ctr"/>
        <c:lblOffset val="100"/>
        <c:noMultiLvlLbl val="0"/>
      </c:catAx>
      <c:valAx>
        <c:axId val="1411641680"/>
        <c:scaling>
          <c:orientation val="minMax"/>
        </c:scaling>
        <c:delete val="0"/>
        <c:axPos val="l"/>
        <c:majorGridlines/>
        <c:numFmt formatCode="_-* #,##0\ [$€-C0A]_-;\-* #,##0\ [$€-C0A]_-;_-* &quot;-&quot;??\ [$€-C0A]_-;_-@_-" sourceLinked="1"/>
        <c:majorTickMark val="out"/>
        <c:minorTickMark val="none"/>
        <c:tickLblPos val="nextTo"/>
        <c:crossAx val="141164331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EconomiaT40!$C$14</c:f>
              <c:numCache>
                <c:formatCode>_-* #,##0\ [$€-C0A]_-;\-* #,##0\ [$€-C0A]_-;_-* "-"??\ [$€-C0A]_-;_-@_-</c:formatCode>
                <c:ptCount val="1"/>
                <c:pt idx="0">
                  <c:v>98780</c:v>
                </c:pt>
              </c:numCache>
            </c:numRef>
          </c:val>
          <c:extLst xmlns:c16r2="http://schemas.microsoft.com/office/drawing/2015/06/chart">
            <c:ext xmlns:c16="http://schemas.microsoft.com/office/drawing/2014/chart" uri="{C3380CC4-5D6E-409C-BE32-E72D297353CC}">
              <c16:uniqueId val="{00000000-9520-4166-BC61-51C990E8FAA7}"/>
            </c:ext>
          </c:extLst>
        </c:ser>
        <c:ser>
          <c:idx val="1"/>
          <c:order val="1"/>
          <c:tx>
            <c:strRef>
              <c:f>EconomiaT40!$B$15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EconomiaT40!$C$15</c:f>
              <c:numCache>
                <c:formatCode>_-* #,##0\ [$€-C0A]_-;\-* #,##0\ [$€-C0A]_-;_-* "-"??\ [$€-C0A]_-;_-@_-</c:formatCode>
                <c:ptCount val="1"/>
                <c:pt idx="0">
                  <c:v>119600</c:v>
                </c:pt>
              </c:numCache>
            </c:numRef>
          </c:val>
          <c:extLst xmlns:c16r2="http://schemas.microsoft.com/office/drawing/2015/06/chart">
            <c:ext xmlns:c16="http://schemas.microsoft.com/office/drawing/2014/chart" uri="{C3380CC4-5D6E-409C-BE32-E72D297353CC}">
              <c16:uniqueId val="{00000001-9520-4166-BC61-51C990E8FAA7}"/>
            </c:ext>
          </c:extLst>
        </c:ser>
        <c:ser>
          <c:idx val="2"/>
          <c:order val="2"/>
          <c:tx>
            <c:strRef>
              <c:f>EconomiaT40!$B$16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EconomiaT40!$C$16</c:f>
              <c:numCache>
                <c:formatCode>_-* #,##0\ [$€-C0A]_-;\-* #,##0\ [$€-C0A]_-;_-* "-"??\ [$€-C0A]_-;_-@_-</c:formatCode>
                <c:ptCount val="1"/>
                <c:pt idx="0">
                  <c:v>396545</c:v>
                </c:pt>
              </c:numCache>
            </c:numRef>
          </c:val>
          <c:extLst xmlns:c16r2="http://schemas.microsoft.com/office/drawing/2015/06/chart">
            <c:ext xmlns:c16="http://schemas.microsoft.com/office/drawing/2014/chart" uri="{C3380CC4-5D6E-409C-BE32-E72D297353CC}">
              <c16:uniqueId val="{00000002-9520-4166-BC61-51C990E8FAA7}"/>
            </c:ext>
          </c:extLst>
        </c:ser>
        <c:ser>
          <c:idx val="3"/>
          <c:order val="3"/>
          <c:tx>
            <c:strRef>
              <c:f>EconomiaT40!$B$17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EconomiaT40!$C$17</c:f>
              <c:numCache>
                <c:formatCode>_-* #,##0\ [$€-C0A]_-;\-* #,##0\ [$€-C0A]_-;_-* "-"??\ [$€-C0A]_-;_-@_-</c:formatCode>
                <c:ptCount val="1"/>
                <c:pt idx="0">
                  <c:v>243000</c:v>
                </c:pt>
              </c:numCache>
            </c:numRef>
          </c:val>
          <c:extLst xmlns:c16r2="http://schemas.microsoft.com/office/drawing/2015/06/chart">
            <c:ext xmlns:c16="http://schemas.microsoft.com/office/drawing/2014/chart" uri="{C3380CC4-5D6E-409C-BE32-E72D297353CC}">
              <c16:uniqueId val="{00000003-9520-4166-BC61-51C990E8FAA7}"/>
            </c:ext>
          </c:extLst>
        </c:ser>
        <c:ser>
          <c:idx val="4"/>
          <c:order val="4"/>
          <c:tx>
            <c:strRef>
              <c:f>EconomiaT40!$B$18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EconomiaT40!$C$18</c:f>
              <c:numCache>
                <c:formatCode>_-* #,##0\ [$€-C0A]_-;\-* #,##0\ [$€-C0A]_-;_-* "-"??\ [$€-C0A]_-;_-@_-</c:formatCode>
                <c:ptCount val="1"/>
                <c:pt idx="0">
                  <c:v>330000</c:v>
                </c:pt>
              </c:numCache>
            </c:numRef>
          </c:val>
          <c:extLst xmlns:c16r2="http://schemas.microsoft.com/office/drawing/2015/06/chart">
            <c:ext xmlns:c16="http://schemas.microsoft.com/office/drawing/2014/chart" uri="{C3380CC4-5D6E-409C-BE32-E72D297353CC}">
              <c16:uniqueId val="{00000004-9520-4166-BC61-51C990E8FAA7}"/>
            </c:ext>
          </c:extLst>
        </c:ser>
        <c:ser>
          <c:idx val="5"/>
          <c:order val="5"/>
          <c:tx>
            <c:strRef>
              <c:f>EconomiaT40!$B$19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EconomiaT40!$C$19</c:f>
              <c:numCache>
                <c:formatCode>_-* #,##0\ [$€-C0A]_-;\-* #,##0\ [$€-C0A]_-;_-* "-"??\ [$€-C0A]_-;_-@_-</c:formatCode>
                <c:ptCount val="1"/>
                <c:pt idx="0">
                  <c:v>0</c:v>
                </c:pt>
              </c:numCache>
            </c:numRef>
          </c:val>
          <c:extLst xmlns:c16r2="http://schemas.microsoft.com/office/drawing/2015/06/chart">
            <c:ext xmlns:c16="http://schemas.microsoft.com/office/drawing/2014/chart" uri="{C3380CC4-5D6E-409C-BE32-E72D297353CC}">
              <c16:uniqueId val="{00000005-9520-4166-BC61-51C990E8FAA7}"/>
            </c:ext>
          </c:extLst>
        </c:ser>
        <c:ser>
          <c:idx val="6"/>
          <c:order val="6"/>
          <c:tx>
            <c:strRef>
              <c:f>EconomiaT40!$B$20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EconomiaT40!$C$20</c:f>
              <c:numCache>
                <c:formatCode>_-* #,##0\ [$€-C0A]_-;\-* #,##0\ [$€-C0A]_-;_-* "-"??\ [$€-C0A]_-;_-@_-</c:formatCode>
                <c:ptCount val="1"/>
                <c:pt idx="0">
                  <c:v>268700</c:v>
                </c:pt>
              </c:numCache>
            </c:numRef>
          </c:val>
          <c:extLst xmlns:c16r2="http://schemas.microsoft.com/office/drawing/2015/06/chart">
            <c:ext xmlns:c16="http://schemas.microsoft.com/office/drawing/2014/chart" uri="{C3380CC4-5D6E-409C-BE32-E72D297353CC}">
              <c16:uniqueId val="{00000006-9520-4166-BC61-51C990E8FAA7}"/>
            </c:ext>
          </c:extLst>
        </c:ser>
        <c:ser>
          <c:idx val="7"/>
          <c:order val="7"/>
          <c:tx>
            <c:strRef>
              <c:f>EconomiaT40!$B$21</c:f>
              <c:strCache>
                <c:ptCount val="1"/>
                <c:pt idx="0">
                  <c:v>Viajes+Venta</c:v>
                </c:pt>
              </c:strCache>
            </c:strRef>
          </c:tx>
          <c:invertIfNegative val="0"/>
          <c:val>
            <c:numRef>
              <c:f>EconomiaT40!$C$21</c:f>
              <c:numCache>
                <c:formatCode>_-* #,##0\ [$€-C0A]_-;\-* #,##0\ [$€-C0A]_-;_-* "-"??\ [$€-C0A]_-;_-@_-</c:formatCode>
                <c:ptCount val="1"/>
                <c:pt idx="0">
                  <c:v>26000</c:v>
                </c:pt>
              </c:numCache>
            </c:numRef>
          </c:val>
          <c:extLst xmlns:c16r2="http://schemas.microsoft.com/office/drawing/2015/06/chart">
            <c:ext xmlns:c16="http://schemas.microsoft.com/office/drawing/2014/chart" uri="{C3380CC4-5D6E-409C-BE32-E72D297353CC}">
              <c16:uniqueId val="{00000007-9520-4166-BC61-51C990E8FAA7}"/>
            </c:ext>
          </c:extLst>
        </c:ser>
        <c:ser>
          <c:idx val="8"/>
          <c:order val="8"/>
          <c:tx>
            <c:strRef>
              <c:f>EconomiaT40!$B$22</c:f>
              <c:strCache>
                <c:ptCount val="1"/>
                <c:pt idx="0">
                  <c:v>Intereses</c:v>
                </c:pt>
              </c:strCache>
            </c:strRef>
          </c:tx>
          <c:invertIfNegative val="0"/>
          <c:val>
            <c:numRef>
              <c:f>EconomiaT40!$C$22</c:f>
              <c:numCache>
                <c:formatCode>_-* #,##0\ [$€-C0A]_-;\-* #,##0\ [$€-C0A]_-;_-* "-"??\ [$€-C0A]_-;_-@_-</c:formatCode>
                <c:ptCount val="1"/>
                <c:pt idx="0">
                  <c:v>0</c:v>
                </c:pt>
              </c:numCache>
            </c:numRef>
          </c:val>
          <c:extLst xmlns:c16r2="http://schemas.microsoft.com/office/drawing/2015/06/chart">
            <c:ext xmlns:c16="http://schemas.microsoft.com/office/drawing/2014/chart" uri="{C3380CC4-5D6E-409C-BE32-E72D297353CC}">
              <c16:uniqueId val="{00000008-9520-4166-BC61-51C990E8FAA7}"/>
            </c:ext>
          </c:extLst>
        </c:ser>
        <c:dLbls>
          <c:showLegendKey val="0"/>
          <c:showVal val="0"/>
          <c:showCatName val="0"/>
          <c:showSerName val="0"/>
          <c:showPercent val="0"/>
          <c:showBubbleSize val="0"/>
        </c:dLbls>
        <c:gapWidth val="150"/>
        <c:overlap val="100"/>
        <c:axId val="1187686240"/>
        <c:axId val="1187680800"/>
      </c:barChart>
      <c:catAx>
        <c:axId val="1187686240"/>
        <c:scaling>
          <c:orientation val="minMax"/>
        </c:scaling>
        <c:delete val="0"/>
        <c:axPos val="b"/>
        <c:numFmt formatCode="General" sourceLinked="1"/>
        <c:majorTickMark val="out"/>
        <c:minorTickMark val="none"/>
        <c:tickLblPos val="nextTo"/>
        <c:crossAx val="1187680800"/>
        <c:crosses val="autoZero"/>
        <c:auto val="1"/>
        <c:lblAlgn val="ctr"/>
        <c:lblOffset val="100"/>
        <c:noMultiLvlLbl val="0"/>
      </c:catAx>
      <c:valAx>
        <c:axId val="1187680800"/>
        <c:scaling>
          <c:orientation val="minMax"/>
        </c:scaling>
        <c:delete val="0"/>
        <c:axPos val="l"/>
        <c:majorGridlines/>
        <c:numFmt formatCode="_-* #,##0\ [$€-C0A]_-;\-* #,##0\ [$€-C0A]_-;_-* &quot;-&quot;??\ [$€-C0A]_-;_-@_-" sourceLinked="1"/>
        <c:majorTickMark val="out"/>
        <c:minorTickMark val="none"/>
        <c:tickLblPos val="nextTo"/>
        <c:crossAx val="118768624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EconomiaT49!$C$14</c:f>
              <c:numCache>
                <c:formatCode>_-* #,##0\ [$€-C0A]_-;\-* #,##0\ [$€-C0A]_-;_-* "-"??\ [$€-C0A]_-;_-@_-</c:formatCode>
                <c:ptCount val="1"/>
                <c:pt idx="0">
                  <c:v>1893144</c:v>
                </c:pt>
              </c:numCache>
            </c:numRef>
          </c:val>
          <c:extLst xmlns:c16r2="http://schemas.microsoft.com/office/drawing/2015/06/chart">
            <c:ext xmlns:c16="http://schemas.microsoft.com/office/drawing/2014/chart" uri="{C3380CC4-5D6E-409C-BE32-E72D297353CC}">
              <c16:uniqueId val="{00000000-E161-411B-9207-266263243D5D}"/>
            </c:ext>
          </c:extLst>
        </c:ser>
        <c:ser>
          <c:idx val="1"/>
          <c:order val="1"/>
          <c:tx>
            <c:strRef>
              <c:f>EconomiaT49!$B$15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EconomiaT49!$C$15</c:f>
              <c:numCache>
                <c:formatCode>_-* #,##0\ [$€-C0A]_-;\-* #,##0\ [$€-C0A]_-;_-* "-"??\ [$€-C0A]_-;_-@_-</c:formatCode>
                <c:ptCount val="1"/>
                <c:pt idx="0">
                  <c:v>606265</c:v>
                </c:pt>
              </c:numCache>
            </c:numRef>
          </c:val>
          <c:extLst xmlns:c16r2="http://schemas.microsoft.com/office/drawing/2015/06/chart">
            <c:ext xmlns:c16="http://schemas.microsoft.com/office/drawing/2014/chart" uri="{C3380CC4-5D6E-409C-BE32-E72D297353CC}">
              <c16:uniqueId val="{00000001-E161-411B-9207-266263243D5D}"/>
            </c:ext>
          </c:extLst>
        </c:ser>
        <c:ser>
          <c:idx val="2"/>
          <c:order val="2"/>
          <c:tx>
            <c:strRef>
              <c:f>EconomiaT49!$B$16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EconomiaT49!$C$16</c:f>
              <c:numCache>
                <c:formatCode>_-* #,##0\ [$€-C0A]_-;\-* #,##0\ [$€-C0A]_-;_-* "-"??\ [$€-C0A]_-;_-@_-</c:formatCode>
                <c:ptCount val="1"/>
                <c:pt idx="0">
                  <c:v>374485</c:v>
                </c:pt>
              </c:numCache>
            </c:numRef>
          </c:val>
          <c:extLst xmlns:c16r2="http://schemas.microsoft.com/office/drawing/2015/06/chart">
            <c:ext xmlns:c16="http://schemas.microsoft.com/office/drawing/2014/chart" uri="{C3380CC4-5D6E-409C-BE32-E72D297353CC}">
              <c16:uniqueId val="{00000002-E161-411B-9207-266263243D5D}"/>
            </c:ext>
          </c:extLst>
        </c:ser>
        <c:ser>
          <c:idx val="3"/>
          <c:order val="3"/>
          <c:tx>
            <c:strRef>
              <c:f>EconomiaT49!$B$17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EconomiaT49!$C$17</c:f>
              <c:numCache>
                <c:formatCode>_-* #,##0\ [$€-C0A]_-;\-* #,##0\ [$€-C0A]_-;_-* "-"??\ [$€-C0A]_-;_-@_-</c:formatCode>
                <c:ptCount val="1"/>
                <c:pt idx="0">
                  <c:v>1044480</c:v>
                </c:pt>
              </c:numCache>
            </c:numRef>
          </c:val>
          <c:extLst xmlns:c16r2="http://schemas.microsoft.com/office/drawing/2015/06/chart">
            <c:ext xmlns:c16="http://schemas.microsoft.com/office/drawing/2014/chart" uri="{C3380CC4-5D6E-409C-BE32-E72D297353CC}">
              <c16:uniqueId val="{00000003-E161-411B-9207-266263243D5D}"/>
            </c:ext>
          </c:extLst>
        </c:ser>
        <c:ser>
          <c:idx val="4"/>
          <c:order val="4"/>
          <c:tx>
            <c:strRef>
              <c:f>EconomiaT49!$B$18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EconomiaT49!$C$18</c:f>
              <c:numCache>
                <c:formatCode>_-* #,##0\ [$€-C0A]_-;\-* #,##0\ [$€-C0A]_-;_-* "-"??\ [$€-C0A]_-;_-@_-</c:formatCode>
                <c:ptCount val="1"/>
                <c:pt idx="0">
                  <c:v>320000</c:v>
                </c:pt>
              </c:numCache>
            </c:numRef>
          </c:val>
          <c:extLst xmlns:c16r2="http://schemas.microsoft.com/office/drawing/2015/06/chart">
            <c:ext xmlns:c16="http://schemas.microsoft.com/office/drawing/2014/chart" uri="{C3380CC4-5D6E-409C-BE32-E72D297353CC}">
              <c16:uniqueId val="{00000004-E161-411B-9207-266263243D5D}"/>
            </c:ext>
          </c:extLst>
        </c:ser>
        <c:ser>
          <c:idx val="5"/>
          <c:order val="5"/>
          <c:tx>
            <c:strRef>
              <c:f>EconomiaT49!$B$19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EconomiaT49!$C$19</c:f>
              <c:numCache>
                <c:formatCode>_-* #,##0\ [$€-C0A]_-;\-* #,##0\ [$€-C0A]_-;_-* "-"??\ [$€-C0A]_-;_-@_-</c:formatCode>
                <c:ptCount val="1"/>
                <c:pt idx="0">
                  <c:v>11716116</c:v>
                </c:pt>
              </c:numCache>
            </c:numRef>
          </c:val>
          <c:extLst xmlns:c16r2="http://schemas.microsoft.com/office/drawing/2015/06/chart">
            <c:ext xmlns:c16="http://schemas.microsoft.com/office/drawing/2014/chart" uri="{C3380CC4-5D6E-409C-BE32-E72D297353CC}">
              <c16:uniqueId val="{00000005-E161-411B-9207-266263243D5D}"/>
            </c:ext>
          </c:extLst>
        </c:ser>
        <c:ser>
          <c:idx val="6"/>
          <c:order val="6"/>
          <c:tx>
            <c:strRef>
              <c:f>EconomiaT49!$B$20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EconomiaT49!$C$20</c:f>
              <c:numCache>
                <c:formatCode>_-* #,##0\ [$€-C0A]_-;\-* #,##0\ [$€-C0A]_-;_-* "-"??\ [$€-C0A]_-;_-@_-</c:formatCode>
                <c:ptCount val="1"/>
                <c:pt idx="0">
                  <c:v>0</c:v>
                </c:pt>
              </c:numCache>
            </c:numRef>
          </c:val>
          <c:extLst xmlns:c16r2="http://schemas.microsoft.com/office/drawing/2015/06/chart">
            <c:ext xmlns:c16="http://schemas.microsoft.com/office/drawing/2014/chart" uri="{C3380CC4-5D6E-409C-BE32-E72D297353CC}">
              <c16:uniqueId val="{00000006-E161-411B-9207-266263243D5D}"/>
            </c:ext>
          </c:extLst>
        </c:ser>
        <c:ser>
          <c:idx val="7"/>
          <c:order val="7"/>
          <c:tx>
            <c:strRef>
              <c:f>EconomiaT49!$B$21</c:f>
              <c:strCache>
                <c:ptCount val="1"/>
                <c:pt idx="0">
                  <c:v>Viajes+Venta</c:v>
                </c:pt>
              </c:strCache>
            </c:strRef>
          </c:tx>
          <c:invertIfNegative val="0"/>
          <c:val>
            <c:numRef>
              <c:f>EconomiaT49!$C$21</c:f>
              <c:numCache>
                <c:formatCode>_-* #,##0\ [$€-C0A]_-;\-* #,##0\ [$€-C0A]_-;_-* "-"??\ [$€-C0A]_-;_-@_-</c:formatCode>
                <c:ptCount val="1"/>
                <c:pt idx="0">
                  <c:v>78000</c:v>
                </c:pt>
              </c:numCache>
            </c:numRef>
          </c:val>
          <c:extLst xmlns:c16r2="http://schemas.microsoft.com/office/drawing/2015/06/chart">
            <c:ext xmlns:c16="http://schemas.microsoft.com/office/drawing/2014/chart" uri="{C3380CC4-5D6E-409C-BE32-E72D297353CC}">
              <c16:uniqueId val="{00000007-E161-411B-9207-266263243D5D}"/>
            </c:ext>
          </c:extLst>
        </c:ser>
        <c:ser>
          <c:idx val="8"/>
          <c:order val="8"/>
          <c:tx>
            <c:strRef>
              <c:f>EconomiaT49!$B$22</c:f>
              <c:strCache>
                <c:ptCount val="1"/>
                <c:pt idx="0">
                  <c:v>Intereses</c:v>
                </c:pt>
              </c:strCache>
            </c:strRef>
          </c:tx>
          <c:invertIfNegative val="0"/>
          <c:val>
            <c:numRef>
              <c:f>EconomiaT49!$C$22</c:f>
              <c:numCache>
                <c:formatCode>_-* #,##0\ [$€-C0A]_-;\-* #,##0\ [$€-C0A]_-;_-* "-"??\ [$€-C0A]_-;_-@_-</c:formatCode>
                <c:ptCount val="1"/>
                <c:pt idx="0">
                  <c:v>0</c:v>
                </c:pt>
              </c:numCache>
            </c:numRef>
          </c:val>
          <c:extLst xmlns:c16r2="http://schemas.microsoft.com/office/drawing/2015/06/chart">
            <c:ext xmlns:c16="http://schemas.microsoft.com/office/drawing/2014/chart" uri="{C3380CC4-5D6E-409C-BE32-E72D297353CC}">
              <c16:uniqueId val="{00000008-E161-411B-9207-266263243D5D}"/>
            </c:ext>
          </c:extLst>
        </c:ser>
        <c:dLbls>
          <c:showLegendKey val="0"/>
          <c:showVal val="0"/>
          <c:showCatName val="0"/>
          <c:showSerName val="0"/>
          <c:showPercent val="0"/>
          <c:showBubbleSize val="0"/>
        </c:dLbls>
        <c:gapWidth val="150"/>
        <c:overlap val="100"/>
        <c:axId val="1411642224"/>
        <c:axId val="1413735600"/>
      </c:barChart>
      <c:catAx>
        <c:axId val="1411642224"/>
        <c:scaling>
          <c:orientation val="minMax"/>
        </c:scaling>
        <c:delete val="0"/>
        <c:axPos val="b"/>
        <c:numFmt formatCode="General" sourceLinked="1"/>
        <c:majorTickMark val="out"/>
        <c:minorTickMark val="none"/>
        <c:tickLblPos val="nextTo"/>
        <c:crossAx val="1413735600"/>
        <c:crosses val="autoZero"/>
        <c:auto val="1"/>
        <c:lblAlgn val="ctr"/>
        <c:lblOffset val="100"/>
        <c:noMultiLvlLbl val="0"/>
      </c:catAx>
      <c:valAx>
        <c:axId val="1413735600"/>
        <c:scaling>
          <c:orientation val="minMax"/>
        </c:scaling>
        <c:delete val="0"/>
        <c:axPos val="l"/>
        <c:majorGridlines/>
        <c:numFmt formatCode="_-* #,##0\ [$€-C0A]_-;\-* #,##0\ [$€-C0A]_-;_-* &quot;-&quot;??\ [$€-C0A]_-;_-@_-" sourceLinked="1"/>
        <c:majorTickMark val="out"/>
        <c:minorTickMark val="none"/>
        <c:tickLblPos val="nextTo"/>
        <c:crossAx val="141164222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EconomiaT50!$C$6</c:f>
              <c:numCache>
                <c:formatCode>_-* #,##0\ [$€-C0A]_-;\-* #,##0\ [$€-C0A]_-;_-* "-"??\ [$€-C0A]_-;_-@_-</c:formatCode>
                <c:ptCount val="1"/>
                <c:pt idx="0">
                  <c:v>6222531</c:v>
                </c:pt>
              </c:numCache>
            </c:numRef>
          </c:val>
          <c:extLst xmlns:c16r2="http://schemas.microsoft.com/office/drawing/2015/06/chart">
            <c:ext xmlns:c16="http://schemas.microsoft.com/office/drawing/2014/chart" uri="{C3380CC4-5D6E-409C-BE32-E72D297353CC}">
              <c16:uniqueId val="{00000000-1DED-4817-8725-28119235A817}"/>
            </c:ext>
          </c:extLst>
        </c:ser>
        <c:ser>
          <c:idx val="1"/>
          <c:order val="1"/>
          <c:tx>
            <c:strRef>
              <c:f>EconomiaT50!$B$7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EconomiaT50!$C$7</c:f>
              <c:numCache>
                <c:formatCode>_-* #,##0\ [$€-C0A]_-;\-* #,##0\ [$€-C0A]_-;_-* "-"??\ [$€-C0A]_-;_-@_-</c:formatCode>
                <c:ptCount val="1"/>
                <c:pt idx="0">
                  <c:v>3046995</c:v>
                </c:pt>
              </c:numCache>
            </c:numRef>
          </c:val>
          <c:extLst xmlns:c16r2="http://schemas.microsoft.com/office/drawing/2015/06/chart">
            <c:ext xmlns:c16="http://schemas.microsoft.com/office/drawing/2014/chart" uri="{C3380CC4-5D6E-409C-BE32-E72D297353CC}">
              <c16:uniqueId val="{00000001-1DED-4817-8725-28119235A817}"/>
            </c:ext>
          </c:extLst>
        </c:ser>
        <c:ser>
          <c:idx val="2"/>
          <c:order val="2"/>
          <c:tx>
            <c:strRef>
              <c:f>EconomiaT50!$B$8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EconomiaT50!$C$8</c:f>
              <c:numCache>
                <c:formatCode>_-* #,##0\ [$€-C0A]_-;\-* #,##0\ [$€-C0A]_-;_-* "-"??\ [$€-C0A]_-;_-@_-</c:formatCode>
                <c:ptCount val="1"/>
                <c:pt idx="0">
                  <c:v>0</c:v>
                </c:pt>
              </c:numCache>
            </c:numRef>
          </c:val>
          <c:extLst xmlns:c16r2="http://schemas.microsoft.com/office/drawing/2015/06/chart">
            <c:ext xmlns:c16="http://schemas.microsoft.com/office/drawing/2014/chart" uri="{C3380CC4-5D6E-409C-BE32-E72D297353CC}">
              <c16:uniqueId val="{00000002-1DED-4817-8725-28119235A817}"/>
            </c:ext>
          </c:extLst>
        </c:ser>
        <c:ser>
          <c:idx val="3"/>
          <c:order val="3"/>
          <c:tx>
            <c:strRef>
              <c:f>EconomiaT50!$B$9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EconomiaT50!$C$9</c:f>
              <c:numCache>
                <c:formatCode>_-* #,##0\ [$€-C0A]_-;\-* #,##0\ [$€-C0A]_-;_-* "-"??\ [$€-C0A]_-;_-@_-</c:formatCode>
                <c:ptCount val="1"/>
                <c:pt idx="0">
                  <c:v>585827</c:v>
                </c:pt>
              </c:numCache>
            </c:numRef>
          </c:val>
          <c:extLst xmlns:c16r2="http://schemas.microsoft.com/office/drawing/2015/06/chart">
            <c:ext xmlns:c16="http://schemas.microsoft.com/office/drawing/2014/chart" uri="{C3380CC4-5D6E-409C-BE32-E72D297353CC}">
              <c16:uniqueId val="{00000003-1DED-4817-8725-28119235A817}"/>
            </c:ext>
          </c:extLst>
        </c:ser>
        <c:ser>
          <c:idx val="4"/>
          <c:order val="4"/>
          <c:tx>
            <c:strRef>
              <c:f>EconomiaT50!$B$10</c:f>
              <c:strCache>
                <c:ptCount val="1"/>
                <c:pt idx="0">
                  <c:v>Comisiones</c:v>
                </c:pt>
              </c:strCache>
            </c:strRef>
          </c:tx>
          <c:invertIfNegative val="0"/>
          <c:cat>
            <c:numLit>
              <c:formatCode>General</c:formatCode>
              <c:ptCount val="1"/>
              <c:pt idx="0">
                <c:v>0</c:v>
              </c:pt>
            </c:numLit>
          </c:cat>
          <c:val>
            <c:numRef>
              <c:f>EconomiaT50!$C$10</c:f>
              <c:numCache>
                <c:formatCode>_-* #,##0\ [$€-C0A]_-;\-* #,##0\ [$€-C0A]_-;_-* "-"??\ [$€-C0A]_-;_-@_-</c:formatCode>
                <c:ptCount val="1"/>
                <c:pt idx="0">
                  <c:v>73830</c:v>
                </c:pt>
              </c:numCache>
            </c:numRef>
          </c:val>
          <c:extLst xmlns:c16r2="http://schemas.microsoft.com/office/drawing/2015/06/chart">
            <c:ext xmlns:c16="http://schemas.microsoft.com/office/drawing/2014/chart" uri="{C3380CC4-5D6E-409C-BE32-E72D297353CC}">
              <c16:uniqueId val="{00000004-1DED-4817-8725-28119235A817}"/>
            </c:ext>
          </c:extLst>
        </c:ser>
        <c:ser>
          <c:idx val="5"/>
          <c:order val="5"/>
          <c:tx>
            <c:strRef>
              <c:f>EconomiaT50!$B$11</c:f>
              <c:strCache>
                <c:ptCount val="1"/>
                <c:pt idx="0">
                  <c:v>Nuevos Socios</c:v>
                </c:pt>
              </c:strCache>
            </c:strRef>
          </c:tx>
          <c:invertIfNegative val="0"/>
          <c:cat>
            <c:numLit>
              <c:formatCode>General</c:formatCode>
              <c:ptCount val="1"/>
              <c:pt idx="0">
                <c:v>0</c:v>
              </c:pt>
            </c:numLit>
          </c:cat>
          <c:val>
            <c:numRef>
              <c:f>EconomiaT50!$C$11</c:f>
              <c:numCache>
                <c:formatCode>_-* #,##0\ [$€-C0A]_-;\-* #,##0\ [$€-C0A]_-;_-* "-"??\ [$€-C0A]_-;_-@_-</c:formatCode>
                <c:ptCount val="1"/>
                <c:pt idx="0">
                  <c:v>89520</c:v>
                </c:pt>
              </c:numCache>
            </c:numRef>
          </c:val>
          <c:extLst xmlns:c16r2="http://schemas.microsoft.com/office/drawing/2015/06/chart">
            <c:ext xmlns:c16="http://schemas.microsoft.com/office/drawing/2014/chart" uri="{C3380CC4-5D6E-409C-BE32-E72D297353CC}">
              <c16:uniqueId val="{00000005-1DED-4817-8725-28119235A817}"/>
            </c:ext>
          </c:extLst>
        </c:ser>
        <c:ser>
          <c:idx val="6"/>
          <c:order val="6"/>
          <c:tx>
            <c:strRef>
              <c:f>EconomiaT50!$B$12</c:f>
              <c:strCache>
                <c:ptCount val="1"/>
                <c:pt idx="0">
                  <c:v>Premios</c:v>
                </c:pt>
              </c:strCache>
            </c:strRef>
          </c:tx>
          <c:invertIfNegative val="0"/>
          <c:cat>
            <c:numLit>
              <c:formatCode>General</c:formatCode>
              <c:ptCount val="1"/>
              <c:pt idx="0">
                <c:v>0</c:v>
              </c:pt>
            </c:numLit>
          </c:cat>
          <c:val>
            <c:numRef>
              <c:f>EconomiaT50!$C$12</c:f>
              <c:numCache>
                <c:formatCode>_-* #,##0\ [$€-C0A]_-;\-* #,##0\ [$€-C0A]_-;_-* "-"??\ [$€-C0A]_-;_-@_-</c:formatCode>
                <c:ptCount val="1"/>
                <c:pt idx="0">
                  <c:v>925000</c:v>
                </c:pt>
              </c:numCache>
            </c:numRef>
          </c:val>
          <c:extLst xmlns:c16r2="http://schemas.microsoft.com/office/drawing/2015/06/chart">
            <c:ext xmlns:c16="http://schemas.microsoft.com/office/drawing/2014/chart" uri="{C3380CC4-5D6E-409C-BE32-E72D297353CC}">
              <c16:uniqueId val="{00000006-1DED-4817-8725-28119235A817}"/>
            </c:ext>
          </c:extLst>
        </c:ser>
        <c:dLbls>
          <c:showLegendKey val="0"/>
          <c:showVal val="0"/>
          <c:showCatName val="0"/>
          <c:showSerName val="0"/>
          <c:showPercent val="0"/>
          <c:showBubbleSize val="0"/>
        </c:dLbls>
        <c:gapWidth val="150"/>
        <c:overlap val="100"/>
        <c:axId val="1413733968"/>
        <c:axId val="1413721456"/>
      </c:barChart>
      <c:catAx>
        <c:axId val="1413733968"/>
        <c:scaling>
          <c:orientation val="minMax"/>
        </c:scaling>
        <c:delete val="0"/>
        <c:axPos val="b"/>
        <c:numFmt formatCode="General" sourceLinked="1"/>
        <c:majorTickMark val="out"/>
        <c:minorTickMark val="none"/>
        <c:tickLblPos val="nextTo"/>
        <c:crossAx val="1413721456"/>
        <c:crosses val="autoZero"/>
        <c:auto val="1"/>
        <c:lblAlgn val="ctr"/>
        <c:lblOffset val="100"/>
        <c:noMultiLvlLbl val="0"/>
      </c:catAx>
      <c:valAx>
        <c:axId val="1413721456"/>
        <c:scaling>
          <c:orientation val="minMax"/>
        </c:scaling>
        <c:delete val="0"/>
        <c:axPos val="l"/>
        <c:majorGridlines/>
        <c:numFmt formatCode="_-* #,##0\ [$€-C0A]_-;\-* #,##0\ [$€-C0A]_-;_-* &quot;-&quot;??\ [$€-C0A]_-;_-@_-" sourceLinked="1"/>
        <c:majorTickMark val="out"/>
        <c:minorTickMark val="none"/>
        <c:tickLblPos val="nextTo"/>
        <c:crossAx val="141373396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EconomiaT50!$C$14</c:f>
              <c:numCache>
                <c:formatCode>_-* #,##0\ [$€-C0A]_-;\-* #,##0\ [$€-C0A]_-;_-* "-"??\ [$€-C0A]_-;_-@_-</c:formatCode>
                <c:ptCount val="1"/>
                <c:pt idx="0">
                  <c:v>2646284</c:v>
                </c:pt>
              </c:numCache>
            </c:numRef>
          </c:val>
          <c:extLst xmlns:c16r2="http://schemas.microsoft.com/office/drawing/2015/06/chart">
            <c:ext xmlns:c16="http://schemas.microsoft.com/office/drawing/2014/chart" uri="{C3380CC4-5D6E-409C-BE32-E72D297353CC}">
              <c16:uniqueId val="{00000000-7EC1-4B9F-A410-1823BB9DD949}"/>
            </c:ext>
          </c:extLst>
        </c:ser>
        <c:ser>
          <c:idx val="1"/>
          <c:order val="1"/>
          <c:tx>
            <c:strRef>
              <c:f>EconomiaT50!$B$15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EconomiaT50!$C$15</c:f>
              <c:numCache>
                <c:formatCode>_-* #,##0\ [$€-C0A]_-;\-* #,##0\ [$€-C0A]_-;_-* "-"??\ [$€-C0A]_-;_-@_-</c:formatCode>
                <c:ptCount val="1"/>
                <c:pt idx="0">
                  <c:v>686244</c:v>
                </c:pt>
              </c:numCache>
            </c:numRef>
          </c:val>
          <c:extLst xmlns:c16r2="http://schemas.microsoft.com/office/drawing/2015/06/chart">
            <c:ext xmlns:c16="http://schemas.microsoft.com/office/drawing/2014/chart" uri="{C3380CC4-5D6E-409C-BE32-E72D297353CC}">
              <c16:uniqueId val="{00000001-7EC1-4B9F-A410-1823BB9DD949}"/>
            </c:ext>
          </c:extLst>
        </c:ser>
        <c:ser>
          <c:idx val="2"/>
          <c:order val="2"/>
          <c:tx>
            <c:strRef>
              <c:f>EconomiaT50!$B$16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EconomiaT50!$C$16</c:f>
              <c:numCache>
                <c:formatCode>_-* #,##0\ [$€-C0A]_-;\-* #,##0\ [$€-C0A]_-;_-* "-"??\ [$€-C0A]_-;_-@_-</c:formatCode>
                <c:ptCount val="1"/>
                <c:pt idx="0">
                  <c:v>442795</c:v>
                </c:pt>
              </c:numCache>
            </c:numRef>
          </c:val>
          <c:extLst xmlns:c16r2="http://schemas.microsoft.com/office/drawing/2015/06/chart">
            <c:ext xmlns:c16="http://schemas.microsoft.com/office/drawing/2014/chart" uri="{C3380CC4-5D6E-409C-BE32-E72D297353CC}">
              <c16:uniqueId val="{00000002-7EC1-4B9F-A410-1823BB9DD949}"/>
            </c:ext>
          </c:extLst>
        </c:ser>
        <c:ser>
          <c:idx val="3"/>
          <c:order val="3"/>
          <c:tx>
            <c:strRef>
              <c:f>EconomiaT50!$B$17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EconomiaT50!$C$17</c:f>
              <c:numCache>
                <c:formatCode>_-* #,##0\ [$€-C0A]_-;\-* #,##0\ [$€-C0A]_-;_-* "-"??\ [$€-C0A]_-;_-@_-</c:formatCode>
                <c:ptCount val="1"/>
                <c:pt idx="0">
                  <c:v>1044480</c:v>
                </c:pt>
              </c:numCache>
            </c:numRef>
          </c:val>
          <c:extLst xmlns:c16r2="http://schemas.microsoft.com/office/drawing/2015/06/chart">
            <c:ext xmlns:c16="http://schemas.microsoft.com/office/drawing/2014/chart" uri="{C3380CC4-5D6E-409C-BE32-E72D297353CC}">
              <c16:uniqueId val="{00000003-7EC1-4B9F-A410-1823BB9DD949}"/>
            </c:ext>
          </c:extLst>
        </c:ser>
        <c:ser>
          <c:idx val="4"/>
          <c:order val="4"/>
          <c:tx>
            <c:strRef>
              <c:f>EconomiaT50!$B$18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EconomiaT50!$C$18</c:f>
              <c:numCache>
                <c:formatCode>_-* #,##0\ [$€-C0A]_-;\-* #,##0\ [$€-C0A]_-;_-* "-"??\ [$€-C0A]_-;_-@_-</c:formatCode>
                <c:ptCount val="1"/>
                <c:pt idx="0">
                  <c:v>320000</c:v>
                </c:pt>
              </c:numCache>
            </c:numRef>
          </c:val>
          <c:extLst xmlns:c16r2="http://schemas.microsoft.com/office/drawing/2015/06/chart">
            <c:ext xmlns:c16="http://schemas.microsoft.com/office/drawing/2014/chart" uri="{C3380CC4-5D6E-409C-BE32-E72D297353CC}">
              <c16:uniqueId val="{00000004-7EC1-4B9F-A410-1823BB9DD949}"/>
            </c:ext>
          </c:extLst>
        </c:ser>
        <c:ser>
          <c:idx val="5"/>
          <c:order val="5"/>
          <c:tx>
            <c:strRef>
              <c:f>EconomiaT50!$B$19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EconomiaT50!$C$19</c:f>
              <c:numCache>
                <c:formatCode>_-* #,##0\ [$€-C0A]_-;\-* #,##0\ [$€-C0A]_-;_-* "-"??\ [$€-C0A]_-;_-@_-</c:formatCode>
                <c:ptCount val="1"/>
                <c:pt idx="0">
                  <c:v>0</c:v>
                </c:pt>
              </c:numCache>
            </c:numRef>
          </c:val>
          <c:extLst xmlns:c16r2="http://schemas.microsoft.com/office/drawing/2015/06/chart">
            <c:ext xmlns:c16="http://schemas.microsoft.com/office/drawing/2014/chart" uri="{C3380CC4-5D6E-409C-BE32-E72D297353CC}">
              <c16:uniqueId val="{00000005-7EC1-4B9F-A410-1823BB9DD949}"/>
            </c:ext>
          </c:extLst>
        </c:ser>
        <c:ser>
          <c:idx val="6"/>
          <c:order val="6"/>
          <c:tx>
            <c:strRef>
              <c:f>EconomiaT50!$B$20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EconomiaT50!$C$20</c:f>
              <c:numCache>
                <c:formatCode>_-* #,##0\ [$€-C0A]_-;\-* #,##0\ [$€-C0A]_-;_-* "-"??\ [$€-C0A]_-;_-@_-</c:formatCode>
                <c:ptCount val="1"/>
                <c:pt idx="0">
                  <c:v>1916372</c:v>
                </c:pt>
              </c:numCache>
            </c:numRef>
          </c:val>
          <c:extLst xmlns:c16r2="http://schemas.microsoft.com/office/drawing/2015/06/chart">
            <c:ext xmlns:c16="http://schemas.microsoft.com/office/drawing/2014/chart" uri="{C3380CC4-5D6E-409C-BE32-E72D297353CC}">
              <c16:uniqueId val="{00000006-7EC1-4B9F-A410-1823BB9DD949}"/>
            </c:ext>
          </c:extLst>
        </c:ser>
        <c:ser>
          <c:idx val="7"/>
          <c:order val="7"/>
          <c:tx>
            <c:strRef>
              <c:f>EconomiaT50!$B$21</c:f>
              <c:strCache>
                <c:ptCount val="1"/>
                <c:pt idx="0">
                  <c:v>Viajes+Venta</c:v>
                </c:pt>
              </c:strCache>
            </c:strRef>
          </c:tx>
          <c:invertIfNegative val="0"/>
          <c:val>
            <c:numRef>
              <c:f>EconomiaT50!$C$21</c:f>
              <c:numCache>
                <c:formatCode>_-* #,##0\ [$€-C0A]_-;\-* #,##0\ [$€-C0A]_-;_-* "-"??\ [$€-C0A]_-;_-@_-</c:formatCode>
                <c:ptCount val="1"/>
                <c:pt idx="0">
                  <c:v>87000</c:v>
                </c:pt>
              </c:numCache>
            </c:numRef>
          </c:val>
          <c:extLst xmlns:c16r2="http://schemas.microsoft.com/office/drawing/2015/06/chart">
            <c:ext xmlns:c16="http://schemas.microsoft.com/office/drawing/2014/chart" uri="{C3380CC4-5D6E-409C-BE32-E72D297353CC}">
              <c16:uniqueId val="{00000007-7EC1-4B9F-A410-1823BB9DD949}"/>
            </c:ext>
          </c:extLst>
        </c:ser>
        <c:ser>
          <c:idx val="8"/>
          <c:order val="8"/>
          <c:tx>
            <c:strRef>
              <c:f>EconomiaT50!$B$22</c:f>
              <c:strCache>
                <c:ptCount val="1"/>
                <c:pt idx="0">
                  <c:v>Intereses</c:v>
                </c:pt>
              </c:strCache>
            </c:strRef>
          </c:tx>
          <c:invertIfNegative val="0"/>
          <c:val>
            <c:numRef>
              <c:f>EconomiaT50!$C$22</c:f>
              <c:numCache>
                <c:formatCode>_-* #,##0\ [$€-C0A]_-;\-* #,##0\ [$€-C0A]_-;_-* "-"??\ [$€-C0A]_-;_-@_-</c:formatCode>
                <c:ptCount val="1"/>
                <c:pt idx="0">
                  <c:v>0</c:v>
                </c:pt>
              </c:numCache>
            </c:numRef>
          </c:val>
          <c:extLst xmlns:c16r2="http://schemas.microsoft.com/office/drawing/2015/06/chart">
            <c:ext xmlns:c16="http://schemas.microsoft.com/office/drawing/2014/chart" uri="{C3380CC4-5D6E-409C-BE32-E72D297353CC}">
              <c16:uniqueId val="{00000008-7EC1-4B9F-A410-1823BB9DD949}"/>
            </c:ext>
          </c:extLst>
        </c:ser>
        <c:dLbls>
          <c:showLegendKey val="0"/>
          <c:showVal val="0"/>
          <c:showCatName val="0"/>
          <c:showSerName val="0"/>
          <c:showPercent val="0"/>
          <c:showBubbleSize val="0"/>
        </c:dLbls>
        <c:gapWidth val="150"/>
        <c:overlap val="100"/>
        <c:axId val="1413724720"/>
        <c:axId val="1413728528"/>
      </c:barChart>
      <c:catAx>
        <c:axId val="1413724720"/>
        <c:scaling>
          <c:orientation val="minMax"/>
        </c:scaling>
        <c:delete val="0"/>
        <c:axPos val="b"/>
        <c:numFmt formatCode="General" sourceLinked="1"/>
        <c:majorTickMark val="out"/>
        <c:minorTickMark val="none"/>
        <c:tickLblPos val="nextTo"/>
        <c:crossAx val="1413728528"/>
        <c:crosses val="autoZero"/>
        <c:auto val="1"/>
        <c:lblAlgn val="ctr"/>
        <c:lblOffset val="100"/>
        <c:noMultiLvlLbl val="0"/>
      </c:catAx>
      <c:valAx>
        <c:axId val="1413728528"/>
        <c:scaling>
          <c:orientation val="minMax"/>
        </c:scaling>
        <c:delete val="0"/>
        <c:axPos val="l"/>
        <c:majorGridlines/>
        <c:numFmt formatCode="_-* #,##0\ [$€-C0A]_-;\-* #,##0\ [$€-C0A]_-;_-* &quot;-&quot;??\ [$€-C0A]_-;_-@_-" sourceLinked="1"/>
        <c:majorTickMark val="out"/>
        <c:minorTickMark val="none"/>
        <c:tickLblPos val="nextTo"/>
        <c:crossAx val="141372472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1"/>
          <c:order val="0"/>
          <c:tx>
            <c:v>Sueldos</c:v>
          </c:tx>
          <c:marker>
            <c:symbol val="x"/>
            <c:size val="7"/>
          </c:marker>
          <c:cat>
            <c:strRef>
              <c:f>'TSI-Sueldos'!$M$2:$M$190</c:f>
              <c:strCache>
                <c:ptCount val="176"/>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c:v>
                </c:pt>
                <c:pt idx="17">
                  <c:v>S2</c:v>
                </c:pt>
                <c:pt idx="18">
                  <c:v>S3</c:v>
                </c:pt>
                <c:pt idx="19">
                  <c:v>S4</c:v>
                </c:pt>
                <c:pt idx="20">
                  <c:v>S5</c:v>
                </c:pt>
                <c:pt idx="21">
                  <c:v>S6</c:v>
                </c:pt>
                <c:pt idx="22">
                  <c:v>S7</c:v>
                </c:pt>
                <c:pt idx="23">
                  <c:v>S8</c:v>
                </c:pt>
                <c:pt idx="24">
                  <c:v>S9</c:v>
                </c:pt>
                <c:pt idx="25">
                  <c:v>S10</c:v>
                </c:pt>
                <c:pt idx="26">
                  <c:v>S11</c:v>
                </c:pt>
                <c:pt idx="27">
                  <c:v>S12</c:v>
                </c:pt>
                <c:pt idx="28">
                  <c:v>S13</c:v>
                </c:pt>
                <c:pt idx="29">
                  <c:v>S14</c:v>
                </c:pt>
                <c:pt idx="30">
                  <c:v>S15</c:v>
                </c:pt>
                <c:pt idx="31">
                  <c:v>S16</c:v>
                </c:pt>
                <c:pt idx="32">
                  <c:v>S1</c:v>
                </c:pt>
                <c:pt idx="33">
                  <c:v>S2</c:v>
                </c:pt>
                <c:pt idx="34">
                  <c:v>S3</c:v>
                </c:pt>
                <c:pt idx="35">
                  <c:v>S4</c:v>
                </c:pt>
                <c:pt idx="36">
                  <c:v>S5</c:v>
                </c:pt>
                <c:pt idx="37">
                  <c:v>S6</c:v>
                </c:pt>
                <c:pt idx="38">
                  <c:v>S7</c:v>
                </c:pt>
                <c:pt idx="39">
                  <c:v>S8</c:v>
                </c:pt>
                <c:pt idx="40">
                  <c:v>S9</c:v>
                </c:pt>
                <c:pt idx="41">
                  <c:v>S10</c:v>
                </c:pt>
                <c:pt idx="42">
                  <c:v>S11</c:v>
                </c:pt>
                <c:pt idx="43">
                  <c:v>S12</c:v>
                </c:pt>
                <c:pt idx="44">
                  <c:v>S13</c:v>
                </c:pt>
                <c:pt idx="45">
                  <c:v>S14</c:v>
                </c:pt>
                <c:pt idx="46">
                  <c:v>S15</c:v>
                </c:pt>
                <c:pt idx="47">
                  <c:v>S16</c:v>
                </c:pt>
                <c:pt idx="48">
                  <c:v>S1</c:v>
                </c:pt>
                <c:pt idx="49">
                  <c:v>S2</c:v>
                </c:pt>
                <c:pt idx="50">
                  <c:v>S3</c:v>
                </c:pt>
                <c:pt idx="51">
                  <c:v>S4</c:v>
                </c:pt>
                <c:pt idx="52">
                  <c:v>S5</c:v>
                </c:pt>
                <c:pt idx="53">
                  <c:v>S6</c:v>
                </c:pt>
                <c:pt idx="54">
                  <c:v>S7</c:v>
                </c:pt>
                <c:pt idx="55">
                  <c:v>S8</c:v>
                </c:pt>
                <c:pt idx="56">
                  <c:v>S9</c:v>
                </c:pt>
                <c:pt idx="57">
                  <c:v>S10</c:v>
                </c:pt>
                <c:pt idx="58">
                  <c:v>S11</c:v>
                </c:pt>
                <c:pt idx="59">
                  <c:v>S12</c:v>
                </c:pt>
                <c:pt idx="60">
                  <c:v>S13</c:v>
                </c:pt>
                <c:pt idx="61">
                  <c:v>S14</c:v>
                </c:pt>
                <c:pt idx="62">
                  <c:v>S15</c:v>
                </c:pt>
                <c:pt idx="63">
                  <c:v>S16</c:v>
                </c:pt>
                <c:pt idx="64">
                  <c:v>S1</c:v>
                </c:pt>
                <c:pt idx="65">
                  <c:v>S2</c:v>
                </c:pt>
                <c:pt idx="66">
                  <c:v>S3</c:v>
                </c:pt>
                <c:pt idx="67">
                  <c:v>S4</c:v>
                </c:pt>
                <c:pt idx="68">
                  <c:v>S5</c:v>
                </c:pt>
                <c:pt idx="69">
                  <c:v>S6</c:v>
                </c:pt>
                <c:pt idx="70">
                  <c:v>S7</c:v>
                </c:pt>
                <c:pt idx="71">
                  <c:v>S8</c:v>
                </c:pt>
                <c:pt idx="72">
                  <c:v>S9</c:v>
                </c:pt>
                <c:pt idx="73">
                  <c:v>S10</c:v>
                </c:pt>
                <c:pt idx="74">
                  <c:v>S11</c:v>
                </c:pt>
                <c:pt idx="75">
                  <c:v>S12</c:v>
                </c:pt>
                <c:pt idx="76">
                  <c:v>S13</c:v>
                </c:pt>
                <c:pt idx="77">
                  <c:v>S14</c:v>
                </c:pt>
                <c:pt idx="78">
                  <c:v>S15</c:v>
                </c:pt>
                <c:pt idx="79">
                  <c:v>S16</c:v>
                </c:pt>
                <c:pt idx="80">
                  <c:v>S1</c:v>
                </c:pt>
                <c:pt idx="81">
                  <c:v>S2</c:v>
                </c:pt>
                <c:pt idx="82">
                  <c:v>S3</c:v>
                </c:pt>
                <c:pt idx="83">
                  <c:v>S4</c:v>
                </c:pt>
                <c:pt idx="84">
                  <c:v>S5</c:v>
                </c:pt>
                <c:pt idx="85">
                  <c:v>S6</c:v>
                </c:pt>
                <c:pt idx="86">
                  <c:v>S7</c:v>
                </c:pt>
                <c:pt idx="87">
                  <c:v>S8</c:v>
                </c:pt>
                <c:pt idx="88">
                  <c:v>S9</c:v>
                </c:pt>
                <c:pt idx="89">
                  <c:v>S10</c:v>
                </c:pt>
                <c:pt idx="90">
                  <c:v>S11</c:v>
                </c:pt>
                <c:pt idx="91">
                  <c:v>S12</c:v>
                </c:pt>
                <c:pt idx="92">
                  <c:v>S13</c:v>
                </c:pt>
                <c:pt idx="93">
                  <c:v>S14</c:v>
                </c:pt>
                <c:pt idx="94">
                  <c:v>S15</c:v>
                </c:pt>
                <c:pt idx="95">
                  <c:v>S16</c:v>
                </c:pt>
                <c:pt idx="96">
                  <c:v>S1</c:v>
                </c:pt>
                <c:pt idx="97">
                  <c:v>S2</c:v>
                </c:pt>
                <c:pt idx="98">
                  <c:v>S3</c:v>
                </c:pt>
                <c:pt idx="99">
                  <c:v>S4</c:v>
                </c:pt>
                <c:pt idx="100">
                  <c:v>S5</c:v>
                </c:pt>
                <c:pt idx="101">
                  <c:v>S6</c:v>
                </c:pt>
                <c:pt idx="102">
                  <c:v>S7</c:v>
                </c:pt>
                <c:pt idx="103">
                  <c:v>S8</c:v>
                </c:pt>
                <c:pt idx="104">
                  <c:v>S9</c:v>
                </c:pt>
                <c:pt idx="105">
                  <c:v>S10</c:v>
                </c:pt>
                <c:pt idx="106">
                  <c:v>S11</c:v>
                </c:pt>
                <c:pt idx="107">
                  <c:v>S12</c:v>
                </c:pt>
                <c:pt idx="108">
                  <c:v>S13</c:v>
                </c:pt>
                <c:pt idx="109">
                  <c:v>S14</c:v>
                </c:pt>
                <c:pt idx="110">
                  <c:v>S15</c:v>
                </c:pt>
                <c:pt idx="111">
                  <c:v>S16</c:v>
                </c:pt>
                <c:pt idx="112">
                  <c:v>S1</c:v>
                </c:pt>
                <c:pt idx="113">
                  <c:v>S2</c:v>
                </c:pt>
                <c:pt idx="114">
                  <c:v>S3</c:v>
                </c:pt>
                <c:pt idx="115">
                  <c:v>S4</c:v>
                </c:pt>
                <c:pt idx="116">
                  <c:v>S5</c:v>
                </c:pt>
                <c:pt idx="117">
                  <c:v>S6</c:v>
                </c:pt>
                <c:pt idx="118">
                  <c:v>S7</c:v>
                </c:pt>
                <c:pt idx="119">
                  <c:v>S8</c:v>
                </c:pt>
                <c:pt idx="120">
                  <c:v>S9</c:v>
                </c:pt>
                <c:pt idx="121">
                  <c:v>S10</c:v>
                </c:pt>
                <c:pt idx="122">
                  <c:v>S11</c:v>
                </c:pt>
                <c:pt idx="123">
                  <c:v>S12</c:v>
                </c:pt>
                <c:pt idx="124">
                  <c:v>S13</c:v>
                </c:pt>
                <c:pt idx="125">
                  <c:v>S14</c:v>
                </c:pt>
                <c:pt idx="126">
                  <c:v>S15</c:v>
                </c:pt>
                <c:pt idx="127">
                  <c:v>S16</c:v>
                </c:pt>
                <c:pt idx="128">
                  <c:v>S1</c:v>
                </c:pt>
                <c:pt idx="129">
                  <c:v>S2</c:v>
                </c:pt>
                <c:pt idx="130">
                  <c:v>S3</c:v>
                </c:pt>
                <c:pt idx="131">
                  <c:v>S4</c:v>
                </c:pt>
                <c:pt idx="132">
                  <c:v>S5</c:v>
                </c:pt>
                <c:pt idx="133">
                  <c:v>S6</c:v>
                </c:pt>
                <c:pt idx="134">
                  <c:v>S7</c:v>
                </c:pt>
                <c:pt idx="135">
                  <c:v>S8</c:v>
                </c:pt>
                <c:pt idx="136">
                  <c:v>S9</c:v>
                </c:pt>
                <c:pt idx="137">
                  <c:v>S10</c:v>
                </c:pt>
                <c:pt idx="138">
                  <c:v>S11</c:v>
                </c:pt>
                <c:pt idx="139">
                  <c:v>S12</c:v>
                </c:pt>
                <c:pt idx="140">
                  <c:v>S13</c:v>
                </c:pt>
                <c:pt idx="141">
                  <c:v>S14</c:v>
                </c:pt>
                <c:pt idx="142">
                  <c:v>S15</c:v>
                </c:pt>
                <c:pt idx="143">
                  <c:v>S16</c:v>
                </c:pt>
                <c:pt idx="144">
                  <c:v>S1</c:v>
                </c:pt>
                <c:pt idx="145">
                  <c:v>S2</c:v>
                </c:pt>
                <c:pt idx="146">
                  <c:v>S3</c:v>
                </c:pt>
                <c:pt idx="147">
                  <c:v>S4</c:v>
                </c:pt>
                <c:pt idx="148">
                  <c:v>S5</c:v>
                </c:pt>
                <c:pt idx="149">
                  <c:v>S6</c:v>
                </c:pt>
                <c:pt idx="150">
                  <c:v>S7</c:v>
                </c:pt>
                <c:pt idx="151">
                  <c:v>S8</c:v>
                </c:pt>
                <c:pt idx="152">
                  <c:v>S9</c:v>
                </c:pt>
                <c:pt idx="153">
                  <c:v>S10</c:v>
                </c:pt>
                <c:pt idx="154">
                  <c:v>S11</c:v>
                </c:pt>
                <c:pt idx="155">
                  <c:v>S12</c:v>
                </c:pt>
                <c:pt idx="156">
                  <c:v>S13</c:v>
                </c:pt>
                <c:pt idx="157">
                  <c:v>S14</c:v>
                </c:pt>
                <c:pt idx="158">
                  <c:v>S15</c:v>
                </c:pt>
                <c:pt idx="159">
                  <c:v>S16</c:v>
                </c:pt>
                <c:pt idx="160">
                  <c:v>S1</c:v>
                </c:pt>
                <c:pt idx="161">
                  <c:v>S2</c:v>
                </c:pt>
                <c:pt idx="162">
                  <c:v>S3</c:v>
                </c:pt>
                <c:pt idx="163">
                  <c:v>S4</c:v>
                </c:pt>
                <c:pt idx="164">
                  <c:v>S5</c:v>
                </c:pt>
                <c:pt idx="165">
                  <c:v>S6</c:v>
                </c:pt>
                <c:pt idx="166">
                  <c:v>S7</c:v>
                </c:pt>
                <c:pt idx="167">
                  <c:v>S8</c:v>
                </c:pt>
                <c:pt idx="168">
                  <c:v>S9</c:v>
                </c:pt>
                <c:pt idx="169">
                  <c:v>S10</c:v>
                </c:pt>
                <c:pt idx="170">
                  <c:v>S11</c:v>
                </c:pt>
                <c:pt idx="171">
                  <c:v>S12</c:v>
                </c:pt>
                <c:pt idx="172">
                  <c:v>S13</c:v>
                </c:pt>
                <c:pt idx="173">
                  <c:v>S14</c:v>
                </c:pt>
                <c:pt idx="174">
                  <c:v>S15</c:v>
                </c:pt>
                <c:pt idx="175">
                  <c:v>S16</c:v>
                </c:pt>
              </c:strCache>
            </c:strRef>
          </c:cat>
          <c:val>
            <c:numRef>
              <c:f>'TSI-Sueldos'!$N$2:$N$190</c:f>
              <c:numCache>
                <c:formatCode>General</c:formatCode>
                <c:ptCount val="189"/>
                <c:pt idx="0">
                  <c:v>5960</c:v>
                </c:pt>
                <c:pt idx="1">
                  <c:v>5960</c:v>
                </c:pt>
                <c:pt idx="2">
                  <c:v>5960</c:v>
                </c:pt>
                <c:pt idx="3">
                  <c:v>5960</c:v>
                </c:pt>
                <c:pt idx="4">
                  <c:v>6010</c:v>
                </c:pt>
                <c:pt idx="5">
                  <c:v>6010</c:v>
                </c:pt>
                <c:pt idx="6">
                  <c:v>6010</c:v>
                </c:pt>
                <c:pt idx="7">
                  <c:v>6010</c:v>
                </c:pt>
                <c:pt idx="8">
                  <c:v>6010</c:v>
                </c:pt>
                <c:pt idx="9">
                  <c:v>6010</c:v>
                </c:pt>
                <c:pt idx="10">
                  <c:v>6010</c:v>
                </c:pt>
                <c:pt idx="11">
                  <c:v>6010</c:v>
                </c:pt>
                <c:pt idx="12">
                  <c:v>6010</c:v>
                </c:pt>
                <c:pt idx="13">
                  <c:v>6010</c:v>
                </c:pt>
                <c:pt idx="14">
                  <c:v>7420</c:v>
                </c:pt>
                <c:pt idx="15">
                  <c:v>7420</c:v>
                </c:pt>
                <c:pt idx="16">
                  <c:v>7420</c:v>
                </c:pt>
                <c:pt idx="17">
                  <c:v>9400</c:v>
                </c:pt>
                <c:pt idx="18">
                  <c:v>9670</c:v>
                </c:pt>
                <c:pt idx="19">
                  <c:v>9250</c:v>
                </c:pt>
                <c:pt idx="20">
                  <c:v>9600</c:v>
                </c:pt>
                <c:pt idx="21">
                  <c:v>9890</c:v>
                </c:pt>
                <c:pt idx="22">
                  <c:v>9890</c:v>
                </c:pt>
                <c:pt idx="23">
                  <c:v>9890</c:v>
                </c:pt>
                <c:pt idx="24">
                  <c:v>9890</c:v>
                </c:pt>
                <c:pt idx="25">
                  <c:v>11234</c:v>
                </c:pt>
                <c:pt idx="26">
                  <c:v>11254</c:v>
                </c:pt>
                <c:pt idx="27">
                  <c:v>11254</c:v>
                </c:pt>
                <c:pt idx="28">
                  <c:v>11254</c:v>
                </c:pt>
                <c:pt idx="29">
                  <c:v>11194</c:v>
                </c:pt>
                <c:pt idx="30">
                  <c:v>14544</c:v>
                </c:pt>
                <c:pt idx="31">
                  <c:v>16314</c:v>
                </c:pt>
                <c:pt idx="32">
                  <c:v>16314</c:v>
                </c:pt>
                <c:pt idx="33">
                  <c:v>16384</c:v>
                </c:pt>
                <c:pt idx="34">
                  <c:v>16504</c:v>
                </c:pt>
                <c:pt idx="35">
                  <c:v>16694</c:v>
                </c:pt>
                <c:pt idx="36">
                  <c:v>17084</c:v>
                </c:pt>
                <c:pt idx="37">
                  <c:v>17654</c:v>
                </c:pt>
                <c:pt idx="38">
                  <c:v>17074</c:v>
                </c:pt>
                <c:pt idx="39">
                  <c:v>17314</c:v>
                </c:pt>
                <c:pt idx="40">
                  <c:v>17314</c:v>
                </c:pt>
                <c:pt idx="41">
                  <c:v>17434</c:v>
                </c:pt>
                <c:pt idx="42">
                  <c:v>17434</c:v>
                </c:pt>
                <c:pt idx="43">
                  <c:v>17954</c:v>
                </c:pt>
                <c:pt idx="44">
                  <c:v>17954</c:v>
                </c:pt>
                <c:pt idx="45">
                  <c:v>17954</c:v>
                </c:pt>
                <c:pt idx="46">
                  <c:v>19764</c:v>
                </c:pt>
                <c:pt idx="47">
                  <c:v>19612</c:v>
                </c:pt>
                <c:pt idx="48">
                  <c:v>20232</c:v>
                </c:pt>
                <c:pt idx="49">
                  <c:v>20562</c:v>
                </c:pt>
                <c:pt idx="50">
                  <c:v>20932</c:v>
                </c:pt>
                <c:pt idx="51">
                  <c:v>20932</c:v>
                </c:pt>
                <c:pt idx="52">
                  <c:v>21092</c:v>
                </c:pt>
                <c:pt idx="53">
                  <c:v>21632</c:v>
                </c:pt>
                <c:pt idx="54">
                  <c:v>21632</c:v>
                </c:pt>
                <c:pt idx="55">
                  <c:v>21792</c:v>
                </c:pt>
                <c:pt idx="56">
                  <c:v>21792</c:v>
                </c:pt>
                <c:pt idx="57">
                  <c:v>23472</c:v>
                </c:pt>
                <c:pt idx="58">
                  <c:v>23472</c:v>
                </c:pt>
                <c:pt idx="59">
                  <c:v>23902</c:v>
                </c:pt>
                <c:pt idx="60">
                  <c:v>23902</c:v>
                </c:pt>
                <c:pt idx="61">
                  <c:v>23532</c:v>
                </c:pt>
                <c:pt idx="62">
                  <c:v>24332</c:v>
                </c:pt>
                <c:pt idx="63">
                  <c:v>24424</c:v>
                </c:pt>
                <c:pt idx="64">
                  <c:v>25274</c:v>
                </c:pt>
                <c:pt idx="65">
                  <c:v>25274</c:v>
                </c:pt>
                <c:pt idx="66">
                  <c:v>25000</c:v>
                </c:pt>
                <c:pt idx="67">
                  <c:v>25410</c:v>
                </c:pt>
                <c:pt idx="68">
                  <c:v>26500</c:v>
                </c:pt>
                <c:pt idx="69">
                  <c:v>29244</c:v>
                </c:pt>
                <c:pt idx="70">
                  <c:v>29284</c:v>
                </c:pt>
                <c:pt idx="71">
                  <c:v>29344</c:v>
                </c:pt>
                <c:pt idx="72">
                  <c:v>29384</c:v>
                </c:pt>
                <c:pt idx="73">
                  <c:v>32154</c:v>
                </c:pt>
                <c:pt idx="74">
                  <c:v>31604</c:v>
                </c:pt>
                <c:pt idx="75">
                  <c:v>31884</c:v>
                </c:pt>
                <c:pt idx="76">
                  <c:v>31884</c:v>
                </c:pt>
                <c:pt idx="77">
                  <c:v>31884</c:v>
                </c:pt>
                <c:pt idx="78">
                  <c:v>32864</c:v>
                </c:pt>
                <c:pt idx="79">
                  <c:v>33280</c:v>
                </c:pt>
                <c:pt idx="80">
                  <c:v>33360</c:v>
                </c:pt>
                <c:pt idx="81">
                  <c:v>33360</c:v>
                </c:pt>
                <c:pt idx="82">
                  <c:v>33360</c:v>
                </c:pt>
                <c:pt idx="83">
                  <c:v>33360</c:v>
                </c:pt>
                <c:pt idx="84">
                  <c:v>33360</c:v>
                </c:pt>
                <c:pt idx="85">
                  <c:v>36240</c:v>
                </c:pt>
                <c:pt idx="86">
                  <c:v>36240</c:v>
                </c:pt>
                <c:pt idx="87">
                  <c:v>36630</c:v>
                </c:pt>
                <c:pt idx="88">
                  <c:v>36260</c:v>
                </c:pt>
                <c:pt idx="89">
                  <c:v>39740</c:v>
                </c:pt>
                <c:pt idx="90">
                  <c:v>41218</c:v>
                </c:pt>
                <c:pt idx="91">
                  <c:v>41560</c:v>
                </c:pt>
                <c:pt idx="92">
                  <c:v>41560</c:v>
                </c:pt>
                <c:pt idx="93">
                  <c:v>41560</c:v>
                </c:pt>
                <c:pt idx="94">
                  <c:v>43120</c:v>
                </c:pt>
                <c:pt idx="95">
                  <c:v>43220</c:v>
                </c:pt>
                <c:pt idx="96">
                  <c:v>43680</c:v>
                </c:pt>
                <c:pt idx="97">
                  <c:v>43680</c:v>
                </c:pt>
                <c:pt idx="98">
                  <c:v>43680</c:v>
                </c:pt>
                <c:pt idx="99">
                  <c:v>45900</c:v>
                </c:pt>
                <c:pt idx="100">
                  <c:v>48240</c:v>
                </c:pt>
                <c:pt idx="101">
                  <c:v>49440</c:v>
                </c:pt>
                <c:pt idx="102">
                  <c:v>49440</c:v>
                </c:pt>
                <c:pt idx="103">
                  <c:v>49520</c:v>
                </c:pt>
                <c:pt idx="104">
                  <c:v>49560</c:v>
                </c:pt>
                <c:pt idx="105">
                  <c:v>56970</c:v>
                </c:pt>
                <c:pt idx="106">
                  <c:v>56990</c:v>
                </c:pt>
                <c:pt idx="107">
                  <c:v>59950</c:v>
                </c:pt>
                <c:pt idx="108">
                  <c:v>59950</c:v>
                </c:pt>
                <c:pt idx="109">
                  <c:v>60010</c:v>
                </c:pt>
                <c:pt idx="110">
                  <c:v>61160</c:v>
                </c:pt>
                <c:pt idx="111">
                  <c:v>61360</c:v>
                </c:pt>
                <c:pt idx="112">
                  <c:v>62080</c:v>
                </c:pt>
                <c:pt idx="113">
                  <c:v>62610</c:v>
                </c:pt>
                <c:pt idx="114">
                  <c:v>62180</c:v>
                </c:pt>
                <c:pt idx="115">
                  <c:v>64420</c:v>
                </c:pt>
                <c:pt idx="116">
                  <c:v>65270</c:v>
                </c:pt>
                <c:pt idx="117">
                  <c:v>65470</c:v>
                </c:pt>
                <c:pt idx="118">
                  <c:v>65670</c:v>
                </c:pt>
                <c:pt idx="119">
                  <c:v>66550</c:v>
                </c:pt>
                <c:pt idx="120">
                  <c:v>66550</c:v>
                </c:pt>
                <c:pt idx="121">
                  <c:v>68690</c:v>
                </c:pt>
                <c:pt idx="122">
                  <c:v>68710</c:v>
                </c:pt>
                <c:pt idx="123">
                  <c:v>69590</c:v>
                </c:pt>
                <c:pt idx="124">
                  <c:v>69590</c:v>
                </c:pt>
                <c:pt idx="125">
                  <c:v>69710</c:v>
                </c:pt>
                <c:pt idx="126">
                  <c:v>71090</c:v>
                </c:pt>
                <c:pt idx="127">
                  <c:v>71850</c:v>
                </c:pt>
                <c:pt idx="128">
                  <c:v>72610</c:v>
                </c:pt>
                <c:pt idx="129">
                  <c:v>72310</c:v>
                </c:pt>
                <c:pt idx="130">
                  <c:v>72310</c:v>
                </c:pt>
                <c:pt idx="131">
                  <c:v>73770</c:v>
                </c:pt>
                <c:pt idx="132">
                  <c:v>76580</c:v>
                </c:pt>
                <c:pt idx="133">
                  <c:v>77130</c:v>
                </c:pt>
                <c:pt idx="134">
                  <c:v>77130</c:v>
                </c:pt>
                <c:pt idx="135">
                  <c:v>77250</c:v>
                </c:pt>
                <c:pt idx="136">
                  <c:v>81147</c:v>
                </c:pt>
                <c:pt idx="137">
                  <c:v>82690</c:v>
                </c:pt>
                <c:pt idx="138">
                  <c:v>82690</c:v>
                </c:pt>
                <c:pt idx="139">
                  <c:v>83870</c:v>
                </c:pt>
                <c:pt idx="140">
                  <c:v>83870</c:v>
                </c:pt>
                <c:pt idx="141">
                  <c:v>83870</c:v>
                </c:pt>
                <c:pt idx="142">
                  <c:v>83870</c:v>
                </c:pt>
                <c:pt idx="143">
                  <c:v>85220</c:v>
                </c:pt>
                <c:pt idx="144">
                  <c:v>86000</c:v>
                </c:pt>
                <c:pt idx="145">
                  <c:v>86000</c:v>
                </c:pt>
                <c:pt idx="146">
                  <c:v>86000</c:v>
                </c:pt>
                <c:pt idx="147">
                  <c:v>87740</c:v>
                </c:pt>
                <c:pt idx="148">
                  <c:v>89070</c:v>
                </c:pt>
                <c:pt idx="149">
                  <c:v>89680</c:v>
                </c:pt>
                <c:pt idx="150">
                  <c:v>90190</c:v>
                </c:pt>
                <c:pt idx="151">
                  <c:v>90780</c:v>
                </c:pt>
                <c:pt idx="152">
                  <c:v>143816</c:v>
                </c:pt>
                <c:pt idx="153">
                  <c:v>147606</c:v>
                </c:pt>
                <c:pt idx="154">
                  <c:v>147606</c:v>
                </c:pt>
                <c:pt idx="155">
                  <c:v>147886</c:v>
                </c:pt>
                <c:pt idx="156">
                  <c:v>147886</c:v>
                </c:pt>
                <c:pt idx="157">
                  <c:v>148566</c:v>
                </c:pt>
                <c:pt idx="158">
                  <c:v>150696</c:v>
                </c:pt>
                <c:pt idx="159">
                  <c:v>153622</c:v>
                </c:pt>
                <c:pt idx="160">
                  <c:v>155382</c:v>
                </c:pt>
                <c:pt idx="161">
                  <c:v>155382</c:v>
                </c:pt>
                <c:pt idx="162">
                  <c:v>155382</c:v>
                </c:pt>
                <c:pt idx="163">
                  <c:v>158242</c:v>
                </c:pt>
                <c:pt idx="164">
                  <c:v>161502</c:v>
                </c:pt>
                <c:pt idx="165">
                  <c:v>163572</c:v>
                </c:pt>
              </c:numCache>
            </c:numRef>
          </c:val>
          <c:smooth val="0"/>
          <c:extLst xmlns:c16r2="http://schemas.microsoft.com/office/drawing/2015/06/chart">
            <c:ext xmlns:c16="http://schemas.microsoft.com/office/drawing/2014/chart" uri="{C3380CC4-5D6E-409C-BE32-E72D297353CC}">
              <c16:uniqueId val="{00000000-E985-4B9C-8E08-8CD9F9362E20}"/>
            </c:ext>
          </c:extLst>
        </c:ser>
        <c:dLbls>
          <c:showLegendKey val="0"/>
          <c:showVal val="0"/>
          <c:showCatName val="0"/>
          <c:showSerName val="0"/>
          <c:showPercent val="0"/>
          <c:showBubbleSize val="0"/>
        </c:dLbls>
        <c:marker val="1"/>
        <c:smooth val="0"/>
        <c:axId val="1413720912"/>
        <c:axId val="1413723088"/>
      </c:lineChart>
      <c:catAx>
        <c:axId val="1413720912"/>
        <c:scaling>
          <c:orientation val="minMax"/>
        </c:scaling>
        <c:delete val="0"/>
        <c:axPos val="b"/>
        <c:numFmt formatCode="General" sourceLinked="0"/>
        <c:majorTickMark val="out"/>
        <c:minorTickMark val="none"/>
        <c:tickLblPos val="nextTo"/>
        <c:crossAx val="1413723088"/>
        <c:crosses val="autoZero"/>
        <c:auto val="1"/>
        <c:lblAlgn val="ctr"/>
        <c:lblOffset val="100"/>
        <c:noMultiLvlLbl val="0"/>
      </c:catAx>
      <c:valAx>
        <c:axId val="1413723088"/>
        <c:scaling>
          <c:orientation val="minMax"/>
          <c:min val="0"/>
        </c:scaling>
        <c:delete val="0"/>
        <c:axPos val="l"/>
        <c:majorGridlines/>
        <c:numFmt formatCode="General" sourceLinked="1"/>
        <c:majorTickMark val="out"/>
        <c:minorTickMark val="none"/>
        <c:tickLblPos val="nextTo"/>
        <c:crossAx val="1413720912"/>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EconomiaT41!$C$6</c:f>
              <c:numCache>
                <c:formatCode>_-* #,##0\ [$€-C0A]_-;\-* #,##0\ [$€-C0A]_-;_-* "-"??\ [$€-C0A]_-;_-@_-</c:formatCode>
                <c:ptCount val="1"/>
                <c:pt idx="0">
                  <c:v>1221024</c:v>
                </c:pt>
              </c:numCache>
            </c:numRef>
          </c:val>
          <c:extLst xmlns:c16r2="http://schemas.microsoft.com/office/drawing/2015/06/chart">
            <c:ext xmlns:c16="http://schemas.microsoft.com/office/drawing/2014/chart" uri="{C3380CC4-5D6E-409C-BE32-E72D297353CC}">
              <c16:uniqueId val="{00000000-C3E3-4DD7-BBB2-D8192AE294CE}"/>
            </c:ext>
          </c:extLst>
        </c:ser>
        <c:ser>
          <c:idx val="1"/>
          <c:order val="1"/>
          <c:tx>
            <c:strRef>
              <c:f>EconomiaT41!$B$7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EconomiaT41!$C$7</c:f>
              <c:numCache>
                <c:formatCode>_-* #,##0\ [$€-C0A]_-;\-* #,##0\ [$€-C0A]_-;_-* "-"??\ [$€-C0A]_-;_-@_-</c:formatCode>
                <c:ptCount val="1"/>
                <c:pt idx="0">
                  <c:v>992208</c:v>
                </c:pt>
              </c:numCache>
            </c:numRef>
          </c:val>
          <c:extLst xmlns:c16r2="http://schemas.microsoft.com/office/drawing/2015/06/chart">
            <c:ext xmlns:c16="http://schemas.microsoft.com/office/drawing/2014/chart" uri="{C3380CC4-5D6E-409C-BE32-E72D297353CC}">
              <c16:uniqueId val="{00000001-C3E3-4DD7-BBB2-D8192AE294CE}"/>
            </c:ext>
          </c:extLst>
        </c:ser>
        <c:ser>
          <c:idx val="2"/>
          <c:order val="2"/>
          <c:tx>
            <c:strRef>
              <c:f>EconomiaT41!$B$8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EconomiaT41!$C$8</c:f>
              <c:numCache>
                <c:formatCode>_-* #,##0\ [$€-C0A]_-;\-* #,##0\ [$€-C0A]_-;_-* "-"??\ [$€-C0A]_-;_-@_-</c:formatCode>
                <c:ptCount val="1"/>
                <c:pt idx="0">
                  <c:v>1900</c:v>
                </c:pt>
              </c:numCache>
            </c:numRef>
          </c:val>
          <c:extLst xmlns:c16r2="http://schemas.microsoft.com/office/drawing/2015/06/chart">
            <c:ext xmlns:c16="http://schemas.microsoft.com/office/drawing/2014/chart" uri="{C3380CC4-5D6E-409C-BE32-E72D297353CC}">
              <c16:uniqueId val="{00000002-C3E3-4DD7-BBB2-D8192AE294CE}"/>
            </c:ext>
          </c:extLst>
        </c:ser>
        <c:ser>
          <c:idx val="3"/>
          <c:order val="3"/>
          <c:tx>
            <c:strRef>
              <c:f>EconomiaT41!$B$9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EconomiaT41!$C$9</c:f>
              <c:numCache>
                <c:formatCode>_-* #,##0\ [$€-C0A]_-;\-* #,##0\ [$€-C0A]_-;_-* "-"??\ [$€-C0A]_-;_-@_-</c:formatCode>
                <c:ptCount val="1"/>
                <c:pt idx="0">
                  <c:v>0</c:v>
                </c:pt>
              </c:numCache>
            </c:numRef>
          </c:val>
          <c:extLst xmlns:c16r2="http://schemas.microsoft.com/office/drawing/2015/06/chart">
            <c:ext xmlns:c16="http://schemas.microsoft.com/office/drawing/2014/chart" uri="{C3380CC4-5D6E-409C-BE32-E72D297353CC}">
              <c16:uniqueId val="{00000003-C3E3-4DD7-BBB2-D8192AE294CE}"/>
            </c:ext>
          </c:extLst>
        </c:ser>
        <c:ser>
          <c:idx val="4"/>
          <c:order val="4"/>
          <c:tx>
            <c:strRef>
              <c:f>EconomiaT41!$B$10</c:f>
              <c:strCache>
                <c:ptCount val="1"/>
                <c:pt idx="0">
                  <c:v>Comisiones</c:v>
                </c:pt>
              </c:strCache>
            </c:strRef>
          </c:tx>
          <c:invertIfNegative val="0"/>
          <c:cat>
            <c:numLit>
              <c:formatCode>General</c:formatCode>
              <c:ptCount val="1"/>
              <c:pt idx="0">
                <c:v>0</c:v>
              </c:pt>
            </c:numLit>
          </c:cat>
          <c:val>
            <c:numRef>
              <c:f>EconomiaT41!$C$10</c:f>
              <c:numCache>
                <c:formatCode>_-* #,##0\ [$€-C0A]_-;\-* #,##0\ [$€-C0A]_-;_-* "-"??\ [$€-C0A]_-;_-@_-</c:formatCode>
                <c:ptCount val="1"/>
                <c:pt idx="0">
                  <c:v>0</c:v>
                </c:pt>
              </c:numCache>
            </c:numRef>
          </c:val>
          <c:extLst xmlns:c16r2="http://schemas.microsoft.com/office/drawing/2015/06/chart">
            <c:ext xmlns:c16="http://schemas.microsoft.com/office/drawing/2014/chart" uri="{C3380CC4-5D6E-409C-BE32-E72D297353CC}">
              <c16:uniqueId val="{00000004-C3E3-4DD7-BBB2-D8192AE294CE}"/>
            </c:ext>
          </c:extLst>
        </c:ser>
        <c:ser>
          <c:idx val="5"/>
          <c:order val="5"/>
          <c:tx>
            <c:strRef>
              <c:f>EconomiaT41!$B$11</c:f>
              <c:strCache>
                <c:ptCount val="1"/>
                <c:pt idx="0">
                  <c:v>Nuevos Socios</c:v>
                </c:pt>
              </c:strCache>
            </c:strRef>
          </c:tx>
          <c:invertIfNegative val="0"/>
          <c:cat>
            <c:numLit>
              <c:formatCode>General</c:formatCode>
              <c:ptCount val="1"/>
              <c:pt idx="0">
                <c:v>0</c:v>
              </c:pt>
            </c:numLit>
          </c:cat>
          <c:val>
            <c:numRef>
              <c:f>EconomiaT41!$C$11</c:f>
              <c:numCache>
                <c:formatCode>_-* #,##0\ [$€-C0A]_-;\-* #,##0\ [$€-C0A]_-;_-* "-"??\ [$€-C0A]_-;_-@_-</c:formatCode>
                <c:ptCount val="1"/>
                <c:pt idx="0">
                  <c:v>42540</c:v>
                </c:pt>
              </c:numCache>
            </c:numRef>
          </c:val>
          <c:extLst xmlns:c16r2="http://schemas.microsoft.com/office/drawing/2015/06/chart">
            <c:ext xmlns:c16="http://schemas.microsoft.com/office/drawing/2014/chart" uri="{C3380CC4-5D6E-409C-BE32-E72D297353CC}">
              <c16:uniqueId val="{00000005-C3E3-4DD7-BBB2-D8192AE294CE}"/>
            </c:ext>
          </c:extLst>
        </c:ser>
        <c:ser>
          <c:idx val="6"/>
          <c:order val="6"/>
          <c:tx>
            <c:strRef>
              <c:f>EconomiaT41!$B$12</c:f>
              <c:strCache>
                <c:ptCount val="1"/>
                <c:pt idx="0">
                  <c:v>Premios</c:v>
                </c:pt>
              </c:strCache>
            </c:strRef>
          </c:tx>
          <c:invertIfNegative val="0"/>
          <c:cat>
            <c:numLit>
              <c:formatCode>General</c:formatCode>
              <c:ptCount val="1"/>
              <c:pt idx="0">
                <c:v>0</c:v>
              </c:pt>
            </c:numLit>
          </c:cat>
          <c:val>
            <c:numRef>
              <c:f>EconomiaT41!$C$12</c:f>
              <c:numCache>
                <c:formatCode>_-* #,##0\ [$€-C0A]_-;\-* #,##0\ [$€-C0A]_-;_-* "-"??\ [$€-C0A]_-;_-@_-</c:formatCode>
                <c:ptCount val="1"/>
                <c:pt idx="0">
                  <c:v>0</c:v>
                </c:pt>
              </c:numCache>
            </c:numRef>
          </c:val>
          <c:extLst xmlns:c16r2="http://schemas.microsoft.com/office/drawing/2015/06/chart">
            <c:ext xmlns:c16="http://schemas.microsoft.com/office/drawing/2014/chart" uri="{C3380CC4-5D6E-409C-BE32-E72D297353CC}">
              <c16:uniqueId val="{00000006-C3E3-4DD7-BBB2-D8192AE294CE}"/>
            </c:ext>
          </c:extLst>
        </c:ser>
        <c:dLbls>
          <c:showLegendKey val="0"/>
          <c:showVal val="0"/>
          <c:showCatName val="0"/>
          <c:showSerName val="0"/>
          <c:showPercent val="0"/>
          <c:showBubbleSize val="0"/>
        </c:dLbls>
        <c:gapWidth val="150"/>
        <c:overlap val="100"/>
        <c:axId val="1187688960"/>
        <c:axId val="1187680256"/>
      </c:barChart>
      <c:catAx>
        <c:axId val="1187688960"/>
        <c:scaling>
          <c:orientation val="minMax"/>
        </c:scaling>
        <c:delete val="0"/>
        <c:axPos val="b"/>
        <c:numFmt formatCode="General" sourceLinked="1"/>
        <c:majorTickMark val="out"/>
        <c:minorTickMark val="none"/>
        <c:tickLblPos val="nextTo"/>
        <c:crossAx val="1187680256"/>
        <c:crosses val="autoZero"/>
        <c:auto val="1"/>
        <c:lblAlgn val="ctr"/>
        <c:lblOffset val="100"/>
        <c:noMultiLvlLbl val="0"/>
      </c:catAx>
      <c:valAx>
        <c:axId val="1187680256"/>
        <c:scaling>
          <c:orientation val="minMax"/>
        </c:scaling>
        <c:delete val="0"/>
        <c:axPos val="l"/>
        <c:majorGridlines/>
        <c:numFmt formatCode="_-* #,##0\ [$€-C0A]_-;\-* #,##0\ [$€-C0A]_-;_-* &quot;-&quot;??\ [$€-C0A]_-;_-@_-" sourceLinked="1"/>
        <c:majorTickMark val="out"/>
        <c:minorTickMark val="none"/>
        <c:tickLblPos val="nextTo"/>
        <c:crossAx val="118768896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EconomiaT41!$C$14</c:f>
              <c:numCache>
                <c:formatCode>_-* #,##0\ [$€-C0A]_-;\-* #,##0\ [$€-C0A]_-;_-* "-"??\ [$€-C0A]_-;_-@_-</c:formatCode>
                <c:ptCount val="1"/>
                <c:pt idx="0">
                  <c:v>171948</c:v>
                </c:pt>
              </c:numCache>
            </c:numRef>
          </c:val>
          <c:extLst xmlns:c16r2="http://schemas.microsoft.com/office/drawing/2015/06/chart">
            <c:ext xmlns:c16="http://schemas.microsoft.com/office/drawing/2014/chart" uri="{C3380CC4-5D6E-409C-BE32-E72D297353CC}">
              <c16:uniqueId val="{00000000-9887-45D6-B954-1C919B110AF4}"/>
            </c:ext>
          </c:extLst>
        </c:ser>
        <c:ser>
          <c:idx val="1"/>
          <c:order val="1"/>
          <c:tx>
            <c:strRef>
              <c:f>EconomiaT41!$B$15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EconomiaT41!$C$15</c:f>
              <c:numCache>
                <c:formatCode>_-* #,##0\ [$€-C0A]_-;\-* #,##0\ [$€-C0A]_-;_-* "-"??\ [$€-C0A]_-;_-@_-</c:formatCode>
                <c:ptCount val="1"/>
                <c:pt idx="0">
                  <c:v>174880</c:v>
                </c:pt>
              </c:numCache>
            </c:numRef>
          </c:val>
          <c:extLst xmlns:c16r2="http://schemas.microsoft.com/office/drawing/2015/06/chart">
            <c:ext xmlns:c16="http://schemas.microsoft.com/office/drawing/2014/chart" uri="{C3380CC4-5D6E-409C-BE32-E72D297353CC}">
              <c16:uniqueId val="{00000001-9887-45D6-B954-1C919B110AF4}"/>
            </c:ext>
          </c:extLst>
        </c:ser>
        <c:ser>
          <c:idx val="2"/>
          <c:order val="2"/>
          <c:tx>
            <c:strRef>
              <c:f>EconomiaT41!$B$16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EconomiaT41!$C$16</c:f>
              <c:numCache>
                <c:formatCode>_-* #,##0\ [$€-C0A]_-;\-* #,##0\ [$€-C0A]_-;_-* "-"??\ [$€-C0A]_-;_-@_-</c:formatCode>
                <c:ptCount val="1"/>
                <c:pt idx="0">
                  <c:v>546685</c:v>
                </c:pt>
              </c:numCache>
            </c:numRef>
          </c:val>
          <c:extLst xmlns:c16r2="http://schemas.microsoft.com/office/drawing/2015/06/chart">
            <c:ext xmlns:c16="http://schemas.microsoft.com/office/drawing/2014/chart" uri="{C3380CC4-5D6E-409C-BE32-E72D297353CC}">
              <c16:uniqueId val="{00000002-9887-45D6-B954-1C919B110AF4}"/>
            </c:ext>
          </c:extLst>
        </c:ser>
        <c:ser>
          <c:idx val="3"/>
          <c:order val="3"/>
          <c:tx>
            <c:strRef>
              <c:f>EconomiaT41!$B$17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EconomiaT41!$C$17</c:f>
              <c:numCache>
                <c:formatCode>_-* #,##0\ [$€-C0A]_-;\-* #,##0\ [$€-C0A]_-;_-* "-"??\ [$€-C0A]_-;_-@_-</c:formatCode>
                <c:ptCount val="1"/>
                <c:pt idx="0">
                  <c:v>459000</c:v>
                </c:pt>
              </c:numCache>
            </c:numRef>
          </c:val>
          <c:extLst xmlns:c16r2="http://schemas.microsoft.com/office/drawing/2015/06/chart">
            <c:ext xmlns:c16="http://schemas.microsoft.com/office/drawing/2014/chart" uri="{C3380CC4-5D6E-409C-BE32-E72D297353CC}">
              <c16:uniqueId val="{00000003-9887-45D6-B954-1C919B110AF4}"/>
            </c:ext>
          </c:extLst>
        </c:ser>
        <c:ser>
          <c:idx val="4"/>
          <c:order val="4"/>
          <c:tx>
            <c:strRef>
              <c:f>EconomiaT41!$B$18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EconomiaT41!$C$18</c:f>
              <c:numCache>
                <c:formatCode>_-* #,##0\ [$€-C0A]_-;\-* #,##0\ [$€-C0A]_-;_-* "-"??\ [$€-C0A]_-;_-@_-</c:formatCode>
                <c:ptCount val="1"/>
                <c:pt idx="0">
                  <c:v>320000</c:v>
                </c:pt>
              </c:numCache>
            </c:numRef>
          </c:val>
          <c:extLst xmlns:c16r2="http://schemas.microsoft.com/office/drawing/2015/06/chart">
            <c:ext xmlns:c16="http://schemas.microsoft.com/office/drawing/2014/chart" uri="{C3380CC4-5D6E-409C-BE32-E72D297353CC}">
              <c16:uniqueId val="{00000004-9887-45D6-B954-1C919B110AF4}"/>
            </c:ext>
          </c:extLst>
        </c:ser>
        <c:ser>
          <c:idx val="5"/>
          <c:order val="5"/>
          <c:tx>
            <c:strRef>
              <c:f>EconomiaT41!$B$19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EconomiaT41!$C$19</c:f>
              <c:numCache>
                <c:formatCode>_-* #,##0\ [$€-C0A]_-;\-* #,##0\ [$€-C0A]_-;_-* "-"??\ [$€-C0A]_-;_-@_-</c:formatCode>
                <c:ptCount val="1"/>
                <c:pt idx="0">
                  <c:v>773344</c:v>
                </c:pt>
              </c:numCache>
            </c:numRef>
          </c:val>
          <c:extLst xmlns:c16r2="http://schemas.microsoft.com/office/drawing/2015/06/chart">
            <c:ext xmlns:c16="http://schemas.microsoft.com/office/drawing/2014/chart" uri="{C3380CC4-5D6E-409C-BE32-E72D297353CC}">
              <c16:uniqueId val="{00000005-9887-45D6-B954-1C919B110AF4}"/>
            </c:ext>
          </c:extLst>
        </c:ser>
        <c:ser>
          <c:idx val="6"/>
          <c:order val="6"/>
          <c:tx>
            <c:strRef>
              <c:f>EconomiaT41!$B$20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EconomiaT41!$C$20</c:f>
              <c:numCache>
                <c:formatCode>_-* #,##0\ [$€-C0A]_-;\-* #,##0\ [$€-C0A]_-;_-* "-"??\ [$€-C0A]_-;_-@_-</c:formatCode>
                <c:ptCount val="1"/>
                <c:pt idx="0">
                  <c:v>0</c:v>
                </c:pt>
              </c:numCache>
            </c:numRef>
          </c:val>
          <c:extLst xmlns:c16r2="http://schemas.microsoft.com/office/drawing/2015/06/chart">
            <c:ext xmlns:c16="http://schemas.microsoft.com/office/drawing/2014/chart" uri="{C3380CC4-5D6E-409C-BE32-E72D297353CC}">
              <c16:uniqueId val="{00000006-9887-45D6-B954-1C919B110AF4}"/>
            </c:ext>
          </c:extLst>
        </c:ser>
        <c:ser>
          <c:idx val="7"/>
          <c:order val="7"/>
          <c:tx>
            <c:strRef>
              <c:f>EconomiaT41!$B$21</c:f>
              <c:strCache>
                <c:ptCount val="1"/>
                <c:pt idx="0">
                  <c:v>Viajes+Venta</c:v>
                </c:pt>
              </c:strCache>
            </c:strRef>
          </c:tx>
          <c:invertIfNegative val="0"/>
          <c:val>
            <c:numRef>
              <c:f>EconomiaT41!$C$21</c:f>
              <c:numCache>
                <c:formatCode>_-* #,##0\ [$€-C0A]_-;\-* #,##0\ [$€-C0A]_-;_-* "-"??\ [$€-C0A]_-;_-@_-</c:formatCode>
                <c:ptCount val="1"/>
                <c:pt idx="0">
                  <c:v>24400</c:v>
                </c:pt>
              </c:numCache>
            </c:numRef>
          </c:val>
          <c:extLst xmlns:c16r2="http://schemas.microsoft.com/office/drawing/2015/06/chart">
            <c:ext xmlns:c16="http://schemas.microsoft.com/office/drawing/2014/chart" uri="{C3380CC4-5D6E-409C-BE32-E72D297353CC}">
              <c16:uniqueId val="{00000007-9887-45D6-B954-1C919B110AF4}"/>
            </c:ext>
          </c:extLst>
        </c:ser>
        <c:ser>
          <c:idx val="8"/>
          <c:order val="8"/>
          <c:tx>
            <c:strRef>
              <c:f>EconomiaT41!$B$22</c:f>
              <c:strCache>
                <c:ptCount val="1"/>
                <c:pt idx="0">
                  <c:v>Intereses</c:v>
                </c:pt>
              </c:strCache>
            </c:strRef>
          </c:tx>
          <c:invertIfNegative val="0"/>
          <c:val>
            <c:numRef>
              <c:f>EconomiaT41!$C$22</c:f>
              <c:numCache>
                <c:formatCode>_-* #,##0\ [$€-C0A]_-;\-* #,##0\ [$€-C0A]_-;_-* "-"??\ [$€-C0A]_-;_-@_-</c:formatCode>
                <c:ptCount val="1"/>
                <c:pt idx="0">
                  <c:v>0</c:v>
                </c:pt>
              </c:numCache>
            </c:numRef>
          </c:val>
          <c:extLst xmlns:c16r2="http://schemas.microsoft.com/office/drawing/2015/06/chart">
            <c:ext xmlns:c16="http://schemas.microsoft.com/office/drawing/2014/chart" uri="{C3380CC4-5D6E-409C-BE32-E72D297353CC}">
              <c16:uniqueId val="{00000008-9887-45D6-B954-1C919B110AF4}"/>
            </c:ext>
          </c:extLst>
        </c:ser>
        <c:dLbls>
          <c:showLegendKey val="0"/>
          <c:showVal val="0"/>
          <c:showCatName val="0"/>
          <c:showSerName val="0"/>
          <c:showPercent val="0"/>
          <c:showBubbleSize val="0"/>
        </c:dLbls>
        <c:gapWidth val="150"/>
        <c:overlap val="100"/>
        <c:axId val="1187691680"/>
        <c:axId val="1187692768"/>
      </c:barChart>
      <c:catAx>
        <c:axId val="1187691680"/>
        <c:scaling>
          <c:orientation val="minMax"/>
        </c:scaling>
        <c:delete val="0"/>
        <c:axPos val="b"/>
        <c:numFmt formatCode="General" sourceLinked="1"/>
        <c:majorTickMark val="out"/>
        <c:minorTickMark val="none"/>
        <c:tickLblPos val="nextTo"/>
        <c:crossAx val="1187692768"/>
        <c:crosses val="autoZero"/>
        <c:auto val="1"/>
        <c:lblAlgn val="ctr"/>
        <c:lblOffset val="100"/>
        <c:noMultiLvlLbl val="0"/>
      </c:catAx>
      <c:valAx>
        <c:axId val="1187692768"/>
        <c:scaling>
          <c:orientation val="minMax"/>
        </c:scaling>
        <c:delete val="0"/>
        <c:axPos val="l"/>
        <c:majorGridlines/>
        <c:numFmt formatCode="_-* #,##0\ [$€-C0A]_-;\-* #,##0\ [$€-C0A]_-;_-* &quot;-&quot;??\ [$€-C0A]_-;_-@_-" sourceLinked="1"/>
        <c:majorTickMark val="out"/>
        <c:minorTickMark val="none"/>
        <c:tickLblPos val="nextTo"/>
        <c:crossAx val="118769168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EconomiaT42!$C$6</c:f>
              <c:numCache>
                <c:formatCode>_-* #,##0\ [$€-C0A]_-;\-* #,##0\ [$€-C0A]_-;_-* "-"??\ [$€-C0A]_-;_-@_-</c:formatCode>
                <c:ptCount val="1"/>
                <c:pt idx="0">
                  <c:v>1882541</c:v>
                </c:pt>
              </c:numCache>
            </c:numRef>
          </c:val>
          <c:extLst xmlns:c16r2="http://schemas.microsoft.com/office/drawing/2015/06/chart">
            <c:ext xmlns:c16="http://schemas.microsoft.com/office/drawing/2014/chart" uri="{C3380CC4-5D6E-409C-BE32-E72D297353CC}">
              <c16:uniqueId val="{00000000-8E19-456D-9272-DD081655DBAB}"/>
            </c:ext>
          </c:extLst>
        </c:ser>
        <c:ser>
          <c:idx val="1"/>
          <c:order val="1"/>
          <c:tx>
            <c:strRef>
              <c:f>EconomiaT42!$B$7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EconomiaT42!$C$7</c:f>
              <c:numCache>
                <c:formatCode>_-* #,##0\ [$€-C0A]_-;\-* #,##0\ [$€-C0A]_-;_-* "-"??\ [$€-C0A]_-;_-@_-</c:formatCode>
                <c:ptCount val="1"/>
                <c:pt idx="0">
                  <c:v>1080120</c:v>
                </c:pt>
              </c:numCache>
            </c:numRef>
          </c:val>
          <c:extLst xmlns:c16r2="http://schemas.microsoft.com/office/drawing/2015/06/chart">
            <c:ext xmlns:c16="http://schemas.microsoft.com/office/drawing/2014/chart" uri="{C3380CC4-5D6E-409C-BE32-E72D297353CC}">
              <c16:uniqueId val="{00000001-8E19-456D-9272-DD081655DBAB}"/>
            </c:ext>
          </c:extLst>
        </c:ser>
        <c:ser>
          <c:idx val="2"/>
          <c:order val="2"/>
          <c:tx>
            <c:strRef>
              <c:f>EconomiaT42!$B$8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EconomiaT42!$C$8</c:f>
              <c:numCache>
                <c:formatCode>_-* #,##0\ [$€-C0A]_-;\-* #,##0\ [$€-C0A]_-;_-* "-"??\ [$€-C0A]_-;_-@_-</c:formatCode>
                <c:ptCount val="1"/>
                <c:pt idx="0">
                  <c:v>0</c:v>
                </c:pt>
              </c:numCache>
            </c:numRef>
          </c:val>
          <c:extLst xmlns:c16r2="http://schemas.microsoft.com/office/drawing/2015/06/chart">
            <c:ext xmlns:c16="http://schemas.microsoft.com/office/drawing/2014/chart" uri="{C3380CC4-5D6E-409C-BE32-E72D297353CC}">
              <c16:uniqueId val="{00000002-8E19-456D-9272-DD081655DBAB}"/>
            </c:ext>
          </c:extLst>
        </c:ser>
        <c:ser>
          <c:idx val="3"/>
          <c:order val="3"/>
          <c:tx>
            <c:strRef>
              <c:f>EconomiaT42!$B$9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EconomiaT42!$C$9</c:f>
              <c:numCache>
                <c:formatCode>_-* #,##0\ [$€-C0A]_-;\-* #,##0\ [$€-C0A]_-;_-* "-"??\ [$€-C0A]_-;_-@_-</c:formatCode>
                <c:ptCount val="1"/>
                <c:pt idx="0">
                  <c:v>0</c:v>
                </c:pt>
              </c:numCache>
            </c:numRef>
          </c:val>
          <c:extLst xmlns:c16r2="http://schemas.microsoft.com/office/drawing/2015/06/chart">
            <c:ext xmlns:c16="http://schemas.microsoft.com/office/drawing/2014/chart" uri="{C3380CC4-5D6E-409C-BE32-E72D297353CC}">
              <c16:uniqueId val="{00000003-8E19-456D-9272-DD081655DBAB}"/>
            </c:ext>
          </c:extLst>
        </c:ser>
        <c:ser>
          <c:idx val="4"/>
          <c:order val="4"/>
          <c:tx>
            <c:strRef>
              <c:f>EconomiaT42!$B$10</c:f>
              <c:strCache>
                <c:ptCount val="1"/>
                <c:pt idx="0">
                  <c:v>Comisiones</c:v>
                </c:pt>
              </c:strCache>
            </c:strRef>
          </c:tx>
          <c:invertIfNegative val="0"/>
          <c:cat>
            <c:numLit>
              <c:formatCode>General</c:formatCode>
              <c:ptCount val="1"/>
              <c:pt idx="0">
                <c:v>0</c:v>
              </c:pt>
            </c:numLit>
          </c:cat>
          <c:val>
            <c:numRef>
              <c:f>EconomiaT42!$C$10</c:f>
              <c:numCache>
                <c:formatCode>_-* #,##0\ [$€-C0A]_-;\-* #,##0\ [$€-C0A]_-;_-* "-"??\ [$€-C0A]_-;_-@_-</c:formatCode>
                <c:ptCount val="1"/>
                <c:pt idx="0">
                  <c:v>0</c:v>
                </c:pt>
              </c:numCache>
            </c:numRef>
          </c:val>
          <c:extLst xmlns:c16r2="http://schemas.microsoft.com/office/drawing/2015/06/chart">
            <c:ext xmlns:c16="http://schemas.microsoft.com/office/drawing/2014/chart" uri="{C3380CC4-5D6E-409C-BE32-E72D297353CC}">
              <c16:uniqueId val="{00000004-8E19-456D-9272-DD081655DBAB}"/>
            </c:ext>
          </c:extLst>
        </c:ser>
        <c:ser>
          <c:idx val="5"/>
          <c:order val="5"/>
          <c:tx>
            <c:strRef>
              <c:f>EconomiaT42!$B$11</c:f>
              <c:strCache>
                <c:ptCount val="1"/>
                <c:pt idx="0">
                  <c:v>Nuevos Socios</c:v>
                </c:pt>
              </c:strCache>
            </c:strRef>
          </c:tx>
          <c:invertIfNegative val="0"/>
          <c:cat>
            <c:numLit>
              <c:formatCode>General</c:formatCode>
              <c:ptCount val="1"/>
              <c:pt idx="0">
                <c:v>0</c:v>
              </c:pt>
            </c:numLit>
          </c:cat>
          <c:val>
            <c:numRef>
              <c:f>EconomiaT42!$C$11</c:f>
              <c:numCache>
                <c:formatCode>_-* #,##0\ [$€-C0A]_-;\-* #,##0\ [$€-C0A]_-;_-* "-"??\ [$€-C0A]_-;_-@_-</c:formatCode>
                <c:ptCount val="1"/>
                <c:pt idx="0">
                  <c:v>53280</c:v>
                </c:pt>
              </c:numCache>
            </c:numRef>
          </c:val>
          <c:extLst xmlns:c16r2="http://schemas.microsoft.com/office/drawing/2015/06/chart">
            <c:ext xmlns:c16="http://schemas.microsoft.com/office/drawing/2014/chart" uri="{C3380CC4-5D6E-409C-BE32-E72D297353CC}">
              <c16:uniqueId val="{00000005-8E19-456D-9272-DD081655DBAB}"/>
            </c:ext>
          </c:extLst>
        </c:ser>
        <c:ser>
          <c:idx val="6"/>
          <c:order val="6"/>
          <c:tx>
            <c:strRef>
              <c:f>EconomiaT42!$B$12</c:f>
              <c:strCache>
                <c:ptCount val="1"/>
                <c:pt idx="0">
                  <c:v>Premios</c:v>
                </c:pt>
              </c:strCache>
            </c:strRef>
          </c:tx>
          <c:invertIfNegative val="0"/>
          <c:cat>
            <c:numLit>
              <c:formatCode>General</c:formatCode>
              <c:ptCount val="1"/>
              <c:pt idx="0">
                <c:v>0</c:v>
              </c:pt>
            </c:numLit>
          </c:cat>
          <c:val>
            <c:numRef>
              <c:f>EconomiaT42!$C$12</c:f>
              <c:numCache>
                <c:formatCode>_-* #,##0\ [$€-C0A]_-;\-* #,##0\ [$€-C0A]_-;_-* "-"??\ [$€-C0A]_-;_-@_-</c:formatCode>
                <c:ptCount val="1"/>
                <c:pt idx="0">
                  <c:v>150000</c:v>
                </c:pt>
              </c:numCache>
            </c:numRef>
          </c:val>
          <c:extLst xmlns:c16r2="http://schemas.microsoft.com/office/drawing/2015/06/chart">
            <c:ext xmlns:c16="http://schemas.microsoft.com/office/drawing/2014/chart" uri="{C3380CC4-5D6E-409C-BE32-E72D297353CC}">
              <c16:uniqueId val="{00000006-8E19-456D-9272-DD081655DBAB}"/>
            </c:ext>
          </c:extLst>
        </c:ser>
        <c:dLbls>
          <c:showLegendKey val="0"/>
          <c:showVal val="0"/>
          <c:showCatName val="0"/>
          <c:showSerName val="0"/>
          <c:showPercent val="0"/>
          <c:showBubbleSize val="0"/>
        </c:dLbls>
        <c:gapWidth val="150"/>
        <c:overlap val="100"/>
        <c:axId val="1187681888"/>
        <c:axId val="1075251616"/>
      </c:barChart>
      <c:catAx>
        <c:axId val="1187681888"/>
        <c:scaling>
          <c:orientation val="minMax"/>
        </c:scaling>
        <c:delete val="0"/>
        <c:axPos val="b"/>
        <c:numFmt formatCode="General" sourceLinked="1"/>
        <c:majorTickMark val="out"/>
        <c:minorTickMark val="none"/>
        <c:tickLblPos val="nextTo"/>
        <c:crossAx val="1075251616"/>
        <c:crosses val="autoZero"/>
        <c:auto val="1"/>
        <c:lblAlgn val="ctr"/>
        <c:lblOffset val="100"/>
        <c:noMultiLvlLbl val="0"/>
      </c:catAx>
      <c:valAx>
        <c:axId val="1075251616"/>
        <c:scaling>
          <c:orientation val="minMax"/>
        </c:scaling>
        <c:delete val="0"/>
        <c:axPos val="l"/>
        <c:majorGridlines/>
        <c:numFmt formatCode="_-* #,##0\ [$€-C0A]_-;\-* #,##0\ [$€-C0A]_-;_-* &quot;-&quot;??\ [$€-C0A]_-;_-@_-" sourceLinked="1"/>
        <c:majorTickMark val="out"/>
        <c:minorTickMark val="none"/>
        <c:tickLblPos val="nextTo"/>
        <c:crossAx val="118768188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EconomiaT42!$C$14</c:f>
              <c:numCache>
                <c:formatCode>_-* #,##0\ [$€-C0A]_-;\-* #,##0\ [$€-C0A]_-;_-* "-"??\ [$€-C0A]_-;_-@_-</c:formatCode>
                <c:ptCount val="1"/>
                <c:pt idx="0">
                  <c:v>280442</c:v>
                </c:pt>
              </c:numCache>
            </c:numRef>
          </c:val>
          <c:extLst xmlns:c16r2="http://schemas.microsoft.com/office/drawing/2015/06/chart">
            <c:ext xmlns:c16="http://schemas.microsoft.com/office/drawing/2014/chart" uri="{C3380CC4-5D6E-409C-BE32-E72D297353CC}">
              <c16:uniqueId val="{00000000-8E2F-4C1D-8BB2-1AA31BC4BBA7}"/>
            </c:ext>
          </c:extLst>
        </c:ser>
        <c:ser>
          <c:idx val="1"/>
          <c:order val="1"/>
          <c:tx>
            <c:strRef>
              <c:f>EconomiaT42!$B$15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EconomiaT42!$C$15</c:f>
              <c:numCache>
                <c:formatCode>_-* #,##0\ [$€-C0A]_-;\-* #,##0\ [$€-C0A]_-;_-* "-"??\ [$€-C0A]_-;_-@_-</c:formatCode>
                <c:ptCount val="1"/>
                <c:pt idx="0">
                  <c:v>252692</c:v>
                </c:pt>
              </c:numCache>
            </c:numRef>
          </c:val>
          <c:extLst xmlns:c16r2="http://schemas.microsoft.com/office/drawing/2015/06/chart">
            <c:ext xmlns:c16="http://schemas.microsoft.com/office/drawing/2014/chart" uri="{C3380CC4-5D6E-409C-BE32-E72D297353CC}">
              <c16:uniqueId val="{00000001-8E2F-4C1D-8BB2-1AA31BC4BBA7}"/>
            </c:ext>
          </c:extLst>
        </c:ser>
        <c:ser>
          <c:idx val="2"/>
          <c:order val="2"/>
          <c:tx>
            <c:strRef>
              <c:f>EconomiaT42!$B$16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EconomiaT42!$C$16</c:f>
              <c:numCache>
                <c:formatCode>_-* #,##0\ [$€-C0A]_-;\-* #,##0\ [$€-C0A]_-;_-* "-"??\ [$€-C0A]_-;_-@_-</c:formatCode>
                <c:ptCount val="1"/>
                <c:pt idx="0">
                  <c:v>116470</c:v>
                </c:pt>
              </c:numCache>
            </c:numRef>
          </c:val>
          <c:extLst xmlns:c16r2="http://schemas.microsoft.com/office/drawing/2015/06/chart">
            <c:ext xmlns:c16="http://schemas.microsoft.com/office/drawing/2014/chart" uri="{C3380CC4-5D6E-409C-BE32-E72D297353CC}">
              <c16:uniqueId val="{00000002-8E2F-4C1D-8BB2-1AA31BC4BBA7}"/>
            </c:ext>
          </c:extLst>
        </c:ser>
        <c:ser>
          <c:idx val="3"/>
          <c:order val="3"/>
          <c:tx>
            <c:strRef>
              <c:f>EconomiaT42!$B$17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EconomiaT42!$C$17</c:f>
              <c:numCache>
                <c:formatCode>_-* #,##0\ [$€-C0A]_-;\-* #,##0\ [$€-C0A]_-;_-* "-"??\ [$€-C0A]_-;_-@_-</c:formatCode>
                <c:ptCount val="1"/>
                <c:pt idx="0">
                  <c:v>491400</c:v>
                </c:pt>
              </c:numCache>
            </c:numRef>
          </c:val>
          <c:extLst xmlns:c16r2="http://schemas.microsoft.com/office/drawing/2015/06/chart">
            <c:ext xmlns:c16="http://schemas.microsoft.com/office/drawing/2014/chart" uri="{C3380CC4-5D6E-409C-BE32-E72D297353CC}">
              <c16:uniqueId val="{00000003-8E2F-4C1D-8BB2-1AA31BC4BBA7}"/>
            </c:ext>
          </c:extLst>
        </c:ser>
        <c:ser>
          <c:idx val="4"/>
          <c:order val="4"/>
          <c:tx>
            <c:strRef>
              <c:f>EconomiaT42!$B$18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EconomiaT42!$C$18</c:f>
              <c:numCache>
                <c:formatCode>_-* #,##0\ [$€-C0A]_-;\-* #,##0\ [$€-C0A]_-;_-* "-"??\ [$€-C0A]_-;_-@_-</c:formatCode>
                <c:ptCount val="1"/>
                <c:pt idx="0">
                  <c:v>320000</c:v>
                </c:pt>
              </c:numCache>
            </c:numRef>
          </c:val>
          <c:extLst xmlns:c16r2="http://schemas.microsoft.com/office/drawing/2015/06/chart">
            <c:ext xmlns:c16="http://schemas.microsoft.com/office/drawing/2014/chart" uri="{C3380CC4-5D6E-409C-BE32-E72D297353CC}">
              <c16:uniqueId val="{00000004-8E2F-4C1D-8BB2-1AA31BC4BBA7}"/>
            </c:ext>
          </c:extLst>
        </c:ser>
        <c:ser>
          <c:idx val="5"/>
          <c:order val="5"/>
          <c:tx>
            <c:strRef>
              <c:f>EconomiaT42!$B$19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EconomiaT42!$C$19</c:f>
              <c:numCache>
                <c:formatCode>_-* #,##0\ [$€-C0A]_-;\-* #,##0\ [$€-C0A]_-;_-* "-"??\ [$€-C0A]_-;_-@_-</c:formatCode>
                <c:ptCount val="1"/>
                <c:pt idx="0">
                  <c:v>0</c:v>
                </c:pt>
              </c:numCache>
            </c:numRef>
          </c:val>
          <c:extLst xmlns:c16r2="http://schemas.microsoft.com/office/drawing/2015/06/chart">
            <c:ext xmlns:c16="http://schemas.microsoft.com/office/drawing/2014/chart" uri="{C3380CC4-5D6E-409C-BE32-E72D297353CC}">
              <c16:uniqueId val="{00000005-8E2F-4C1D-8BB2-1AA31BC4BBA7}"/>
            </c:ext>
          </c:extLst>
        </c:ser>
        <c:ser>
          <c:idx val="6"/>
          <c:order val="6"/>
          <c:tx>
            <c:strRef>
              <c:f>EconomiaT42!$B$20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EconomiaT42!$C$20</c:f>
              <c:numCache>
                <c:formatCode>_-* #,##0\ [$€-C0A]_-;\-* #,##0\ [$€-C0A]_-;_-* "-"??\ [$€-C0A]_-;_-@_-</c:formatCode>
                <c:ptCount val="1"/>
                <c:pt idx="0">
                  <c:v>0</c:v>
                </c:pt>
              </c:numCache>
            </c:numRef>
          </c:val>
          <c:extLst xmlns:c16r2="http://schemas.microsoft.com/office/drawing/2015/06/chart">
            <c:ext xmlns:c16="http://schemas.microsoft.com/office/drawing/2014/chart" uri="{C3380CC4-5D6E-409C-BE32-E72D297353CC}">
              <c16:uniqueId val="{00000006-8E2F-4C1D-8BB2-1AA31BC4BBA7}"/>
            </c:ext>
          </c:extLst>
        </c:ser>
        <c:ser>
          <c:idx val="7"/>
          <c:order val="7"/>
          <c:tx>
            <c:strRef>
              <c:f>EconomiaT42!$B$21</c:f>
              <c:strCache>
                <c:ptCount val="1"/>
                <c:pt idx="0">
                  <c:v>Viajes+Venta</c:v>
                </c:pt>
              </c:strCache>
            </c:strRef>
          </c:tx>
          <c:invertIfNegative val="0"/>
          <c:val>
            <c:numRef>
              <c:f>EconomiaT42!$C$21</c:f>
              <c:numCache>
                <c:formatCode>_-* #,##0\ [$€-C0A]_-;\-* #,##0\ [$€-C0A]_-;_-* "-"??\ [$€-C0A]_-;_-@_-</c:formatCode>
                <c:ptCount val="1"/>
                <c:pt idx="0">
                  <c:v>44100</c:v>
                </c:pt>
              </c:numCache>
            </c:numRef>
          </c:val>
          <c:extLst xmlns:c16r2="http://schemas.microsoft.com/office/drawing/2015/06/chart">
            <c:ext xmlns:c16="http://schemas.microsoft.com/office/drawing/2014/chart" uri="{C3380CC4-5D6E-409C-BE32-E72D297353CC}">
              <c16:uniqueId val="{00000007-8E2F-4C1D-8BB2-1AA31BC4BBA7}"/>
            </c:ext>
          </c:extLst>
        </c:ser>
        <c:ser>
          <c:idx val="8"/>
          <c:order val="8"/>
          <c:tx>
            <c:strRef>
              <c:f>EconomiaT42!$B$22</c:f>
              <c:strCache>
                <c:ptCount val="1"/>
                <c:pt idx="0">
                  <c:v>Intereses</c:v>
                </c:pt>
              </c:strCache>
            </c:strRef>
          </c:tx>
          <c:invertIfNegative val="0"/>
          <c:val>
            <c:numRef>
              <c:f>EconomiaT42!$C$22</c:f>
              <c:numCache>
                <c:formatCode>_-* #,##0\ [$€-C0A]_-;\-* #,##0\ [$€-C0A]_-;_-* "-"??\ [$€-C0A]_-;_-@_-</c:formatCode>
                <c:ptCount val="1"/>
                <c:pt idx="0">
                  <c:v>0</c:v>
                </c:pt>
              </c:numCache>
            </c:numRef>
          </c:val>
          <c:extLst xmlns:c16r2="http://schemas.microsoft.com/office/drawing/2015/06/chart">
            <c:ext xmlns:c16="http://schemas.microsoft.com/office/drawing/2014/chart" uri="{C3380CC4-5D6E-409C-BE32-E72D297353CC}">
              <c16:uniqueId val="{00000008-8E2F-4C1D-8BB2-1AA31BC4BBA7}"/>
            </c:ext>
          </c:extLst>
        </c:ser>
        <c:dLbls>
          <c:showLegendKey val="0"/>
          <c:showVal val="0"/>
          <c:showCatName val="0"/>
          <c:showSerName val="0"/>
          <c:showPercent val="0"/>
          <c:showBubbleSize val="0"/>
        </c:dLbls>
        <c:gapWidth val="150"/>
        <c:overlap val="100"/>
        <c:axId val="1411633520"/>
        <c:axId val="1411629168"/>
      </c:barChart>
      <c:catAx>
        <c:axId val="1411633520"/>
        <c:scaling>
          <c:orientation val="minMax"/>
        </c:scaling>
        <c:delete val="0"/>
        <c:axPos val="b"/>
        <c:numFmt formatCode="General" sourceLinked="1"/>
        <c:majorTickMark val="out"/>
        <c:minorTickMark val="none"/>
        <c:tickLblPos val="nextTo"/>
        <c:crossAx val="1411629168"/>
        <c:crosses val="autoZero"/>
        <c:auto val="1"/>
        <c:lblAlgn val="ctr"/>
        <c:lblOffset val="100"/>
        <c:noMultiLvlLbl val="0"/>
      </c:catAx>
      <c:valAx>
        <c:axId val="1411629168"/>
        <c:scaling>
          <c:orientation val="minMax"/>
        </c:scaling>
        <c:delete val="0"/>
        <c:axPos val="l"/>
        <c:majorGridlines/>
        <c:numFmt formatCode="_-* #,##0\ [$€-C0A]_-;\-* #,##0\ [$€-C0A]_-;_-* &quot;-&quot;??\ [$€-C0A]_-;_-@_-" sourceLinked="1"/>
        <c:majorTickMark val="out"/>
        <c:minorTickMark val="none"/>
        <c:tickLblPos val="nextTo"/>
        <c:crossAx val="141163352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EconomiaT43!$C$6</c:f>
              <c:numCache>
                <c:formatCode>_-* #,##0\ [$€-C0A]_-;\-* #,##0\ [$€-C0A]_-;_-* "-"??\ [$€-C0A]_-;_-@_-</c:formatCode>
                <c:ptCount val="1"/>
                <c:pt idx="0">
                  <c:v>2026936</c:v>
                </c:pt>
              </c:numCache>
            </c:numRef>
          </c:val>
          <c:extLst xmlns:c16r2="http://schemas.microsoft.com/office/drawing/2015/06/chart">
            <c:ext xmlns:c16="http://schemas.microsoft.com/office/drawing/2014/chart" uri="{C3380CC4-5D6E-409C-BE32-E72D297353CC}">
              <c16:uniqueId val="{00000000-E0C3-428D-933B-1F395E043D68}"/>
            </c:ext>
          </c:extLst>
        </c:ser>
        <c:ser>
          <c:idx val="1"/>
          <c:order val="1"/>
          <c:tx>
            <c:strRef>
              <c:f>EconomiaT43!$B$7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EconomiaT43!$C$7</c:f>
              <c:numCache>
                <c:formatCode>_-* #,##0\ [$€-C0A]_-;\-* #,##0\ [$€-C0A]_-;_-* "-"??\ [$€-C0A]_-;_-@_-</c:formatCode>
                <c:ptCount val="1"/>
                <c:pt idx="0">
                  <c:v>1388875</c:v>
                </c:pt>
              </c:numCache>
            </c:numRef>
          </c:val>
          <c:extLst xmlns:c16r2="http://schemas.microsoft.com/office/drawing/2015/06/chart">
            <c:ext xmlns:c16="http://schemas.microsoft.com/office/drawing/2014/chart" uri="{C3380CC4-5D6E-409C-BE32-E72D297353CC}">
              <c16:uniqueId val="{00000001-E0C3-428D-933B-1F395E043D68}"/>
            </c:ext>
          </c:extLst>
        </c:ser>
        <c:ser>
          <c:idx val="2"/>
          <c:order val="2"/>
          <c:tx>
            <c:strRef>
              <c:f>EconomiaT43!$B$8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EconomiaT43!$C$8</c:f>
              <c:numCache>
                <c:formatCode>_-* #,##0\ [$€-C0A]_-;\-* #,##0\ [$€-C0A]_-;_-* "-"??\ [$€-C0A]_-;_-@_-</c:formatCode>
                <c:ptCount val="1"/>
                <c:pt idx="0">
                  <c:v>0</c:v>
                </c:pt>
              </c:numCache>
            </c:numRef>
          </c:val>
          <c:extLst xmlns:c16r2="http://schemas.microsoft.com/office/drawing/2015/06/chart">
            <c:ext xmlns:c16="http://schemas.microsoft.com/office/drawing/2014/chart" uri="{C3380CC4-5D6E-409C-BE32-E72D297353CC}">
              <c16:uniqueId val="{00000002-E0C3-428D-933B-1F395E043D68}"/>
            </c:ext>
          </c:extLst>
        </c:ser>
        <c:ser>
          <c:idx val="3"/>
          <c:order val="3"/>
          <c:tx>
            <c:strRef>
              <c:f>EconomiaT43!$B$9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EconomiaT43!$C$9</c:f>
              <c:numCache>
                <c:formatCode>_-* #,##0\ [$€-C0A]_-;\-* #,##0\ [$€-C0A]_-;_-* "-"??\ [$€-C0A]_-;_-@_-</c:formatCode>
                <c:ptCount val="1"/>
                <c:pt idx="0">
                  <c:v>0</c:v>
                </c:pt>
              </c:numCache>
            </c:numRef>
          </c:val>
          <c:extLst xmlns:c16r2="http://schemas.microsoft.com/office/drawing/2015/06/chart">
            <c:ext xmlns:c16="http://schemas.microsoft.com/office/drawing/2014/chart" uri="{C3380CC4-5D6E-409C-BE32-E72D297353CC}">
              <c16:uniqueId val="{00000003-E0C3-428D-933B-1F395E043D68}"/>
            </c:ext>
          </c:extLst>
        </c:ser>
        <c:ser>
          <c:idx val="4"/>
          <c:order val="4"/>
          <c:tx>
            <c:strRef>
              <c:f>EconomiaT43!$B$10</c:f>
              <c:strCache>
                <c:ptCount val="1"/>
                <c:pt idx="0">
                  <c:v>Comisiones</c:v>
                </c:pt>
              </c:strCache>
            </c:strRef>
          </c:tx>
          <c:invertIfNegative val="0"/>
          <c:cat>
            <c:numLit>
              <c:formatCode>General</c:formatCode>
              <c:ptCount val="1"/>
              <c:pt idx="0">
                <c:v>0</c:v>
              </c:pt>
            </c:numLit>
          </c:cat>
          <c:val>
            <c:numRef>
              <c:f>EconomiaT43!$C$10</c:f>
              <c:numCache>
                <c:formatCode>_-* #,##0\ [$€-C0A]_-;\-* #,##0\ [$€-C0A]_-;_-* "-"??\ [$€-C0A]_-;_-@_-</c:formatCode>
                <c:ptCount val="1"/>
                <c:pt idx="0">
                  <c:v>50</c:v>
                </c:pt>
              </c:numCache>
            </c:numRef>
          </c:val>
          <c:extLst xmlns:c16r2="http://schemas.microsoft.com/office/drawing/2015/06/chart">
            <c:ext xmlns:c16="http://schemas.microsoft.com/office/drawing/2014/chart" uri="{C3380CC4-5D6E-409C-BE32-E72D297353CC}">
              <c16:uniqueId val="{00000004-E0C3-428D-933B-1F395E043D68}"/>
            </c:ext>
          </c:extLst>
        </c:ser>
        <c:ser>
          <c:idx val="5"/>
          <c:order val="5"/>
          <c:tx>
            <c:strRef>
              <c:f>EconomiaT43!$B$11</c:f>
              <c:strCache>
                <c:ptCount val="1"/>
                <c:pt idx="0">
                  <c:v>Nuevos Socios</c:v>
                </c:pt>
              </c:strCache>
            </c:strRef>
          </c:tx>
          <c:invertIfNegative val="0"/>
          <c:cat>
            <c:numLit>
              <c:formatCode>General</c:formatCode>
              <c:ptCount val="1"/>
              <c:pt idx="0">
                <c:v>0</c:v>
              </c:pt>
            </c:numLit>
          </c:cat>
          <c:val>
            <c:numRef>
              <c:f>EconomiaT43!$C$11</c:f>
              <c:numCache>
                <c:formatCode>_-* #,##0\ [$€-C0A]_-;\-* #,##0\ [$€-C0A]_-;_-* "-"??\ [$€-C0A]_-;_-@_-</c:formatCode>
                <c:ptCount val="1"/>
                <c:pt idx="0">
                  <c:v>54540</c:v>
                </c:pt>
              </c:numCache>
            </c:numRef>
          </c:val>
          <c:extLst xmlns:c16r2="http://schemas.microsoft.com/office/drawing/2015/06/chart">
            <c:ext xmlns:c16="http://schemas.microsoft.com/office/drawing/2014/chart" uri="{C3380CC4-5D6E-409C-BE32-E72D297353CC}">
              <c16:uniqueId val="{00000005-E0C3-428D-933B-1F395E043D68}"/>
            </c:ext>
          </c:extLst>
        </c:ser>
        <c:ser>
          <c:idx val="6"/>
          <c:order val="6"/>
          <c:tx>
            <c:strRef>
              <c:f>EconomiaT43!$B$12</c:f>
              <c:strCache>
                <c:ptCount val="1"/>
                <c:pt idx="0">
                  <c:v>Premios</c:v>
                </c:pt>
              </c:strCache>
            </c:strRef>
          </c:tx>
          <c:invertIfNegative val="0"/>
          <c:cat>
            <c:numLit>
              <c:formatCode>General</c:formatCode>
              <c:ptCount val="1"/>
              <c:pt idx="0">
                <c:v>0</c:v>
              </c:pt>
            </c:numLit>
          </c:cat>
          <c:val>
            <c:numRef>
              <c:f>EconomiaT43!$C$12</c:f>
              <c:numCache>
                <c:formatCode>_-* #,##0\ [$€-C0A]_-;\-* #,##0\ [$€-C0A]_-;_-* "-"??\ [$€-C0A]_-;_-@_-</c:formatCode>
                <c:ptCount val="1"/>
                <c:pt idx="0">
                  <c:v>0</c:v>
                </c:pt>
              </c:numCache>
            </c:numRef>
          </c:val>
          <c:extLst xmlns:c16r2="http://schemas.microsoft.com/office/drawing/2015/06/chart">
            <c:ext xmlns:c16="http://schemas.microsoft.com/office/drawing/2014/chart" uri="{C3380CC4-5D6E-409C-BE32-E72D297353CC}">
              <c16:uniqueId val="{00000006-E0C3-428D-933B-1F395E043D68}"/>
            </c:ext>
          </c:extLst>
        </c:ser>
        <c:dLbls>
          <c:showLegendKey val="0"/>
          <c:showVal val="0"/>
          <c:showCatName val="0"/>
          <c:showSerName val="0"/>
          <c:showPercent val="0"/>
          <c:showBubbleSize val="0"/>
        </c:dLbls>
        <c:gapWidth val="150"/>
        <c:overlap val="100"/>
        <c:axId val="1411631344"/>
        <c:axId val="1411635152"/>
      </c:barChart>
      <c:catAx>
        <c:axId val="1411631344"/>
        <c:scaling>
          <c:orientation val="minMax"/>
        </c:scaling>
        <c:delete val="0"/>
        <c:axPos val="b"/>
        <c:numFmt formatCode="General" sourceLinked="1"/>
        <c:majorTickMark val="out"/>
        <c:minorTickMark val="none"/>
        <c:tickLblPos val="nextTo"/>
        <c:crossAx val="1411635152"/>
        <c:crosses val="autoZero"/>
        <c:auto val="1"/>
        <c:lblAlgn val="ctr"/>
        <c:lblOffset val="100"/>
        <c:noMultiLvlLbl val="0"/>
      </c:catAx>
      <c:valAx>
        <c:axId val="1411635152"/>
        <c:scaling>
          <c:orientation val="minMax"/>
        </c:scaling>
        <c:delete val="0"/>
        <c:axPos val="l"/>
        <c:majorGridlines/>
        <c:numFmt formatCode="_-* #,##0\ [$€-C0A]_-;\-* #,##0\ [$€-C0A]_-;_-* &quot;-&quot;??\ [$€-C0A]_-;_-@_-" sourceLinked="1"/>
        <c:majorTickMark val="out"/>
        <c:minorTickMark val="none"/>
        <c:tickLblPos val="nextTo"/>
        <c:crossAx val="141163134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EconomiaT43!$C$14</c:f>
              <c:numCache>
                <c:formatCode>_-* #,##0\ [$€-C0A]_-;\-* #,##0\ [$€-C0A]_-;_-* "-"??\ [$€-C0A]_-;_-@_-</c:formatCode>
                <c:ptCount val="1"/>
                <c:pt idx="0">
                  <c:v>357634</c:v>
                </c:pt>
              </c:numCache>
            </c:numRef>
          </c:val>
          <c:extLst xmlns:c16r2="http://schemas.microsoft.com/office/drawing/2015/06/chart">
            <c:ext xmlns:c16="http://schemas.microsoft.com/office/drawing/2014/chart" uri="{C3380CC4-5D6E-409C-BE32-E72D297353CC}">
              <c16:uniqueId val="{00000000-7207-4339-92F0-6F2CD94E42AB}"/>
            </c:ext>
          </c:extLst>
        </c:ser>
        <c:ser>
          <c:idx val="1"/>
          <c:order val="1"/>
          <c:tx>
            <c:strRef>
              <c:f>EconomiaT43!$B$15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EconomiaT43!$C$15</c:f>
              <c:numCache>
                <c:formatCode>_-* #,##0\ [$€-C0A]_-;\-* #,##0\ [$€-C0A]_-;_-* "-"??\ [$€-C0A]_-;_-@_-</c:formatCode>
                <c:ptCount val="1"/>
                <c:pt idx="0">
                  <c:v>281984</c:v>
                </c:pt>
              </c:numCache>
            </c:numRef>
          </c:val>
          <c:extLst xmlns:c16r2="http://schemas.microsoft.com/office/drawing/2015/06/chart">
            <c:ext xmlns:c16="http://schemas.microsoft.com/office/drawing/2014/chart" uri="{C3380CC4-5D6E-409C-BE32-E72D297353CC}">
              <c16:uniqueId val="{00000001-7207-4339-92F0-6F2CD94E42AB}"/>
            </c:ext>
          </c:extLst>
        </c:ser>
        <c:ser>
          <c:idx val="2"/>
          <c:order val="2"/>
          <c:tx>
            <c:strRef>
              <c:f>EconomiaT43!$B$16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EconomiaT43!$C$16</c:f>
              <c:numCache>
                <c:formatCode>_-* #,##0\ [$€-C0A]_-;\-* #,##0\ [$€-C0A]_-;_-* "-"??\ [$€-C0A]_-;_-@_-</c:formatCode>
                <c:ptCount val="1"/>
                <c:pt idx="0">
                  <c:v>249010</c:v>
                </c:pt>
              </c:numCache>
            </c:numRef>
          </c:val>
          <c:extLst xmlns:c16r2="http://schemas.microsoft.com/office/drawing/2015/06/chart">
            <c:ext xmlns:c16="http://schemas.microsoft.com/office/drawing/2014/chart" uri="{C3380CC4-5D6E-409C-BE32-E72D297353CC}">
              <c16:uniqueId val="{00000002-7207-4339-92F0-6F2CD94E42AB}"/>
            </c:ext>
          </c:extLst>
        </c:ser>
        <c:ser>
          <c:idx val="3"/>
          <c:order val="3"/>
          <c:tx>
            <c:strRef>
              <c:f>EconomiaT43!$B$17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EconomiaT43!$C$17</c:f>
              <c:numCache>
                <c:formatCode>_-* #,##0\ [$€-C0A]_-;\-* #,##0\ [$€-C0A]_-;_-* "-"??\ [$€-C0A]_-;_-@_-</c:formatCode>
                <c:ptCount val="1"/>
                <c:pt idx="0">
                  <c:v>980400</c:v>
                </c:pt>
              </c:numCache>
            </c:numRef>
          </c:val>
          <c:extLst xmlns:c16r2="http://schemas.microsoft.com/office/drawing/2015/06/chart">
            <c:ext xmlns:c16="http://schemas.microsoft.com/office/drawing/2014/chart" uri="{C3380CC4-5D6E-409C-BE32-E72D297353CC}">
              <c16:uniqueId val="{00000003-7207-4339-92F0-6F2CD94E42AB}"/>
            </c:ext>
          </c:extLst>
        </c:ser>
        <c:ser>
          <c:idx val="4"/>
          <c:order val="4"/>
          <c:tx>
            <c:strRef>
              <c:f>EconomiaT43!$B$18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EconomiaT43!$C$18</c:f>
              <c:numCache>
                <c:formatCode>_-* #,##0\ [$€-C0A]_-;\-* #,##0\ [$€-C0A]_-;_-* "-"??\ [$€-C0A]_-;_-@_-</c:formatCode>
                <c:ptCount val="1"/>
                <c:pt idx="0">
                  <c:v>320000</c:v>
                </c:pt>
              </c:numCache>
            </c:numRef>
          </c:val>
          <c:extLst xmlns:c16r2="http://schemas.microsoft.com/office/drawing/2015/06/chart">
            <c:ext xmlns:c16="http://schemas.microsoft.com/office/drawing/2014/chart" uri="{C3380CC4-5D6E-409C-BE32-E72D297353CC}">
              <c16:uniqueId val="{00000004-7207-4339-92F0-6F2CD94E42AB}"/>
            </c:ext>
          </c:extLst>
        </c:ser>
        <c:ser>
          <c:idx val="5"/>
          <c:order val="5"/>
          <c:tx>
            <c:strRef>
              <c:f>EconomiaT43!$B$19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EconomiaT43!$C$19</c:f>
              <c:numCache>
                <c:formatCode>_-* #,##0\ [$€-C0A]_-;\-* #,##0\ [$€-C0A]_-;_-* "-"??\ [$€-C0A]_-;_-@_-</c:formatCode>
                <c:ptCount val="1"/>
                <c:pt idx="0">
                  <c:v>0</c:v>
                </c:pt>
              </c:numCache>
            </c:numRef>
          </c:val>
          <c:extLst xmlns:c16r2="http://schemas.microsoft.com/office/drawing/2015/06/chart">
            <c:ext xmlns:c16="http://schemas.microsoft.com/office/drawing/2014/chart" uri="{C3380CC4-5D6E-409C-BE32-E72D297353CC}">
              <c16:uniqueId val="{00000005-7207-4339-92F0-6F2CD94E42AB}"/>
            </c:ext>
          </c:extLst>
        </c:ser>
        <c:ser>
          <c:idx val="6"/>
          <c:order val="6"/>
          <c:tx>
            <c:strRef>
              <c:f>EconomiaT43!$B$20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EconomiaT43!$C$20</c:f>
              <c:numCache>
                <c:formatCode>_-* #,##0\ [$€-C0A]_-;\-* #,##0\ [$€-C0A]_-;_-* "-"??\ [$€-C0A]_-;_-@_-</c:formatCode>
                <c:ptCount val="1"/>
                <c:pt idx="0">
                  <c:v>2068800</c:v>
                </c:pt>
              </c:numCache>
            </c:numRef>
          </c:val>
          <c:extLst xmlns:c16r2="http://schemas.microsoft.com/office/drawing/2015/06/chart">
            <c:ext xmlns:c16="http://schemas.microsoft.com/office/drawing/2014/chart" uri="{C3380CC4-5D6E-409C-BE32-E72D297353CC}">
              <c16:uniqueId val="{00000006-7207-4339-92F0-6F2CD94E42AB}"/>
            </c:ext>
          </c:extLst>
        </c:ser>
        <c:ser>
          <c:idx val="7"/>
          <c:order val="7"/>
          <c:tx>
            <c:strRef>
              <c:f>EconomiaT43!$B$21</c:f>
              <c:strCache>
                <c:ptCount val="1"/>
                <c:pt idx="0">
                  <c:v>Viajes+Venta</c:v>
                </c:pt>
              </c:strCache>
            </c:strRef>
          </c:tx>
          <c:invertIfNegative val="0"/>
          <c:val>
            <c:numRef>
              <c:f>EconomiaT43!$C$21</c:f>
              <c:numCache>
                <c:formatCode>_-* #,##0\ [$€-C0A]_-;\-* #,##0\ [$€-C0A]_-;_-* "-"??\ [$€-C0A]_-;_-@_-</c:formatCode>
                <c:ptCount val="1"/>
                <c:pt idx="0">
                  <c:v>89000</c:v>
                </c:pt>
              </c:numCache>
            </c:numRef>
          </c:val>
          <c:extLst xmlns:c16r2="http://schemas.microsoft.com/office/drawing/2015/06/chart">
            <c:ext xmlns:c16="http://schemas.microsoft.com/office/drawing/2014/chart" uri="{C3380CC4-5D6E-409C-BE32-E72D297353CC}">
              <c16:uniqueId val="{00000007-7207-4339-92F0-6F2CD94E42AB}"/>
            </c:ext>
          </c:extLst>
        </c:ser>
        <c:ser>
          <c:idx val="8"/>
          <c:order val="8"/>
          <c:tx>
            <c:strRef>
              <c:f>EconomiaT43!$B$22</c:f>
              <c:strCache>
                <c:ptCount val="1"/>
                <c:pt idx="0">
                  <c:v>Intereses</c:v>
                </c:pt>
              </c:strCache>
            </c:strRef>
          </c:tx>
          <c:invertIfNegative val="0"/>
          <c:val>
            <c:numRef>
              <c:f>EconomiaT43!$C$22</c:f>
              <c:numCache>
                <c:formatCode>_-* #,##0\ [$€-C0A]_-;\-* #,##0\ [$€-C0A]_-;_-* "-"??\ [$€-C0A]_-;_-@_-</c:formatCode>
                <c:ptCount val="1"/>
                <c:pt idx="0">
                  <c:v>689</c:v>
                </c:pt>
              </c:numCache>
            </c:numRef>
          </c:val>
          <c:extLst xmlns:c16r2="http://schemas.microsoft.com/office/drawing/2015/06/chart">
            <c:ext xmlns:c16="http://schemas.microsoft.com/office/drawing/2014/chart" uri="{C3380CC4-5D6E-409C-BE32-E72D297353CC}">
              <c16:uniqueId val="{00000008-7207-4339-92F0-6F2CD94E42AB}"/>
            </c:ext>
          </c:extLst>
        </c:ser>
        <c:dLbls>
          <c:showLegendKey val="0"/>
          <c:showVal val="0"/>
          <c:showCatName val="0"/>
          <c:showSerName val="0"/>
          <c:showPercent val="0"/>
          <c:showBubbleSize val="0"/>
        </c:dLbls>
        <c:gapWidth val="150"/>
        <c:overlap val="100"/>
        <c:axId val="1411644400"/>
        <c:axId val="1411634608"/>
      </c:barChart>
      <c:catAx>
        <c:axId val="1411644400"/>
        <c:scaling>
          <c:orientation val="minMax"/>
        </c:scaling>
        <c:delete val="0"/>
        <c:axPos val="b"/>
        <c:numFmt formatCode="General" sourceLinked="1"/>
        <c:majorTickMark val="out"/>
        <c:minorTickMark val="none"/>
        <c:tickLblPos val="nextTo"/>
        <c:crossAx val="1411634608"/>
        <c:crosses val="autoZero"/>
        <c:auto val="1"/>
        <c:lblAlgn val="ctr"/>
        <c:lblOffset val="100"/>
        <c:noMultiLvlLbl val="0"/>
      </c:catAx>
      <c:valAx>
        <c:axId val="1411634608"/>
        <c:scaling>
          <c:orientation val="minMax"/>
        </c:scaling>
        <c:delete val="0"/>
        <c:axPos val="l"/>
        <c:majorGridlines/>
        <c:numFmt formatCode="_-* #,##0\ [$€-C0A]_-;\-* #,##0\ [$€-C0A]_-;_-* &quot;-&quot;??\ [$€-C0A]_-;_-@_-" sourceLinked="1"/>
        <c:majorTickMark val="out"/>
        <c:minorTickMark val="none"/>
        <c:tickLblPos val="nextTo"/>
        <c:crossAx val="141164440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ca-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EconomiaT44!$C$6</c:f>
              <c:numCache>
                <c:formatCode>_-* #,##0\ [$€-C0A]_-;\-* #,##0\ [$€-C0A]_-;_-* "-"??\ [$€-C0A]_-;_-@_-</c:formatCode>
                <c:ptCount val="1"/>
                <c:pt idx="0">
                  <c:v>2182224</c:v>
                </c:pt>
              </c:numCache>
            </c:numRef>
          </c:val>
          <c:extLst xmlns:c16r2="http://schemas.microsoft.com/office/drawing/2015/06/chart">
            <c:ext xmlns:c16="http://schemas.microsoft.com/office/drawing/2014/chart" uri="{C3380CC4-5D6E-409C-BE32-E72D297353CC}">
              <c16:uniqueId val="{00000000-55E6-437F-8715-13950ADC3DD9}"/>
            </c:ext>
          </c:extLst>
        </c:ser>
        <c:ser>
          <c:idx val="1"/>
          <c:order val="1"/>
          <c:tx>
            <c:strRef>
              <c:f>EconomiaT44!$B$7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EconomiaT44!$C$7</c:f>
              <c:numCache>
                <c:formatCode>_-* #,##0\ [$€-C0A]_-;\-* #,##0\ [$€-C0A]_-;_-* "-"??\ [$€-C0A]_-;_-@_-</c:formatCode>
                <c:ptCount val="1"/>
                <c:pt idx="0">
                  <c:v>1434459</c:v>
                </c:pt>
              </c:numCache>
            </c:numRef>
          </c:val>
          <c:extLst xmlns:c16r2="http://schemas.microsoft.com/office/drawing/2015/06/chart">
            <c:ext xmlns:c16="http://schemas.microsoft.com/office/drawing/2014/chart" uri="{C3380CC4-5D6E-409C-BE32-E72D297353CC}">
              <c16:uniqueId val="{00000001-55E6-437F-8715-13950ADC3DD9}"/>
            </c:ext>
          </c:extLst>
        </c:ser>
        <c:ser>
          <c:idx val="2"/>
          <c:order val="2"/>
          <c:tx>
            <c:strRef>
              <c:f>EconomiaT44!$B$8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EconomiaT44!$C$8</c:f>
              <c:numCache>
                <c:formatCode>_-* #,##0\ [$€-C0A]_-;\-* #,##0\ [$€-C0A]_-;_-* "-"??\ [$€-C0A]_-;_-@_-</c:formatCode>
                <c:ptCount val="1"/>
                <c:pt idx="0">
                  <c:v>23750</c:v>
                </c:pt>
              </c:numCache>
            </c:numRef>
          </c:val>
          <c:extLst xmlns:c16r2="http://schemas.microsoft.com/office/drawing/2015/06/chart">
            <c:ext xmlns:c16="http://schemas.microsoft.com/office/drawing/2014/chart" uri="{C3380CC4-5D6E-409C-BE32-E72D297353CC}">
              <c16:uniqueId val="{00000002-55E6-437F-8715-13950ADC3DD9}"/>
            </c:ext>
          </c:extLst>
        </c:ser>
        <c:ser>
          <c:idx val="3"/>
          <c:order val="3"/>
          <c:tx>
            <c:strRef>
              <c:f>EconomiaT44!$B$9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numLit>
              <c:formatCode>General</c:formatCode>
              <c:ptCount val="1"/>
              <c:pt idx="0">
                <c:v>0</c:v>
              </c:pt>
            </c:numLit>
          </c:cat>
          <c:val>
            <c:numRef>
              <c:f>EconomiaT44!$C$9</c:f>
              <c:numCache>
                <c:formatCode>_-* #,##0\ [$€-C0A]_-;\-* #,##0\ [$€-C0A]_-;_-* "-"??\ [$€-C0A]_-;_-@_-</c:formatCode>
                <c:ptCount val="1"/>
                <c:pt idx="0">
                  <c:v>0</c:v>
                </c:pt>
              </c:numCache>
            </c:numRef>
          </c:val>
          <c:extLst xmlns:c16r2="http://schemas.microsoft.com/office/drawing/2015/06/chart">
            <c:ext xmlns:c16="http://schemas.microsoft.com/office/drawing/2014/chart" uri="{C3380CC4-5D6E-409C-BE32-E72D297353CC}">
              <c16:uniqueId val="{00000003-55E6-437F-8715-13950ADC3DD9}"/>
            </c:ext>
          </c:extLst>
        </c:ser>
        <c:ser>
          <c:idx val="4"/>
          <c:order val="4"/>
          <c:tx>
            <c:strRef>
              <c:f>EconomiaT44!$B$10</c:f>
              <c:strCache>
                <c:ptCount val="1"/>
                <c:pt idx="0">
                  <c:v>Comisiones</c:v>
                </c:pt>
              </c:strCache>
            </c:strRef>
          </c:tx>
          <c:invertIfNegative val="0"/>
          <c:cat>
            <c:numLit>
              <c:formatCode>General</c:formatCode>
              <c:ptCount val="1"/>
              <c:pt idx="0">
                <c:v>0</c:v>
              </c:pt>
            </c:numLit>
          </c:cat>
          <c:val>
            <c:numRef>
              <c:f>EconomiaT44!$C$10</c:f>
              <c:numCache>
                <c:formatCode>_-* #,##0\ [$€-C0A]_-;\-* #,##0\ [$€-C0A]_-;_-* "-"??\ [$€-C0A]_-;_-@_-</c:formatCode>
                <c:ptCount val="1"/>
                <c:pt idx="0">
                  <c:v>0</c:v>
                </c:pt>
              </c:numCache>
            </c:numRef>
          </c:val>
          <c:extLst xmlns:c16r2="http://schemas.microsoft.com/office/drawing/2015/06/chart">
            <c:ext xmlns:c16="http://schemas.microsoft.com/office/drawing/2014/chart" uri="{C3380CC4-5D6E-409C-BE32-E72D297353CC}">
              <c16:uniqueId val="{00000004-55E6-437F-8715-13950ADC3DD9}"/>
            </c:ext>
          </c:extLst>
        </c:ser>
        <c:ser>
          <c:idx val="5"/>
          <c:order val="5"/>
          <c:tx>
            <c:strRef>
              <c:f>EconomiaT44!$B$11</c:f>
              <c:strCache>
                <c:ptCount val="1"/>
                <c:pt idx="0">
                  <c:v>Nuevos Socios</c:v>
                </c:pt>
              </c:strCache>
            </c:strRef>
          </c:tx>
          <c:invertIfNegative val="0"/>
          <c:cat>
            <c:numLit>
              <c:formatCode>General</c:formatCode>
              <c:ptCount val="1"/>
              <c:pt idx="0">
                <c:v>0</c:v>
              </c:pt>
            </c:numLit>
          </c:cat>
          <c:val>
            <c:numRef>
              <c:f>EconomiaT44!$C$11</c:f>
              <c:numCache>
                <c:formatCode>_-* #,##0\ [$€-C0A]_-;\-* #,##0\ [$€-C0A]_-;_-* "-"??\ [$€-C0A]_-;_-@_-</c:formatCode>
                <c:ptCount val="1"/>
                <c:pt idx="0">
                  <c:v>60630</c:v>
                </c:pt>
              </c:numCache>
            </c:numRef>
          </c:val>
          <c:extLst xmlns:c16r2="http://schemas.microsoft.com/office/drawing/2015/06/chart">
            <c:ext xmlns:c16="http://schemas.microsoft.com/office/drawing/2014/chart" uri="{C3380CC4-5D6E-409C-BE32-E72D297353CC}">
              <c16:uniqueId val="{00000005-55E6-437F-8715-13950ADC3DD9}"/>
            </c:ext>
          </c:extLst>
        </c:ser>
        <c:ser>
          <c:idx val="6"/>
          <c:order val="6"/>
          <c:tx>
            <c:strRef>
              <c:f>EconomiaT44!$B$12</c:f>
              <c:strCache>
                <c:ptCount val="1"/>
                <c:pt idx="0">
                  <c:v>Premios</c:v>
                </c:pt>
              </c:strCache>
            </c:strRef>
          </c:tx>
          <c:invertIfNegative val="0"/>
          <c:cat>
            <c:numLit>
              <c:formatCode>General</c:formatCode>
              <c:ptCount val="1"/>
              <c:pt idx="0">
                <c:v>0</c:v>
              </c:pt>
            </c:numLit>
          </c:cat>
          <c:val>
            <c:numRef>
              <c:f>EconomiaT44!$C$12</c:f>
              <c:numCache>
                <c:formatCode>_-* #,##0\ [$€-C0A]_-;\-* #,##0\ [$€-C0A]_-;_-* "-"??\ [$€-C0A]_-;_-@_-</c:formatCode>
                <c:ptCount val="1"/>
                <c:pt idx="0">
                  <c:v>200000</c:v>
                </c:pt>
              </c:numCache>
            </c:numRef>
          </c:val>
          <c:extLst xmlns:c16r2="http://schemas.microsoft.com/office/drawing/2015/06/chart">
            <c:ext xmlns:c16="http://schemas.microsoft.com/office/drawing/2014/chart" uri="{C3380CC4-5D6E-409C-BE32-E72D297353CC}">
              <c16:uniqueId val="{00000006-55E6-437F-8715-13950ADC3DD9}"/>
            </c:ext>
          </c:extLst>
        </c:ser>
        <c:dLbls>
          <c:showLegendKey val="0"/>
          <c:showVal val="0"/>
          <c:showCatName val="0"/>
          <c:showSerName val="0"/>
          <c:showPercent val="0"/>
          <c:showBubbleSize val="0"/>
        </c:dLbls>
        <c:gapWidth val="150"/>
        <c:overlap val="100"/>
        <c:axId val="1411630800"/>
        <c:axId val="1411629712"/>
      </c:barChart>
      <c:catAx>
        <c:axId val="1411630800"/>
        <c:scaling>
          <c:orientation val="minMax"/>
        </c:scaling>
        <c:delete val="0"/>
        <c:axPos val="b"/>
        <c:numFmt formatCode="General" sourceLinked="1"/>
        <c:majorTickMark val="out"/>
        <c:minorTickMark val="none"/>
        <c:tickLblPos val="nextTo"/>
        <c:crossAx val="1411629712"/>
        <c:crosses val="autoZero"/>
        <c:auto val="1"/>
        <c:lblAlgn val="ctr"/>
        <c:lblOffset val="100"/>
        <c:noMultiLvlLbl val="0"/>
      </c:catAx>
      <c:valAx>
        <c:axId val="1411629712"/>
        <c:scaling>
          <c:orientation val="minMax"/>
        </c:scaling>
        <c:delete val="0"/>
        <c:axPos val="l"/>
        <c:majorGridlines/>
        <c:numFmt formatCode="_-* #,##0\ [$€-C0A]_-;\-* #,##0\ [$€-C0A]_-;_-* &quot;-&quot;??\ [$€-C0A]_-;_-@_-" sourceLinked="1"/>
        <c:majorTickMark val="out"/>
        <c:minorTickMark val="none"/>
        <c:tickLblPos val="nextTo"/>
        <c:crossAx val="141163080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16" Type="http://schemas.openxmlformats.org/officeDocument/2006/relationships/hyperlink" Target="http://www88.hattrick.org/World/Leagues/League.aspx?LeagueID=25" TargetMode="External"/><Relationship Id="rId11" Type="http://schemas.openxmlformats.org/officeDocument/2006/relationships/hyperlink" Target="http://www88.hattrick.org/World/Leagues/League.aspx?LeagueID=11"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59" Type="http://schemas.openxmlformats.org/officeDocument/2006/relationships/hyperlink" Target="http://www88.hattrick.org/World/Leagues/League.aspx?LeagueID=12"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29" Type="http://schemas.openxmlformats.org/officeDocument/2006/relationships/hyperlink" Target="http://www83.hattrick.org/World/Leagues/League.aspx?LeagueID=4" TargetMode="External"/><Relationship Id="rId24" Type="http://schemas.openxmlformats.org/officeDocument/2006/relationships/hyperlink" Target="http://www83.hattrick.org/World/Leagues/League.aspx?LeagueID=93"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66" Type="http://schemas.openxmlformats.org/officeDocument/2006/relationships/hyperlink" Target="http://www78.hattrick.org/World/Leagues/League.aspx?LeagueID=3" TargetMode="External"/><Relationship Id="rId87" Type="http://schemas.openxmlformats.org/officeDocument/2006/relationships/hyperlink" Target="http://www92.hattrick.org/World/Leagues/League.aspx?LeagueID=6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56" Type="http://schemas.openxmlformats.org/officeDocument/2006/relationships/hyperlink" Target="http://www94.hattrick.org/World/Leagues/League.aspx?LeagueID=70"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25" Type="http://schemas.openxmlformats.org/officeDocument/2006/relationships/hyperlink" Target="http://www83.hattrick.org/World/Leagues/League.aspx?LeagueID=34" TargetMode="External"/><Relationship Id="rId46" Type="http://schemas.openxmlformats.org/officeDocument/2006/relationships/hyperlink" Target="http://www94.hattrick.org/World/Leagues/League.aspx?LeagueID=7" TargetMode="External"/><Relationship Id="rId67" Type="http://schemas.openxmlformats.org/officeDocument/2006/relationships/hyperlink" Target="http://www78.hattrick.org/World/Leagues/League.aspx?LeagueID=19" TargetMode="External"/></Relationships>
</file>

<file path=xl/drawings/_rels/drawing10.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191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953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51435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5334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248275" y="4381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248275" y="4572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248275" y="38100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538"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39"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0"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1"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2"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3"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4"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5"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6"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7"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8"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9"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0"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1"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2"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3"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6"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7"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8"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18</xdr:row>
      <xdr:rowOff>0</xdr:rowOff>
    </xdr:from>
    <xdr:ext cx="9525" cy="9525"/>
    <xdr:pic>
      <xdr:nvPicPr>
        <xdr:cNvPr id="3559"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0"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1"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2"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3"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4"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5"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7"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8"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9"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0"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1"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2"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3"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4"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5"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6"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7"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8"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9"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wsDr>
</file>

<file path=xl/drawings/drawing10.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95249</xdr:colOff>
      <xdr:row>0</xdr:row>
      <xdr:rowOff>85725</xdr:rowOff>
    </xdr:from>
    <xdr:to>
      <xdr:col>10</xdr:col>
      <xdr:colOff>600074</xdr:colOff>
      <xdr:row>31</xdr:row>
      <xdr:rowOff>47625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52916</xdr:colOff>
      <xdr:row>4</xdr:row>
      <xdr:rowOff>74081</xdr:rowOff>
    </xdr:from>
    <xdr:to>
      <xdr:col>24</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63499</xdr:colOff>
      <xdr:row>21</xdr:row>
      <xdr:rowOff>148167</xdr:rowOff>
    </xdr:from>
    <xdr:to>
      <xdr:col>24</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HT\1-V@d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ifica_POS_&lt;T60"/>
      <sheetName val="Califica_POS_T60"/>
      <sheetName val="Calificaciones"/>
      <sheetName val="Aportaciones"/>
      <sheetName val="Posessión"/>
      <sheetName val="Lliga-Copa"/>
      <sheetName val="EconomiaT36"/>
      <sheetName val="A-P_T36"/>
      <sheetName val="EconomiaT37"/>
      <sheetName val="A-P_T37"/>
      <sheetName val="EconomiaT38"/>
      <sheetName val="A-P_T38"/>
      <sheetName val="EconomiaT39"/>
      <sheetName val="A-P_T39"/>
      <sheetName val="EconomiaT40"/>
      <sheetName val="A-P_T40"/>
      <sheetName val="EconomiaT41"/>
      <sheetName val="A-P_T41"/>
      <sheetName val="EconomiaT42"/>
      <sheetName val="A-P_T42"/>
      <sheetName val="EconomiaT43"/>
      <sheetName val="A-P_T43"/>
      <sheetName val="EconomiaT44"/>
      <sheetName val="A-P_T44"/>
      <sheetName val="EconomiaT45"/>
      <sheetName val="A-P_T45"/>
      <sheetName val="EconomiaT46"/>
      <sheetName val="A-P_T46"/>
      <sheetName val="EconomiaT47"/>
      <sheetName val="A-P_T47"/>
      <sheetName val="EconomiaT48"/>
      <sheetName val="A-P_T48"/>
      <sheetName val="EconomiaT49"/>
      <sheetName val="A-P_T49"/>
      <sheetName val="EconomiaT50"/>
      <sheetName val="A-P_T50"/>
      <sheetName val="EconomiaT51"/>
      <sheetName val="A-P_T51"/>
      <sheetName val="Logros"/>
      <sheetName val="Aficion_Patro"/>
      <sheetName val="Des_Estadio"/>
      <sheetName val="Inv_estadio"/>
      <sheetName val="inca11"/>
      <sheetName val="CANTERA"/>
      <sheetName val="Lesion"/>
      <sheetName val="BP"/>
      <sheetName val="EvaluacionJugadores"/>
      <sheetName val="Entreno_Barbecho"/>
      <sheetName val="Portero"/>
      <sheetName val="Resistencia"/>
      <sheetName val="Denomin_Forma"/>
      <sheetName val="EEspeciales"/>
      <sheetName val="EEspecials_Manual"/>
      <sheetName val="Fidelidad"/>
      <sheetName val="Confianza_espiritu"/>
      <sheetName val="Sustituciones"/>
      <sheetName val="Pullback_Logros_confusionForm"/>
      <sheetName val="CosteNuevoEntrenador"/>
      <sheetName val="Entrenador"/>
      <sheetName val="TARJETAS"/>
      <sheetName val="XP"/>
      <sheetName val="Salarios_escuelaErcanto"/>
      <sheetName val="Federacion"/>
      <sheetName val="TACTICAS"/>
      <sheetName val="NivelMedioJuvenil"/>
      <sheetName val="Bajar%Entrenamiento"/>
      <sheetName val="Aficionados"/>
      <sheetName val="EstadisticaEntreno"/>
    </sheetNames>
    <sheetDataSet>
      <sheetData sheetId="0"/>
      <sheetData sheetId="1"/>
      <sheetData sheetId="2"/>
      <sheetData sheetId="3"/>
      <sheetData sheetId="4"/>
      <sheetData sheetId="5"/>
      <sheetData sheetId="6">
        <row r="13">
          <cell r="A13" t="str">
            <v>TOTAL INGRESOS</v>
          </cell>
        </row>
      </sheetData>
      <sheetData sheetId="7"/>
      <sheetData sheetId="8"/>
      <sheetData sheetId="9"/>
      <sheetData sheetId="10">
        <row r="13">
          <cell r="A13" t="str">
            <v>TOTAL INGRESOS</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Set>
  </externalBook>
</externalLink>
</file>

<file path=xl/theme/theme1.xml><?xml version="1.0" encoding="utf-8"?>
<a:theme xmlns:a="http://schemas.openxmlformats.org/drawingml/2006/main" name="Tema de l'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17.bin"/><Relationship Id="rId4" Type="http://schemas.openxmlformats.org/officeDocument/2006/relationships/comments" Target="../comments5.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3.xml"/><Relationship Id="rId1" Type="http://schemas.openxmlformats.org/officeDocument/2006/relationships/printerSettings" Target="../printerSettings/printerSettings19.bin"/><Relationship Id="rId4" Type="http://schemas.openxmlformats.org/officeDocument/2006/relationships/comments" Target="../comments7.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6.bin"/></Relationships>
</file>

<file path=xl/worksheets/_rels/sheet41.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37.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9.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5.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41.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Q36"/>
  <sheetViews>
    <sheetView zoomScaleNormal="100" workbookViewId="0">
      <pane xSplit="6" ySplit="4" topLeftCell="G5" activePane="bottomRight" state="frozen"/>
      <selection pane="topRight" activeCell="T1" sqref="T1"/>
      <selection pane="bottomLeft" activeCell="A4" sqref="A4"/>
      <selection pane="bottomRight" activeCell="M20" sqref="M20"/>
    </sheetView>
  </sheetViews>
  <sheetFormatPr defaultColWidth="11.42578125" defaultRowHeight="15" x14ac:dyDescent="0.25"/>
  <cols>
    <col min="1" max="1" width="4.7109375" bestFit="1" customWidth="1"/>
    <col min="2" max="2" width="5" bestFit="1" customWidth="1"/>
    <col min="3" max="3" width="13.7109375" style="179" bestFit="1" customWidth="1"/>
    <col min="4" max="4" width="4.5703125" bestFit="1" customWidth="1"/>
    <col min="5" max="5" width="10.7109375" bestFit="1" customWidth="1"/>
    <col min="6" max="6" width="5.5703125" style="507" bestFit="1" customWidth="1"/>
    <col min="7" max="7" width="4.5703125" bestFit="1" customWidth="1"/>
    <col min="8" max="8" width="5.5703125" style="507" bestFit="1" customWidth="1"/>
    <col min="9" max="9" width="5" bestFit="1" customWidth="1"/>
    <col min="10" max="10" width="4.5703125" bestFit="1" customWidth="1"/>
    <col min="11" max="11" width="10.7109375" bestFit="1" customWidth="1"/>
    <col min="12" max="12" width="8.42578125" style="507" bestFit="1" customWidth="1"/>
    <col min="13" max="13" width="11" bestFit="1" customWidth="1"/>
    <col min="14" max="14" width="10.7109375" bestFit="1" customWidth="1"/>
    <col min="15" max="15" width="7.28515625" bestFit="1" customWidth="1"/>
    <col min="16" max="16" width="18.140625" bestFit="1" customWidth="1"/>
    <col min="17" max="17" width="10" bestFit="1" customWidth="1"/>
    <col min="18" max="18" width="18.140625" bestFit="1" customWidth="1"/>
    <col min="19" max="19" width="10" bestFit="1" customWidth="1"/>
  </cols>
  <sheetData>
    <row r="1" spans="1:17" s="249" customFormat="1" x14ac:dyDescent="0.25">
      <c r="C1" s="506">
        <f ca="1">TODAY()</f>
        <v>43288</v>
      </c>
      <c r="D1" s="688">
        <v>41471</v>
      </c>
      <c r="E1" s="688"/>
      <c r="F1" s="688"/>
      <c r="H1" s="285"/>
    </row>
    <row r="2" spans="1:17" s="3" customFormat="1" x14ac:dyDescent="0.25">
      <c r="A2" s="3">
        <v>16</v>
      </c>
      <c r="B2" s="285"/>
      <c r="C2" s="314"/>
      <c r="D2" s="297"/>
      <c r="E2" s="297"/>
    </row>
    <row r="3" spans="1:17" s="253" customFormat="1" x14ac:dyDescent="0.25">
      <c r="A3" s="298"/>
      <c r="B3" s="298" t="s">
        <v>435</v>
      </c>
      <c r="C3" s="294" t="s">
        <v>542</v>
      </c>
      <c r="D3" s="262" t="s">
        <v>502</v>
      </c>
      <c r="F3" s="508"/>
      <c r="J3" s="520" t="s">
        <v>502</v>
      </c>
    </row>
    <row r="4" spans="1:17" x14ac:dyDescent="0.25">
      <c r="A4" s="299" t="s">
        <v>413</v>
      </c>
      <c r="B4" s="299" t="s">
        <v>276</v>
      </c>
      <c r="C4" s="301" t="s">
        <v>179</v>
      </c>
      <c r="D4" s="299" t="s">
        <v>182</v>
      </c>
      <c r="E4" s="418" t="s">
        <v>716</v>
      </c>
      <c r="F4" s="418" t="s">
        <v>715</v>
      </c>
      <c r="G4" s="418" t="s">
        <v>717</v>
      </c>
      <c r="H4" s="418" t="s">
        <v>689</v>
      </c>
      <c r="I4" s="418" t="s">
        <v>62</v>
      </c>
      <c r="J4" s="299" t="s">
        <v>182</v>
      </c>
      <c r="K4" s="521" t="s">
        <v>1</v>
      </c>
      <c r="L4" s="521" t="s">
        <v>2</v>
      </c>
      <c r="M4" s="521" t="s">
        <v>697</v>
      </c>
      <c r="N4" s="521" t="s">
        <v>569</v>
      </c>
      <c r="O4" s="521" t="s">
        <v>698</v>
      </c>
      <c r="P4" s="521" t="s">
        <v>578</v>
      </c>
      <c r="Q4" s="521" t="s">
        <v>0</v>
      </c>
    </row>
    <row r="5" spans="1:17" s="248" customFormat="1" x14ac:dyDescent="0.25">
      <c r="A5" s="384" t="s">
        <v>484</v>
      </c>
      <c r="B5" s="384" t="s">
        <v>1</v>
      </c>
      <c r="C5" s="447" t="s">
        <v>266</v>
      </c>
      <c r="D5" s="388" t="s">
        <v>174</v>
      </c>
      <c r="E5" s="512">
        <v>41400</v>
      </c>
      <c r="F5" s="591">
        <f ca="1">TODAY()-E5</f>
        <v>1888</v>
      </c>
      <c r="G5" s="592">
        <f ca="1">F5/112</f>
        <v>16.857142857142858</v>
      </c>
      <c r="H5" s="509">
        <v>19</v>
      </c>
      <c r="I5" s="509">
        <v>11</v>
      </c>
      <c r="J5" s="388" t="s">
        <v>174</v>
      </c>
      <c r="K5" s="522" t="s">
        <v>718</v>
      </c>
      <c r="L5" s="561" t="s">
        <v>419</v>
      </c>
      <c r="M5" s="522"/>
      <c r="N5" s="522"/>
      <c r="O5" s="522"/>
      <c r="P5" s="522"/>
      <c r="Q5" s="522"/>
    </row>
    <row r="6" spans="1:17" s="263" customFormat="1" x14ac:dyDescent="0.25">
      <c r="A6" s="384" t="s">
        <v>403</v>
      </c>
      <c r="B6" s="384" t="s">
        <v>1</v>
      </c>
      <c r="C6" s="447" t="s">
        <v>267</v>
      </c>
      <c r="D6" s="388" t="s">
        <v>502</v>
      </c>
      <c r="E6" s="512">
        <v>41400</v>
      </c>
      <c r="F6" s="591">
        <f t="shared" ref="F6:F20" ca="1" si="0">TODAY()-E6</f>
        <v>1888</v>
      </c>
      <c r="G6" s="592">
        <f t="shared" ref="G6:G20" ca="1" si="1">F6/112</f>
        <v>16.857142857142858</v>
      </c>
      <c r="H6" s="321">
        <v>20</v>
      </c>
      <c r="I6" s="321">
        <v>2</v>
      </c>
      <c r="J6" s="388" t="s">
        <v>502</v>
      </c>
      <c r="K6" s="522" t="s">
        <v>718</v>
      </c>
      <c r="L6" s="358" t="s">
        <v>419</v>
      </c>
      <c r="M6" s="523"/>
      <c r="N6" s="523"/>
      <c r="O6" s="523"/>
      <c r="P6" s="523"/>
      <c r="Q6" s="523"/>
    </row>
    <row r="7" spans="1:17" s="254" customFormat="1" x14ac:dyDescent="0.25">
      <c r="A7" s="305" t="s">
        <v>412</v>
      </c>
      <c r="B7" s="260" t="s">
        <v>2</v>
      </c>
      <c r="C7" s="448" t="s">
        <v>275</v>
      </c>
      <c r="D7" s="262" t="s">
        <v>502</v>
      </c>
      <c r="E7" s="513">
        <v>41519</v>
      </c>
      <c r="F7" s="591">
        <f t="shared" ca="1" si="0"/>
        <v>1769</v>
      </c>
      <c r="G7" s="592">
        <f t="shared" ca="1" si="1"/>
        <v>15.794642857142858</v>
      </c>
      <c r="H7" s="510">
        <f>24-7</f>
        <v>17</v>
      </c>
      <c r="I7" s="510">
        <f>102-(5*7+1)</f>
        <v>66</v>
      </c>
      <c r="J7" s="262" t="s">
        <v>502</v>
      </c>
      <c r="K7" s="522"/>
      <c r="L7" s="522" t="s">
        <v>418</v>
      </c>
      <c r="M7" s="522" t="s">
        <v>417</v>
      </c>
      <c r="N7" s="522"/>
      <c r="O7" s="522" t="s">
        <v>418</v>
      </c>
      <c r="P7" s="522" t="s">
        <v>417</v>
      </c>
      <c r="Q7" s="522"/>
    </row>
    <row r="8" spans="1:17" s="246" customFormat="1" x14ac:dyDescent="0.25">
      <c r="A8" s="384" t="s">
        <v>405</v>
      </c>
      <c r="B8" s="260" t="s">
        <v>2</v>
      </c>
      <c r="C8" s="448" t="s">
        <v>273</v>
      </c>
      <c r="D8" s="262"/>
      <c r="E8" s="513">
        <v>41527</v>
      </c>
      <c r="F8" s="591">
        <f t="shared" ca="1" si="0"/>
        <v>1761</v>
      </c>
      <c r="G8" s="592">
        <f t="shared" ca="1" si="1"/>
        <v>15.723214285714286</v>
      </c>
      <c r="H8" s="510">
        <f>24-7</f>
        <v>17</v>
      </c>
      <c r="I8" s="510">
        <f>41-(4*7)</f>
        <v>13</v>
      </c>
      <c r="J8" s="262"/>
      <c r="K8" s="522"/>
      <c r="L8" s="522" t="s">
        <v>416</v>
      </c>
      <c r="M8" s="522"/>
      <c r="N8" s="522" t="s">
        <v>718</v>
      </c>
      <c r="O8" s="522" t="s">
        <v>416</v>
      </c>
      <c r="P8" s="522" t="s">
        <v>482</v>
      </c>
      <c r="Q8" s="522"/>
    </row>
    <row r="9" spans="1:17" s="247" customFormat="1" x14ac:dyDescent="0.25">
      <c r="A9" s="384" t="s">
        <v>504</v>
      </c>
      <c r="B9" s="384" t="s">
        <v>2</v>
      </c>
      <c r="C9" s="447" t="s">
        <v>269</v>
      </c>
      <c r="D9" s="388"/>
      <c r="E9" s="514">
        <v>41539</v>
      </c>
      <c r="F9" s="591">
        <f t="shared" ca="1" si="0"/>
        <v>1749</v>
      </c>
      <c r="G9" s="592">
        <f t="shared" ca="1" si="1"/>
        <v>15.616071428571429</v>
      </c>
      <c r="H9" s="443">
        <f>24-7</f>
        <v>17</v>
      </c>
      <c r="I9" s="443">
        <v>40</v>
      </c>
      <c r="J9" s="388"/>
      <c r="K9" s="522"/>
      <c r="L9" s="564" t="s">
        <v>231</v>
      </c>
      <c r="M9" s="522" t="s">
        <v>416</v>
      </c>
      <c r="N9" s="522" t="s">
        <v>418</v>
      </c>
      <c r="O9" s="522" t="s">
        <v>418</v>
      </c>
      <c r="P9" s="522" t="s">
        <v>417</v>
      </c>
      <c r="Q9" s="522"/>
    </row>
    <row r="10" spans="1:17" s="264" customFormat="1" x14ac:dyDescent="0.25">
      <c r="A10" s="384" t="s">
        <v>404</v>
      </c>
      <c r="B10" s="384" t="s">
        <v>64</v>
      </c>
      <c r="C10" s="447" t="s">
        <v>272</v>
      </c>
      <c r="D10" s="388"/>
      <c r="E10" s="516">
        <v>41552</v>
      </c>
      <c r="F10" s="591">
        <f t="shared" ca="1" si="0"/>
        <v>1736</v>
      </c>
      <c r="G10" s="592">
        <f t="shared" ca="1" si="1"/>
        <v>15.5</v>
      </c>
      <c r="H10" s="321">
        <f>24-7</f>
        <v>17</v>
      </c>
      <c r="I10" s="321">
        <v>2</v>
      </c>
      <c r="J10" s="388"/>
      <c r="K10" s="522"/>
      <c r="L10" s="522" t="s">
        <v>482</v>
      </c>
      <c r="M10" s="562" t="s">
        <v>419</v>
      </c>
      <c r="N10" s="522" t="s">
        <v>417</v>
      </c>
      <c r="O10" s="522" t="s">
        <v>417</v>
      </c>
      <c r="P10" s="522" t="s">
        <v>417</v>
      </c>
      <c r="Q10" s="522"/>
    </row>
    <row r="11" spans="1:17" s="264" customFormat="1" ht="15.75" x14ac:dyDescent="0.25">
      <c r="A11" s="384" t="s">
        <v>408</v>
      </c>
      <c r="B11" s="384" t="s">
        <v>65</v>
      </c>
      <c r="C11" s="447" t="s">
        <v>270</v>
      </c>
      <c r="D11" s="388" t="s">
        <v>271</v>
      </c>
      <c r="E11" s="515">
        <v>41583</v>
      </c>
      <c r="F11" s="591">
        <f t="shared" ca="1" si="0"/>
        <v>1705</v>
      </c>
      <c r="G11" s="592">
        <f t="shared" ca="1" si="1"/>
        <v>15.223214285714286</v>
      </c>
      <c r="H11" s="511">
        <f>23-6</f>
        <v>17</v>
      </c>
      <c r="I11" s="511">
        <v>46</v>
      </c>
      <c r="J11" s="388" t="s">
        <v>271</v>
      </c>
      <c r="K11" s="525"/>
      <c r="L11" s="563" t="s">
        <v>419</v>
      </c>
      <c r="M11" s="525" t="s">
        <v>417</v>
      </c>
      <c r="N11" s="525" t="s">
        <v>416</v>
      </c>
      <c r="O11" s="563" t="s">
        <v>419</v>
      </c>
      <c r="P11" s="563" t="s">
        <v>419</v>
      </c>
      <c r="Q11" s="525" t="s">
        <v>417</v>
      </c>
    </row>
    <row r="12" spans="1:17" s="254" customFormat="1" ht="15.75" x14ac:dyDescent="0.25">
      <c r="A12" s="305" t="s">
        <v>407</v>
      </c>
      <c r="B12" s="384" t="s">
        <v>64</v>
      </c>
      <c r="C12" s="447" t="s">
        <v>285</v>
      </c>
      <c r="D12" s="388" t="s">
        <v>268</v>
      </c>
      <c r="E12" s="516">
        <v>41653</v>
      </c>
      <c r="F12" s="591">
        <f t="shared" ca="1" si="0"/>
        <v>1635</v>
      </c>
      <c r="G12" s="592">
        <f t="shared" ca="1" si="1"/>
        <v>14.598214285714286</v>
      </c>
      <c r="H12" s="321">
        <v>18</v>
      </c>
      <c r="I12" s="321">
        <v>109</v>
      </c>
      <c r="J12" s="388" t="s">
        <v>268</v>
      </c>
      <c r="K12" s="525"/>
      <c r="L12" s="525" t="s">
        <v>417</v>
      </c>
      <c r="M12" s="566" t="s">
        <v>232</v>
      </c>
      <c r="N12" s="525" t="s">
        <v>416</v>
      </c>
      <c r="O12" s="525"/>
      <c r="P12" s="525" t="s">
        <v>418</v>
      </c>
      <c r="Q12" s="525" t="s">
        <v>416</v>
      </c>
    </row>
    <row r="13" spans="1:17" s="263" customFormat="1" ht="15.75" x14ac:dyDescent="0.25">
      <c r="A13" s="384" t="s">
        <v>506</v>
      </c>
      <c r="B13" s="384" t="s">
        <v>66</v>
      </c>
      <c r="C13" s="447" t="s">
        <v>287</v>
      </c>
      <c r="D13" s="388" t="s">
        <v>296</v>
      </c>
      <c r="E13" s="513">
        <v>41664</v>
      </c>
      <c r="F13" s="591">
        <f t="shared" ca="1" si="0"/>
        <v>1624</v>
      </c>
      <c r="G13" s="592">
        <f t="shared" ca="1" si="1"/>
        <v>14.5</v>
      </c>
      <c r="H13" s="510">
        <f>23-6</f>
        <v>17</v>
      </c>
      <c r="I13" s="510">
        <v>14</v>
      </c>
      <c r="J13" s="388" t="s">
        <v>296</v>
      </c>
      <c r="K13" s="525"/>
      <c r="L13" s="563" t="s">
        <v>419</v>
      </c>
      <c r="M13" s="525" t="s">
        <v>417</v>
      </c>
      <c r="N13" s="525" t="s">
        <v>417</v>
      </c>
      <c r="O13" s="565" t="s">
        <v>231</v>
      </c>
      <c r="P13" s="525" t="s">
        <v>417</v>
      </c>
      <c r="Q13" s="525" t="s">
        <v>232</v>
      </c>
    </row>
    <row r="14" spans="1:17" s="264" customFormat="1" ht="15.75" x14ac:dyDescent="0.25">
      <c r="A14" s="305" t="s">
        <v>411</v>
      </c>
      <c r="B14" s="260" t="s">
        <v>64</v>
      </c>
      <c r="C14" s="448" t="s">
        <v>400</v>
      </c>
      <c r="D14" s="262"/>
      <c r="E14" s="516">
        <v>41686</v>
      </c>
      <c r="F14" s="591">
        <f t="shared" ca="1" si="0"/>
        <v>1602</v>
      </c>
      <c r="G14" s="592">
        <f t="shared" ca="1" si="1"/>
        <v>14.303571428571429</v>
      </c>
      <c r="H14" s="321">
        <v>17</v>
      </c>
      <c r="I14" s="321">
        <v>111</v>
      </c>
      <c r="J14" s="262"/>
      <c r="K14" s="525"/>
      <c r="L14" s="525" t="s">
        <v>482</v>
      </c>
      <c r="M14" s="565" t="s">
        <v>231</v>
      </c>
      <c r="N14" s="526" t="s">
        <v>417</v>
      </c>
      <c r="O14" s="565" t="s">
        <v>231</v>
      </c>
      <c r="P14" s="525" t="s">
        <v>482</v>
      </c>
      <c r="Q14" s="526" t="s">
        <v>417</v>
      </c>
    </row>
    <row r="15" spans="1:17" ht="15.75" x14ac:dyDescent="0.25">
      <c r="A15" s="384" t="s">
        <v>410</v>
      </c>
      <c r="B15" s="384" t="s">
        <v>65</v>
      </c>
      <c r="C15" s="447" t="s">
        <v>298</v>
      </c>
      <c r="D15" s="388" t="s">
        <v>268</v>
      </c>
      <c r="E15" s="513">
        <v>41722</v>
      </c>
      <c r="F15" s="591">
        <f t="shared" ca="1" si="0"/>
        <v>1566</v>
      </c>
      <c r="G15" s="592">
        <f t="shared" ca="1" si="1"/>
        <v>13.982142857142858</v>
      </c>
      <c r="H15" s="510">
        <f>23-5</f>
        <v>18</v>
      </c>
      <c r="I15" s="510">
        <v>20</v>
      </c>
      <c r="J15" s="388" t="s">
        <v>268</v>
      </c>
      <c r="K15" s="525"/>
      <c r="L15" s="525" t="s">
        <v>418</v>
      </c>
      <c r="M15" s="525" t="s">
        <v>418</v>
      </c>
      <c r="N15" s="563" t="s">
        <v>419</v>
      </c>
      <c r="O15" s="525" t="s">
        <v>417</v>
      </c>
      <c r="P15" s="525" t="s">
        <v>416</v>
      </c>
      <c r="Q15" s="525" t="s">
        <v>416</v>
      </c>
    </row>
    <row r="16" spans="1:17" s="4" customFormat="1" ht="15.75" x14ac:dyDescent="0.25">
      <c r="A16" s="305" t="s">
        <v>505</v>
      </c>
      <c r="B16" s="260" t="s">
        <v>64</v>
      </c>
      <c r="C16" s="448" t="s">
        <v>414</v>
      </c>
      <c r="D16" s="262"/>
      <c r="E16" s="515">
        <v>41737</v>
      </c>
      <c r="F16" s="591">
        <f t="shared" ca="1" si="0"/>
        <v>1551</v>
      </c>
      <c r="G16" s="592">
        <f t="shared" ca="1" si="1"/>
        <v>13.848214285714286</v>
      </c>
      <c r="H16" s="511">
        <f>22-5</f>
        <v>17</v>
      </c>
      <c r="I16" s="511">
        <f>42-(7*6)</f>
        <v>0</v>
      </c>
      <c r="J16" s="262"/>
      <c r="K16" s="526"/>
      <c r="L16" s="525" t="s">
        <v>416</v>
      </c>
      <c r="M16" s="563" t="s">
        <v>419</v>
      </c>
      <c r="N16" s="525" t="s">
        <v>416</v>
      </c>
      <c r="O16" s="526"/>
      <c r="P16" s="525" t="s">
        <v>417</v>
      </c>
      <c r="Q16" s="525" t="s">
        <v>482</v>
      </c>
    </row>
    <row r="17" spans="1:17" s="263" customFormat="1" ht="15.75" x14ac:dyDescent="0.25">
      <c r="A17" s="384" t="s">
        <v>406</v>
      </c>
      <c r="B17" s="260" t="s">
        <v>64</v>
      </c>
      <c r="C17" s="448" t="s">
        <v>618</v>
      </c>
      <c r="D17" s="388" t="s">
        <v>268</v>
      </c>
      <c r="E17" s="515">
        <v>41747</v>
      </c>
      <c r="F17" s="591">
        <f t="shared" ca="1" si="0"/>
        <v>1541</v>
      </c>
      <c r="G17" s="592">
        <f t="shared" ca="1" si="1"/>
        <v>13.758928571428571</v>
      </c>
      <c r="H17" s="511">
        <f>22-5</f>
        <v>17</v>
      </c>
      <c r="I17" s="511">
        <v>57</v>
      </c>
      <c r="J17" s="388" t="s">
        <v>268</v>
      </c>
      <c r="K17" s="525"/>
      <c r="L17" s="525" t="s">
        <v>416</v>
      </c>
      <c r="M17" s="563" t="s">
        <v>419</v>
      </c>
      <c r="N17" s="525" t="s">
        <v>416</v>
      </c>
      <c r="O17" s="525"/>
      <c r="P17" s="525" t="s">
        <v>417</v>
      </c>
      <c r="Q17" s="525" t="s">
        <v>418</v>
      </c>
    </row>
    <row r="18" spans="1:17" s="264" customFormat="1" ht="14.25" customHeight="1" x14ac:dyDescent="0.25">
      <c r="A18" s="384" t="s">
        <v>409</v>
      </c>
      <c r="B18" s="384" t="s">
        <v>65</v>
      </c>
      <c r="C18" s="447" t="s">
        <v>507</v>
      </c>
      <c r="D18" s="388" t="s">
        <v>502</v>
      </c>
      <c r="E18" s="516">
        <v>41911</v>
      </c>
      <c r="F18" s="591">
        <f t="shared" ca="1" si="0"/>
        <v>1377</v>
      </c>
      <c r="G18" s="592">
        <f t="shared" ca="1" si="1"/>
        <v>12.294642857142858</v>
      </c>
      <c r="H18" s="321">
        <f>20-3</f>
        <v>17</v>
      </c>
      <c r="I18" s="321">
        <v>0</v>
      </c>
      <c r="J18" s="388" t="s">
        <v>502</v>
      </c>
      <c r="K18" s="526"/>
      <c r="L18" s="525" t="s">
        <v>417</v>
      </c>
      <c r="M18" s="565" t="s">
        <v>231</v>
      </c>
      <c r="N18" s="525" t="s">
        <v>416</v>
      </c>
      <c r="O18" s="525" t="s">
        <v>416</v>
      </c>
      <c r="P18" s="563" t="s">
        <v>419</v>
      </c>
      <c r="Q18" s="526"/>
    </row>
    <row r="19" spans="1:17" s="254" customFormat="1" ht="15.75" x14ac:dyDescent="0.25">
      <c r="A19" s="384" t="s">
        <v>540</v>
      </c>
      <c r="B19" s="384" t="s">
        <v>66</v>
      </c>
      <c r="C19" s="448" t="s">
        <v>541</v>
      </c>
      <c r="D19" s="262"/>
      <c r="E19" s="515">
        <v>41973</v>
      </c>
      <c r="F19" s="591">
        <f t="shared" ca="1" si="0"/>
        <v>1315</v>
      </c>
      <c r="G19" s="592">
        <f t="shared" ca="1" si="1"/>
        <v>11.741071428571429</v>
      </c>
      <c r="H19" s="511">
        <f>20-3</f>
        <v>17</v>
      </c>
      <c r="I19" s="511">
        <v>0</v>
      </c>
      <c r="J19" s="262"/>
      <c r="K19" s="525"/>
      <c r="L19" s="525" t="s">
        <v>417</v>
      </c>
      <c r="M19" s="525" t="s">
        <v>418</v>
      </c>
      <c r="N19" s="525" t="s">
        <v>418</v>
      </c>
      <c r="O19" s="565" t="s">
        <v>231</v>
      </c>
      <c r="P19" s="525" t="s">
        <v>231</v>
      </c>
      <c r="Q19" s="524"/>
    </row>
    <row r="20" spans="1:17" s="264" customFormat="1" ht="15.75" x14ac:dyDescent="0.25">
      <c r="A20" s="304" t="s">
        <v>495</v>
      </c>
      <c r="B20" s="260" t="s">
        <v>2</v>
      </c>
      <c r="C20" s="448" t="s">
        <v>567</v>
      </c>
      <c r="D20" s="262"/>
      <c r="E20" s="515">
        <v>42106</v>
      </c>
      <c r="F20" s="591">
        <f t="shared" ca="1" si="0"/>
        <v>1182</v>
      </c>
      <c r="G20" s="592">
        <f t="shared" ca="1" si="1"/>
        <v>10.553571428571429</v>
      </c>
      <c r="H20" s="511">
        <v>18</v>
      </c>
      <c r="I20" s="511">
        <v>55</v>
      </c>
      <c r="J20" s="262"/>
      <c r="K20" s="524"/>
      <c r="L20" s="565" t="s">
        <v>231</v>
      </c>
      <c r="M20" s="566" t="s">
        <v>232</v>
      </c>
      <c r="N20" s="563" t="s">
        <v>419</v>
      </c>
      <c r="O20" s="525" t="s">
        <v>417</v>
      </c>
      <c r="P20" s="525" t="s">
        <v>418</v>
      </c>
      <c r="Q20" s="524" t="s">
        <v>417</v>
      </c>
    </row>
    <row r="21" spans="1:17" x14ac:dyDescent="0.25">
      <c r="D21" s="4"/>
      <c r="H21"/>
      <c r="J21" s="4"/>
      <c r="L21"/>
    </row>
    <row r="22" spans="1:17" x14ac:dyDescent="0.25">
      <c r="D22" s="507"/>
      <c r="H22"/>
      <c r="J22" s="507"/>
      <c r="L22"/>
    </row>
    <row r="23" spans="1:17" x14ac:dyDescent="0.25">
      <c r="D23" s="507"/>
      <c r="H23"/>
      <c r="J23" s="507"/>
      <c r="L23"/>
    </row>
    <row r="24" spans="1:17" s="259" customFormat="1" ht="15.75" x14ac:dyDescent="0.25">
      <c r="A24" s="384" t="s">
        <v>777</v>
      </c>
      <c r="B24" s="384" t="s">
        <v>66</v>
      </c>
      <c r="C24" s="386" t="s">
        <v>778</v>
      </c>
      <c r="D24" s="388" t="s">
        <v>502</v>
      </c>
      <c r="H24" s="511">
        <v>19</v>
      </c>
      <c r="I24" s="511">
        <v>0</v>
      </c>
      <c r="J24" s="388" t="s">
        <v>502</v>
      </c>
      <c r="K24" s="524"/>
      <c r="L24" s="525" t="s">
        <v>416</v>
      </c>
      <c r="M24" s="525" t="s">
        <v>418</v>
      </c>
      <c r="N24" s="565" t="s">
        <v>231</v>
      </c>
      <c r="O24" s="525" t="s">
        <v>416</v>
      </c>
      <c r="P24" s="565" t="s">
        <v>780</v>
      </c>
      <c r="Q24" s="524" t="s">
        <v>482</v>
      </c>
    </row>
    <row r="25" spans="1:17" s="254" customFormat="1" x14ac:dyDescent="0.25">
      <c r="A25" s="384" t="s">
        <v>633</v>
      </c>
      <c r="B25" s="260" t="s">
        <v>2</v>
      </c>
      <c r="C25" s="294" t="s">
        <v>274</v>
      </c>
      <c r="D25" s="262"/>
      <c r="E25" s="513"/>
      <c r="F25" s="510"/>
      <c r="G25" s="509"/>
      <c r="H25" s="510"/>
      <c r="I25" s="510"/>
      <c r="J25" s="262"/>
      <c r="K25" s="518"/>
      <c r="L25" s="518"/>
      <c r="M25" s="518"/>
      <c r="N25" s="518"/>
      <c r="O25" s="518"/>
      <c r="P25" s="518"/>
      <c r="Q25" s="518"/>
    </row>
    <row r="26" spans="1:17" s="247" customFormat="1" x14ac:dyDescent="0.25">
      <c r="A26" s="384" t="s">
        <v>583</v>
      </c>
      <c r="B26" s="384" t="s">
        <v>2</v>
      </c>
      <c r="C26" s="294" t="s">
        <v>576</v>
      </c>
      <c r="D26" s="262"/>
      <c r="E26" s="510"/>
      <c r="F26" s="510"/>
      <c r="G26" s="510"/>
      <c r="H26" s="510"/>
      <c r="I26" s="510"/>
      <c r="J26" s="262"/>
      <c r="K26" s="519"/>
      <c r="L26" s="519"/>
      <c r="M26" s="519"/>
      <c r="N26" s="519"/>
      <c r="O26" s="519"/>
      <c r="P26" s="519"/>
      <c r="Q26" s="519"/>
    </row>
    <row r="27" spans="1:17" s="259" customFormat="1" x14ac:dyDescent="0.25">
      <c r="A27" s="305" t="s">
        <v>632</v>
      </c>
      <c r="B27" s="260" t="s">
        <v>64</v>
      </c>
      <c r="C27" s="294" t="s">
        <v>624</v>
      </c>
      <c r="D27" s="388" t="s">
        <v>502</v>
      </c>
      <c r="E27" s="511"/>
      <c r="F27" s="511"/>
      <c r="G27" s="511"/>
      <c r="H27" s="511"/>
      <c r="I27" s="511"/>
      <c r="J27" s="388" t="s">
        <v>502</v>
      </c>
      <c r="K27" s="518"/>
      <c r="L27" s="518"/>
      <c r="M27" s="518"/>
      <c r="N27" s="518"/>
      <c r="O27" s="518"/>
      <c r="P27" s="518"/>
      <c r="Q27" s="518"/>
    </row>
    <row r="28" spans="1:17" s="263" customFormat="1" x14ac:dyDescent="0.25">
      <c r="A28" s="304" t="s">
        <v>584</v>
      </c>
      <c r="B28" s="260" t="s">
        <v>64</v>
      </c>
      <c r="C28" s="294" t="s">
        <v>401</v>
      </c>
      <c r="D28" s="262" t="s">
        <v>271</v>
      </c>
      <c r="E28" s="321"/>
      <c r="F28" s="321"/>
      <c r="G28" s="321"/>
      <c r="H28" s="321"/>
      <c r="I28" s="321"/>
      <c r="J28" s="262" t="s">
        <v>271</v>
      </c>
      <c r="K28" s="517"/>
      <c r="L28" s="517"/>
      <c r="M28" s="517"/>
      <c r="N28" s="517"/>
      <c r="O28" s="517"/>
      <c r="P28" s="517"/>
      <c r="Q28" s="517"/>
    </row>
    <row r="29" spans="1:17" s="259" customFormat="1" x14ac:dyDescent="0.25">
      <c r="A29" s="384" t="s">
        <v>711</v>
      </c>
      <c r="B29" s="384" t="s">
        <v>66</v>
      </c>
      <c r="C29" s="386" t="s">
        <v>710</v>
      </c>
      <c r="D29" s="388" t="s">
        <v>296</v>
      </c>
      <c r="E29" s="511"/>
      <c r="F29" s="511"/>
      <c r="G29" s="511"/>
      <c r="H29" s="511"/>
      <c r="I29" s="511"/>
      <c r="J29" s="388" t="s">
        <v>296</v>
      </c>
      <c r="K29" s="518"/>
      <c r="L29" s="518"/>
      <c r="M29" s="518"/>
      <c r="N29" s="518"/>
      <c r="O29" s="518"/>
      <c r="P29" s="518"/>
      <c r="Q29" s="518"/>
    </row>
    <row r="30" spans="1:17" x14ac:dyDescent="0.25">
      <c r="D30" s="507"/>
      <c r="H30"/>
      <c r="J30" s="507"/>
      <c r="L30"/>
    </row>
    <row r="31" spans="1:17" x14ac:dyDescent="0.25">
      <c r="C31" s="177"/>
      <c r="D31" s="507"/>
      <c r="H31"/>
      <c r="J31" s="507"/>
      <c r="L31"/>
    </row>
    <row r="32" spans="1:17" x14ac:dyDescent="0.25">
      <c r="C32" s="177"/>
      <c r="D32" s="507"/>
      <c r="H32"/>
      <c r="J32" s="507"/>
      <c r="L32"/>
    </row>
    <row r="33" spans="3:17" x14ac:dyDescent="0.25">
      <c r="C33" s="503"/>
      <c r="D33" s="507"/>
      <c r="H33"/>
      <c r="J33" s="507"/>
      <c r="K33" s="485">
        <v>0</v>
      </c>
      <c r="L33" s="486">
        <v>4</v>
      </c>
      <c r="M33" s="485">
        <v>3</v>
      </c>
      <c r="N33" s="486">
        <v>6</v>
      </c>
      <c r="O33" s="485">
        <v>4</v>
      </c>
      <c r="P33" s="486">
        <v>6.8</v>
      </c>
      <c r="Q33" s="485">
        <v>1</v>
      </c>
    </row>
    <row r="34" spans="3:17" x14ac:dyDescent="0.25">
      <c r="C34" s="504"/>
      <c r="F34" s="406"/>
      <c r="L34" s="406"/>
    </row>
    <row r="36" spans="3:17" x14ac:dyDescent="0.25">
      <c r="F36" s="406"/>
      <c r="L36" s="406"/>
    </row>
  </sheetData>
  <mergeCells count="1">
    <mergeCell ref="D1:F1"/>
  </mergeCells>
  <conditionalFormatting sqref="K33:Q33">
    <cfRule type="colorScale" priority="1">
      <colorScale>
        <cfvo type="min"/>
        <cfvo type="max"/>
        <color rgb="FFFFEF9C"/>
        <color rgb="FF63BE7B"/>
      </colorScale>
    </cfRule>
    <cfRule type="cellIs" dxfId="369" priority="2" operator="greaterThan">
      <formula>7.99</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BX34"/>
  <sheetViews>
    <sheetView zoomScaleNormal="100" workbookViewId="0">
      <pane xSplit="7" ySplit="3" topLeftCell="H4" activePane="bottomRight" state="frozen"/>
      <selection pane="topRight" activeCell="H1" sqref="H1"/>
      <selection pane="bottomLeft" activeCell="A4" sqref="A4"/>
      <selection pane="bottomRight" activeCell="A7" sqref="A7"/>
    </sheetView>
  </sheetViews>
  <sheetFormatPr defaultColWidth="11.42578125" defaultRowHeight="15" x14ac:dyDescent="0.25"/>
  <cols>
    <col min="1" max="1" width="4.7109375" bestFit="1" customWidth="1"/>
    <col min="2" max="2" width="5.140625" bestFit="1" customWidth="1"/>
    <col min="3" max="3" width="5.140625" style="218" bestFit="1" customWidth="1"/>
    <col min="4" max="4" width="14.140625" style="179" bestFit="1" customWidth="1"/>
    <col min="5" max="5" width="5.5703125" bestFit="1" customWidth="1"/>
    <col min="6" max="6" width="5" bestFit="1" customWidth="1"/>
    <col min="7" max="7" width="4.5703125" style="421" bestFit="1" customWidth="1"/>
    <col min="8" max="8" width="3.7109375" style="4" customWidth="1"/>
    <col min="9" max="9" width="4.5703125" customWidth="1"/>
    <col min="10" max="10" width="6.140625" style="156" customWidth="1"/>
    <col min="11" max="13" width="6.140625" customWidth="1"/>
    <col min="14" max="14" width="6.140625" bestFit="1" customWidth="1"/>
    <col min="15" max="15" width="5" bestFit="1" customWidth="1"/>
    <col min="16" max="16" width="6.140625" customWidth="1"/>
    <col min="17" max="17" width="5.5703125" style="451" customWidth="1"/>
    <col min="18" max="18" width="5" style="451" customWidth="1"/>
    <col min="19" max="24" width="6.7109375" style="421" customWidth="1"/>
    <col min="25" max="25" width="6.7109375" style="527" customWidth="1"/>
    <col min="26" max="26" width="6.7109375" style="421" customWidth="1"/>
    <col min="27" max="27" width="4.42578125" style="421" bestFit="1" customWidth="1"/>
    <col min="28" max="31" width="6.140625" style="421" bestFit="1" customWidth="1"/>
    <col min="32" max="32" width="5.5703125" style="421" bestFit="1" customWidth="1"/>
    <col min="33" max="33" width="5" style="421" bestFit="1" customWidth="1"/>
    <col min="34" max="34" width="6.140625" style="421" bestFit="1" customWidth="1"/>
    <col min="35" max="41" width="4.85546875" bestFit="1" customWidth="1"/>
    <col min="42" max="42" width="3.7109375" customWidth="1"/>
    <col min="43" max="43" width="5.140625" bestFit="1" customWidth="1"/>
    <col min="44" max="44" width="12.5703125" bestFit="1" customWidth="1"/>
    <col min="45" max="46" width="7.85546875" bestFit="1" customWidth="1"/>
    <col min="47" max="47" width="7.7109375" bestFit="1" customWidth="1"/>
    <col min="48" max="48" width="7.140625" bestFit="1" customWidth="1"/>
    <col min="49" max="50" width="6.5703125" bestFit="1" customWidth="1"/>
    <col min="51" max="51" width="6.42578125" bestFit="1" customWidth="1"/>
    <col min="52" max="53" width="5.85546875" bestFit="1" customWidth="1"/>
    <col min="54" max="54" width="5.5703125" bestFit="1" customWidth="1"/>
    <col min="55" max="55" width="4.5703125" bestFit="1" customWidth="1"/>
    <col min="56" max="56" width="5.5703125" customWidth="1"/>
    <col min="57" max="57" width="5.140625" bestFit="1" customWidth="1"/>
    <col min="58" max="58" width="15.85546875" customWidth="1"/>
    <col min="59" max="60" width="7.85546875" bestFit="1" customWidth="1"/>
    <col min="61" max="61" width="7.7109375" bestFit="1" customWidth="1"/>
    <col min="62" max="62" width="7.140625" bestFit="1" customWidth="1"/>
    <col min="63" max="64" width="6.5703125" bestFit="1" customWidth="1"/>
    <col min="65" max="65" width="6.42578125" bestFit="1" customWidth="1"/>
    <col min="66" max="67" width="5.85546875" bestFit="1" customWidth="1"/>
    <col min="68" max="68" width="5.5703125" bestFit="1" customWidth="1"/>
    <col min="69" max="69" width="4.5703125" bestFit="1" customWidth="1"/>
    <col min="71" max="71" width="11" bestFit="1" customWidth="1"/>
    <col min="72" max="72" width="5.85546875" bestFit="1" customWidth="1"/>
    <col min="73" max="73" width="12.42578125" bestFit="1" customWidth="1"/>
    <col min="74" max="74" width="15.140625" bestFit="1" customWidth="1"/>
    <col min="75" max="76" width="9.5703125" bestFit="1" customWidth="1"/>
  </cols>
  <sheetData>
    <row r="1" spans="1:76" ht="18.75" x14ac:dyDescent="0.3">
      <c r="Q1"/>
      <c r="R1"/>
      <c r="S1" s="698"/>
      <c r="T1" s="698"/>
      <c r="U1" s="698"/>
      <c r="V1" s="178"/>
      <c r="W1" s="698" t="s">
        <v>530</v>
      </c>
      <c r="X1" s="698"/>
      <c r="Z1" s="413">
        <f>S2+T2+U2+V2+W2+X2+Z2</f>
        <v>1</v>
      </c>
      <c r="AQ1" s="698" t="s">
        <v>603</v>
      </c>
      <c r="AR1" s="698"/>
      <c r="AS1" s="698"/>
      <c r="AT1" s="698"/>
      <c r="AU1" s="698"/>
      <c r="AV1" s="698"/>
      <c r="AW1" s="698"/>
      <c r="AX1" s="698"/>
      <c r="AY1" s="698"/>
      <c r="AZ1" s="698"/>
      <c r="BA1" s="698"/>
      <c r="BB1" s="698"/>
      <c r="BC1" s="698"/>
      <c r="BS1" s="438" t="s">
        <v>605</v>
      </c>
      <c r="BT1" s="438" t="s">
        <v>176</v>
      </c>
      <c r="BU1" s="438" t="s">
        <v>606</v>
      </c>
      <c r="BV1" s="439" t="s">
        <v>607</v>
      </c>
      <c r="BW1" s="437" t="s">
        <v>608</v>
      </c>
      <c r="BX1" s="437" t="s">
        <v>609</v>
      </c>
    </row>
    <row r="2" spans="1:76" s="249" customFormat="1" ht="18.75" x14ac:dyDescent="0.3">
      <c r="C2" s="250"/>
      <c r="D2" s="420">
        <f ca="1">TODAY()</f>
        <v>43288</v>
      </c>
      <c r="E2" s="688">
        <v>41471</v>
      </c>
      <c r="F2" s="688"/>
      <c r="G2" s="688"/>
      <c r="H2" s="251"/>
      <c r="I2" s="251"/>
      <c r="J2" s="310"/>
      <c r="K2" s="251"/>
      <c r="L2" s="251"/>
      <c r="M2" s="251"/>
      <c r="N2" s="251"/>
      <c r="O2" s="251"/>
      <c r="P2" s="251"/>
      <c r="Q2" s="407"/>
      <c r="R2" s="285"/>
      <c r="S2" s="414">
        <v>0</v>
      </c>
      <c r="T2" s="453">
        <v>0</v>
      </c>
      <c r="U2" s="453">
        <v>0</v>
      </c>
      <c r="V2" s="414">
        <v>0</v>
      </c>
      <c r="W2" s="412">
        <v>0</v>
      </c>
      <c r="X2" s="412">
        <v>0</v>
      </c>
      <c r="Y2" s="412">
        <v>0</v>
      </c>
      <c r="Z2" s="412">
        <v>1</v>
      </c>
      <c r="AA2" s="285">
        <v>0</v>
      </c>
      <c r="AB2" s="285"/>
      <c r="AC2" s="285"/>
      <c r="AD2" s="285"/>
      <c r="AE2" s="285"/>
      <c r="AF2" s="285"/>
      <c r="AG2" s="285"/>
      <c r="AH2" s="285"/>
      <c r="AS2" s="435">
        <f>SUM(AS4:AS14)*$BV$3</f>
        <v>0</v>
      </c>
      <c r="AT2" s="435">
        <f>SUM(AT4:AT14)*$BV$3</f>
        <v>0</v>
      </c>
      <c r="AU2" s="435">
        <f>SUM(AU4:AU14)*$BV$2</f>
        <v>0</v>
      </c>
      <c r="AV2" s="435">
        <f>SUM(AV4:AV14)*$BV$4</f>
        <v>0</v>
      </c>
      <c r="AW2" s="435">
        <f>SUM(AW4:AW14)*$BV$5</f>
        <v>0</v>
      </c>
      <c r="AX2" s="435">
        <f>SUM(AX4:AX14)*$BV$5</f>
        <v>0</v>
      </c>
      <c r="AY2" s="435">
        <f>SUM(AY4:AY14)*$BV$6</f>
        <v>0</v>
      </c>
      <c r="AZ2" s="436">
        <f>SUM(AZ4:AZ14)</f>
        <v>0.20999999999999985</v>
      </c>
      <c r="BA2" s="436">
        <f>SUM(BA4:BA14)</f>
        <v>0.21499999999999986</v>
      </c>
      <c r="BB2" s="436">
        <f t="shared" ref="BB2:BC2" si="0">SUM(BB4:BB14)</f>
        <v>12.821249999999999</v>
      </c>
      <c r="BC2" s="436">
        <f t="shared" si="0"/>
        <v>0</v>
      </c>
      <c r="BG2" s="435">
        <f>SUM(BG4:BG14)*$BV$3</f>
        <v>0</v>
      </c>
      <c r="BH2" s="435">
        <f>SUM(BH4:BH14)*$BV$3</f>
        <v>0</v>
      </c>
      <c r="BI2" s="435">
        <f>SUM(BI4:BI14)*$BV$2</f>
        <v>0</v>
      </c>
      <c r="BJ2" s="435">
        <f>SUM(BJ4:BJ14)*$BV$4</f>
        <v>0</v>
      </c>
      <c r="BK2" s="435">
        <f>SUM(BK4:BK14)*$BV$5</f>
        <v>0</v>
      </c>
      <c r="BL2" s="435">
        <f>SUM(BL4:BL14)*$BV$5</f>
        <v>0</v>
      </c>
      <c r="BM2" s="435">
        <f>SUM(BM4:BM14)*$BV$6</f>
        <v>0</v>
      </c>
      <c r="BN2" s="436">
        <f>SUM(BN4:BN14)</f>
        <v>0.21799999999999992</v>
      </c>
      <c r="BO2" s="436">
        <f>SUM(BO4:BO14)</f>
        <v>0.22299999999999995</v>
      </c>
      <c r="BP2" s="436">
        <f t="shared" ref="BP2:BQ2" si="1">SUM(BP4:BP14)</f>
        <v>17.140499999999999</v>
      </c>
      <c r="BQ2" s="436">
        <f t="shared" si="1"/>
        <v>0</v>
      </c>
      <c r="BS2" s="256" t="s">
        <v>610</v>
      </c>
      <c r="BT2" s="440">
        <v>1</v>
      </c>
      <c r="BU2" s="441">
        <v>0.624</v>
      </c>
      <c r="BV2" s="442">
        <v>0.245</v>
      </c>
      <c r="BW2" s="333">
        <f>BV2*10</f>
        <v>2.4500000000000002</v>
      </c>
      <c r="BX2" s="333">
        <f>BV2*15</f>
        <v>3.6749999999999998</v>
      </c>
    </row>
    <row r="3" spans="1:76" ht="18.75" x14ac:dyDescent="0.3">
      <c r="A3" s="299" t="s">
        <v>413</v>
      </c>
      <c r="B3" s="299" t="s">
        <v>276</v>
      </c>
      <c r="C3" s="300" t="s">
        <v>455</v>
      </c>
      <c r="D3" s="301" t="s">
        <v>179</v>
      </c>
      <c r="E3" s="299" t="s">
        <v>180</v>
      </c>
      <c r="F3" s="299" t="s">
        <v>62</v>
      </c>
      <c r="G3" s="299" t="s">
        <v>182</v>
      </c>
      <c r="H3" s="299" t="s">
        <v>183</v>
      </c>
      <c r="I3" s="299" t="s">
        <v>175</v>
      </c>
      <c r="J3" s="299" t="s">
        <v>297</v>
      </c>
      <c r="K3" s="299" t="s">
        <v>185</v>
      </c>
      <c r="L3" s="299" t="s">
        <v>186</v>
      </c>
      <c r="M3" s="299" t="s">
        <v>187</v>
      </c>
      <c r="N3" s="299" t="s">
        <v>188</v>
      </c>
      <c r="O3" s="299" t="s">
        <v>189</v>
      </c>
      <c r="P3" s="299" t="s">
        <v>182</v>
      </c>
      <c r="Q3" s="409" t="s">
        <v>180</v>
      </c>
      <c r="R3" s="409" t="s">
        <v>62</v>
      </c>
      <c r="S3" s="408" t="s">
        <v>297</v>
      </c>
      <c r="T3" s="408" t="s">
        <v>185</v>
      </c>
      <c r="U3" s="408" t="s">
        <v>186</v>
      </c>
      <c r="V3" s="408" t="s">
        <v>187</v>
      </c>
      <c r="W3" s="408" t="s">
        <v>188</v>
      </c>
      <c r="X3" s="408" t="s">
        <v>189</v>
      </c>
      <c r="Y3" s="408" t="s">
        <v>723</v>
      </c>
      <c r="Z3" s="408" t="s">
        <v>182</v>
      </c>
      <c r="AA3" s="408" t="s">
        <v>175</v>
      </c>
      <c r="AB3" s="408" t="s">
        <v>297</v>
      </c>
      <c r="AC3" s="408" t="s">
        <v>185</v>
      </c>
      <c r="AD3" s="408" t="s">
        <v>186</v>
      </c>
      <c r="AE3" s="408" t="s">
        <v>187</v>
      </c>
      <c r="AF3" s="408" t="s">
        <v>188</v>
      </c>
      <c r="AG3" s="408" t="s">
        <v>189</v>
      </c>
      <c r="AH3" s="408" t="s">
        <v>182</v>
      </c>
      <c r="AI3" s="408" t="s">
        <v>297</v>
      </c>
      <c r="AJ3" s="408" t="s">
        <v>185</v>
      </c>
      <c r="AK3" s="408" t="s">
        <v>186</v>
      </c>
      <c r="AL3" s="408" t="s">
        <v>187</v>
      </c>
      <c r="AM3" s="408" t="s">
        <v>188</v>
      </c>
      <c r="AN3" s="408" t="s">
        <v>189</v>
      </c>
      <c r="AO3" s="408" t="s">
        <v>182</v>
      </c>
      <c r="AQ3" s="699" t="s">
        <v>719</v>
      </c>
      <c r="AR3" s="700"/>
      <c r="AS3" s="331" t="s">
        <v>467</v>
      </c>
      <c r="AT3" s="331" t="s">
        <v>468</v>
      </c>
      <c r="AU3" s="331" t="s">
        <v>489</v>
      </c>
      <c r="AV3" s="331" t="s">
        <v>469</v>
      </c>
      <c r="AW3" s="331" t="s">
        <v>470</v>
      </c>
      <c r="AX3" s="331" t="s">
        <v>471</v>
      </c>
      <c r="AY3" s="331" t="s">
        <v>472</v>
      </c>
      <c r="AZ3" s="331" t="s">
        <v>734</v>
      </c>
      <c r="BA3" s="331" t="s">
        <v>735</v>
      </c>
      <c r="BB3" s="331" t="s">
        <v>565</v>
      </c>
      <c r="BC3" s="331" t="s">
        <v>604</v>
      </c>
      <c r="BE3" s="699" t="s">
        <v>721</v>
      </c>
      <c r="BF3" s="700"/>
      <c r="BG3" s="331" t="s">
        <v>467</v>
      </c>
      <c r="BH3" s="331" t="s">
        <v>468</v>
      </c>
      <c r="BI3" s="331" t="s">
        <v>489</v>
      </c>
      <c r="BJ3" s="331" t="s">
        <v>469</v>
      </c>
      <c r="BK3" s="331" t="s">
        <v>470</v>
      </c>
      <c r="BL3" s="331" t="s">
        <v>471</v>
      </c>
      <c r="BM3" s="331" t="s">
        <v>472</v>
      </c>
      <c r="BN3" s="331" t="s">
        <v>734</v>
      </c>
      <c r="BO3" s="331" t="s">
        <v>735</v>
      </c>
      <c r="BP3" s="331" t="s">
        <v>565</v>
      </c>
      <c r="BQ3" s="331" t="s">
        <v>604</v>
      </c>
      <c r="BS3" s="256" t="s">
        <v>611</v>
      </c>
      <c r="BT3" s="440">
        <v>1</v>
      </c>
      <c r="BU3" s="441">
        <v>1.002</v>
      </c>
      <c r="BV3" s="442">
        <v>0.34</v>
      </c>
      <c r="BW3" s="333">
        <f t="shared" ref="BW3:BW6" si="2">BV3*10</f>
        <v>3.4000000000000004</v>
      </c>
      <c r="BX3" s="333">
        <f t="shared" ref="BX3:BX6" si="3">BV3*15</f>
        <v>5.1000000000000005</v>
      </c>
    </row>
    <row r="4" spans="1:76" s="259" customFormat="1" ht="18.75" x14ac:dyDescent="0.3">
      <c r="A4" s="384" t="s">
        <v>403</v>
      </c>
      <c r="B4" s="384" t="s">
        <v>1</v>
      </c>
      <c r="C4" s="261">
        <f ca="1">((33*112)-(E4*112)-(F4))/112</f>
        <v>1.125</v>
      </c>
      <c r="D4" s="294" t="str">
        <f>PLANTILLA!D5</f>
        <v>D. Gehmacher</v>
      </c>
      <c r="E4" s="387">
        <f>PLANTILLA!E5</f>
        <v>31</v>
      </c>
      <c r="F4" s="394">
        <f ca="1">PLANTILLA!F5</f>
        <v>98</v>
      </c>
      <c r="G4" s="388"/>
      <c r="H4" s="402">
        <v>7</v>
      </c>
      <c r="I4" s="308">
        <f>PLANTILLA!I5</f>
        <v>20.3</v>
      </c>
      <c r="J4" s="485">
        <f>PLANTILLA!X5</f>
        <v>16.666666666666668</v>
      </c>
      <c r="K4" s="485">
        <f>PLANTILLA!Y5</f>
        <v>12.080559440559444</v>
      </c>
      <c r="L4" s="485">
        <f>PLANTILLA!Z5</f>
        <v>2.0699999999999985</v>
      </c>
      <c r="M4" s="485">
        <f>PLANTILLA!AA5</f>
        <v>2.149999999999999</v>
      </c>
      <c r="N4" s="485">
        <f>PLANTILLA!AB5</f>
        <v>1.0400000000000003</v>
      </c>
      <c r="O4" s="485">
        <f>PLANTILLA!AC5</f>
        <v>0.14055555555555557</v>
      </c>
      <c r="P4" s="485">
        <f>PLANTILLA!AD5</f>
        <v>18.2</v>
      </c>
      <c r="Q4" s="410">
        <f t="shared" ref="Q4:Q23" si="4">E4</f>
        <v>31</v>
      </c>
      <c r="R4" s="411">
        <f t="shared" ref="R4:R23" ca="1" si="5">F4+7</f>
        <v>105</v>
      </c>
      <c r="S4" s="180"/>
      <c r="T4" s="180"/>
      <c r="U4" s="180"/>
      <c r="V4" s="180"/>
      <c r="W4" s="180"/>
      <c r="X4" s="180"/>
      <c r="Y4" s="180"/>
      <c r="Z4" s="180"/>
      <c r="AA4" s="296">
        <f t="shared" ref="AA4:AA23" si="6">I4+$AA$2</f>
        <v>20.3</v>
      </c>
      <c r="AB4" s="505">
        <f>J4+(S4*S$2/15)</f>
        <v>16.666666666666668</v>
      </c>
      <c r="AC4" s="505">
        <f>K4+(T$2/11)</f>
        <v>12.080559440559444</v>
      </c>
      <c r="AD4" s="505">
        <f>L4+(U$2/18)</f>
        <v>2.0699999999999985</v>
      </c>
      <c r="AE4" s="505">
        <f>M4+(V$2/12)</f>
        <v>2.149999999999999</v>
      </c>
      <c r="AF4" s="505">
        <f>N4+(W$2/11)</f>
        <v>1.0400000000000003</v>
      </c>
      <c r="AG4" s="505">
        <f>O4+(X$2/12)+(Y$2/5)</f>
        <v>0.14055555555555557</v>
      </c>
      <c r="AH4" s="505">
        <f>P4+(Z$2/2)+(Y$2/10)</f>
        <v>18.7</v>
      </c>
      <c r="AI4" s="423">
        <f t="shared" ref="AI4:AO4" si="7">AB4-J4</f>
        <v>0</v>
      </c>
      <c r="AJ4" s="423">
        <f t="shared" si="7"/>
        <v>0</v>
      </c>
      <c r="AK4" s="423">
        <f t="shared" si="7"/>
        <v>0</v>
      </c>
      <c r="AL4" s="423">
        <f t="shared" si="7"/>
        <v>0</v>
      </c>
      <c r="AM4" s="423">
        <f t="shared" si="7"/>
        <v>0</v>
      </c>
      <c r="AN4" s="423">
        <f t="shared" si="7"/>
        <v>0</v>
      </c>
      <c r="AO4" s="423">
        <f t="shared" si="7"/>
        <v>0.5</v>
      </c>
      <c r="AQ4" s="424" t="s">
        <v>1</v>
      </c>
      <c r="AR4" s="304" t="str">
        <f>D4</f>
        <v>D. Gehmacher</v>
      </c>
      <c r="AS4" s="429">
        <f>(AI4*0.597)+(AJ4*0.276)</f>
        <v>0</v>
      </c>
      <c r="AT4" s="429">
        <f>AS4</f>
        <v>0</v>
      </c>
      <c r="AU4" s="429">
        <f>(AI4*0.866)+(AJ4*0.425)</f>
        <v>0</v>
      </c>
      <c r="AV4" s="429">
        <v>0</v>
      </c>
      <c r="AW4" s="429">
        <v>0</v>
      </c>
      <c r="AX4" s="429">
        <v>0</v>
      </c>
      <c r="AY4" s="429">
        <v>0</v>
      </c>
      <c r="AZ4" s="553">
        <v>0</v>
      </c>
      <c r="BA4" s="553">
        <f>0.08*AI4+0.1*AO4</f>
        <v>0.05</v>
      </c>
      <c r="BB4" s="432">
        <v>0</v>
      </c>
      <c r="BC4" s="432">
        <v>0</v>
      </c>
      <c r="BE4" s="424" t="s">
        <v>1</v>
      </c>
      <c r="BF4" s="304" t="str">
        <f>D4</f>
        <v>D. Gehmacher</v>
      </c>
      <c r="BG4" s="429">
        <f t="shared" ref="BG4:BM4" si="8">AS4</f>
        <v>0</v>
      </c>
      <c r="BH4" s="429">
        <f t="shared" si="8"/>
        <v>0</v>
      </c>
      <c r="BI4" s="429">
        <f t="shared" si="8"/>
        <v>0</v>
      </c>
      <c r="BJ4" s="429">
        <f t="shared" si="8"/>
        <v>0</v>
      </c>
      <c r="BK4" s="429">
        <f t="shared" si="8"/>
        <v>0</v>
      </c>
      <c r="BL4" s="429">
        <f t="shared" si="8"/>
        <v>0</v>
      </c>
      <c r="BM4" s="429">
        <f t="shared" si="8"/>
        <v>0</v>
      </c>
      <c r="BN4" s="553">
        <f t="shared" ref="BN4" si="9">AZ4</f>
        <v>0</v>
      </c>
      <c r="BO4" s="553">
        <f t="shared" ref="BO4:BQ4" si="10">BA4</f>
        <v>0.05</v>
      </c>
      <c r="BP4" s="432">
        <f t="shared" si="10"/>
        <v>0</v>
      </c>
      <c r="BQ4" s="432">
        <f t="shared" si="10"/>
        <v>0</v>
      </c>
      <c r="BS4" s="256" t="s">
        <v>612</v>
      </c>
      <c r="BT4" s="440">
        <v>1</v>
      </c>
      <c r="BU4" s="441">
        <v>0.46800000000000003</v>
      </c>
      <c r="BV4" s="442">
        <v>0.125</v>
      </c>
      <c r="BW4" s="333">
        <f t="shared" si="2"/>
        <v>1.25</v>
      </c>
      <c r="BX4" s="333">
        <f t="shared" si="3"/>
        <v>1.875</v>
      </c>
    </row>
    <row r="5" spans="1:76" s="254" customFormat="1" ht="18.75" x14ac:dyDescent="0.3">
      <c r="A5" s="384" t="s">
        <v>484</v>
      </c>
      <c r="B5" s="384" t="s">
        <v>1</v>
      </c>
      <c r="C5" s="385">
        <f t="shared" ref="C5:C23" ca="1" si="11">((33*112)-(E5*112)-(F5))/112</f>
        <v>-2.9553571428571428</v>
      </c>
      <c r="D5" s="386" t="s">
        <v>267</v>
      </c>
      <c r="E5" s="387">
        <f>PLANTILLA!E6</f>
        <v>35</v>
      </c>
      <c r="F5" s="387">
        <f ca="1">PLANTILLA!F6</f>
        <v>107</v>
      </c>
      <c r="G5" s="388" t="s">
        <v>502</v>
      </c>
      <c r="H5" s="371">
        <v>4</v>
      </c>
      <c r="I5" s="308">
        <f>PLANTILLA!I6</f>
        <v>8.1999999999999993</v>
      </c>
      <c r="J5" s="485">
        <f>PLANTILLA!X6</f>
        <v>9.9499999999999993</v>
      </c>
      <c r="K5" s="485">
        <f>PLANTILLA!Y6</f>
        <v>9.9499999999999993</v>
      </c>
      <c r="L5" s="485">
        <f>PLANTILLA!Z6</f>
        <v>3.99</v>
      </c>
      <c r="M5" s="485">
        <f>PLANTILLA!AA6</f>
        <v>4.95</v>
      </c>
      <c r="N5" s="485">
        <f>PLANTILLA!AB6</f>
        <v>5.95</v>
      </c>
      <c r="O5" s="485">
        <f>PLANTILLA!AC6</f>
        <v>2.95</v>
      </c>
      <c r="P5" s="485">
        <f>PLANTILLA!AD6</f>
        <v>15.778888888888888</v>
      </c>
      <c r="Q5" s="410">
        <f t="shared" si="4"/>
        <v>35</v>
      </c>
      <c r="R5" s="411">
        <f t="shared" ca="1" si="5"/>
        <v>114</v>
      </c>
      <c r="S5" s="180"/>
      <c r="T5" s="180"/>
      <c r="U5" s="180"/>
      <c r="V5" s="180"/>
      <c r="W5" s="180"/>
      <c r="X5" s="180"/>
      <c r="Y5" s="180"/>
      <c r="Z5" s="180"/>
      <c r="AA5" s="296">
        <f t="shared" si="6"/>
        <v>8.1999999999999993</v>
      </c>
      <c r="AB5" s="505">
        <f>J5+(S5*S$2/6)</f>
        <v>9.9499999999999993</v>
      </c>
      <c r="AC5" s="505">
        <f>K5+(T$2/45)</f>
        <v>9.9499999999999993</v>
      </c>
      <c r="AD5" s="505">
        <f>L5+(U$2/34)</f>
        <v>3.99</v>
      </c>
      <c r="AE5" s="505">
        <f>M5+(V$2/22)</f>
        <v>4.95</v>
      </c>
      <c r="AF5" s="505">
        <f>N5+(W$2/28)</f>
        <v>5.95</v>
      </c>
      <c r="AG5" s="505">
        <f>O5+(X$2/24)+(Y$2/7)</f>
        <v>2.95</v>
      </c>
      <c r="AH5" s="505">
        <f>P5+(Z$2/2.5)+(Y$2/10)</f>
        <v>16.178888888888888</v>
      </c>
      <c r="AI5" s="423">
        <f t="shared" ref="AI5:AI23" si="12">AB5-J5</f>
        <v>0</v>
      </c>
      <c r="AJ5" s="423">
        <f t="shared" ref="AJ5:AJ23" si="13">AC5-K5</f>
        <v>0</v>
      </c>
      <c r="AK5" s="423">
        <f t="shared" ref="AK5:AK23" si="14">AD5-L5</f>
        <v>0</v>
      </c>
      <c r="AL5" s="423">
        <f t="shared" ref="AL5:AL23" si="15">AE5-M5</f>
        <v>0</v>
      </c>
      <c r="AM5" s="423">
        <f t="shared" ref="AM5:AM23" si="16">AF5-N5</f>
        <v>0</v>
      </c>
      <c r="AN5" s="423">
        <f t="shared" ref="AN5:AN23" si="17">AG5-O5</f>
        <v>0</v>
      </c>
      <c r="AO5" s="423">
        <f t="shared" ref="AO5:AO23" si="18">AH5-P5</f>
        <v>0.40000000000000036</v>
      </c>
      <c r="AQ5" s="425" t="s">
        <v>569</v>
      </c>
      <c r="AR5" s="305" t="str">
        <f>D20</f>
        <v>B. Pinczehelyi</v>
      </c>
      <c r="AS5" s="430">
        <f>(AJ20*0.919)</f>
        <v>0</v>
      </c>
      <c r="AT5" s="430">
        <v>0</v>
      </c>
      <c r="AU5" s="430">
        <f>AJ20*0.414</f>
        <v>0</v>
      </c>
      <c r="AV5" s="430">
        <f>AK20*0.167</f>
        <v>0</v>
      </c>
      <c r="AW5" s="430">
        <f>AL20*0.588</f>
        <v>0</v>
      </c>
      <c r="AX5" s="430">
        <v>0</v>
      </c>
      <c r="AY5" s="430">
        <v>0</v>
      </c>
      <c r="AZ5" s="433">
        <f>(0.5*AN20+0.3*AO20)/10</f>
        <v>0.03</v>
      </c>
      <c r="BA5" s="433">
        <f>(0.4*AJ20+0.3*AO20)/10</f>
        <v>0.03</v>
      </c>
      <c r="BB5" s="433">
        <f>((AC20+1)+(AF20+1)*2)/8</f>
        <v>4.5175000000000001</v>
      </c>
      <c r="BC5" s="433">
        <f>((AJ20)+(AM20)*2)/8</f>
        <v>0</v>
      </c>
      <c r="BE5" s="425" t="s">
        <v>569</v>
      </c>
      <c r="BF5" s="305" t="str">
        <f>AR19</f>
        <v>B. Pinczehelyi</v>
      </c>
      <c r="BG5" s="431">
        <f>AS19</f>
        <v>0</v>
      </c>
      <c r="BH5" s="431">
        <f t="shared" ref="BH5:BQ5" si="19">AT19</f>
        <v>0</v>
      </c>
      <c r="BI5" s="431">
        <f t="shared" si="19"/>
        <v>0</v>
      </c>
      <c r="BJ5" s="431">
        <f t="shared" si="19"/>
        <v>0</v>
      </c>
      <c r="BK5" s="431">
        <f t="shared" si="19"/>
        <v>0</v>
      </c>
      <c r="BL5" s="431">
        <f t="shared" si="19"/>
        <v>0</v>
      </c>
      <c r="BM5" s="431">
        <f t="shared" si="19"/>
        <v>0</v>
      </c>
      <c r="BN5" s="434">
        <f t="shared" si="19"/>
        <v>0.03</v>
      </c>
      <c r="BO5" s="434">
        <f t="shared" si="19"/>
        <v>0.03</v>
      </c>
      <c r="BP5" s="434">
        <f t="shared" si="19"/>
        <v>4.5175000000000001</v>
      </c>
      <c r="BQ5" s="434">
        <f t="shared" si="19"/>
        <v>0</v>
      </c>
      <c r="BS5" s="256" t="s">
        <v>613</v>
      </c>
      <c r="BT5" s="440">
        <v>1</v>
      </c>
      <c r="BU5" s="441">
        <v>0.877</v>
      </c>
      <c r="BV5" s="442">
        <v>0.25</v>
      </c>
      <c r="BW5" s="333">
        <f t="shared" si="2"/>
        <v>2.5</v>
      </c>
      <c r="BX5" s="333">
        <f t="shared" si="3"/>
        <v>3.75</v>
      </c>
    </row>
    <row r="6" spans="1:76" s="263" customFormat="1" ht="18.75" x14ac:dyDescent="0.3">
      <c r="A6" s="384" t="s">
        <v>504</v>
      </c>
      <c r="B6" s="260" t="s">
        <v>2</v>
      </c>
      <c r="C6" s="261" t="e">
        <f t="shared" si="11"/>
        <v>#REF!</v>
      </c>
      <c r="D6" s="294" t="s">
        <v>274</v>
      </c>
      <c r="E6" s="387" t="e">
        <f>PLANTILLA!#REF!</f>
        <v>#REF!</v>
      </c>
      <c r="F6" s="387" t="e">
        <f>PLANTILLA!#REF!</f>
        <v>#REF!</v>
      </c>
      <c r="G6" s="388"/>
      <c r="H6" s="393">
        <v>5</v>
      </c>
      <c r="I6" s="308" t="e">
        <f>PLANTILLA!#REF!</f>
        <v>#REF!</v>
      </c>
      <c r="J6" s="485" t="e">
        <f>PLANTILLA!#REF!</f>
        <v>#REF!</v>
      </c>
      <c r="K6" s="485" t="e">
        <f>PLANTILLA!#REF!</f>
        <v>#REF!</v>
      </c>
      <c r="L6" s="485" t="e">
        <f>PLANTILLA!#REF!</f>
        <v>#REF!</v>
      </c>
      <c r="M6" s="485" t="e">
        <f>PLANTILLA!#REF!</f>
        <v>#REF!</v>
      </c>
      <c r="N6" s="485" t="e">
        <f>PLANTILLA!#REF!</f>
        <v>#REF!</v>
      </c>
      <c r="O6" s="485" t="e">
        <f>PLANTILLA!#REF!</f>
        <v>#REF!</v>
      </c>
      <c r="P6" s="485" t="e">
        <f>PLANTILLA!#REF!</f>
        <v>#REF!</v>
      </c>
      <c r="Q6" s="410" t="e">
        <f t="shared" si="4"/>
        <v>#REF!</v>
      </c>
      <c r="R6" s="411" t="e">
        <f t="shared" si="5"/>
        <v>#REF!</v>
      </c>
      <c r="S6" s="180"/>
      <c r="T6" s="180"/>
      <c r="U6" s="180"/>
      <c r="V6" s="180"/>
      <c r="W6" s="180"/>
      <c r="X6" s="180"/>
      <c r="Y6" s="180"/>
      <c r="Z6" s="180"/>
      <c r="AA6" s="296" t="e">
        <f t="shared" si="6"/>
        <v>#REF!</v>
      </c>
      <c r="AB6" s="505" t="e">
        <f t="shared" ref="AB6:AB23" si="20">J6+(S6*S$2/5)</f>
        <v>#REF!</v>
      </c>
      <c r="AC6" s="505" t="e">
        <f>K6+(T$2/53)</f>
        <v>#REF!</v>
      </c>
      <c r="AD6" s="505" t="e">
        <f>L6+(U$2/32)</f>
        <v>#REF!</v>
      </c>
      <c r="AE6" s="505" t="e">
        <f>M6+(V$2/17)</f>
        <v>#REF!</v>
      </c>
      <c r="AF6" s="505" t="e">
        <f>N6+(W$2/23)</f>
        <v>#REF!</v>
      </c>
      <c r="AG6" s="505" t="e">
        <f>O6+(X$2/17)+(Y$2/5)</f>
        <v>#REF!</v>
      </c>
      <c r="AH6" s="505" t="e">
        <f>P6+(Z$2/2)+(Y$2/10)</f>
        <v>#REF!</v>
      </c>
      <c r="AI6" s="423" t="e">
        <f t="shared" si="12"/>
        <v>#REF!</v>
      </c>
      <c r="AJ6" s="423" t="e">
        <f t="shared" si="13"/>
        <v>#REF!</v>
      </c>
      <c r="AK6" s="423" t="e">
        <f t="shared" si="14"/>
        <v>#REF!</v>
      </c>
      <c r="AL6" s="423" t="e">
        <f t="shared" si="15"/>
        <v>#REF!</v>
      </c>
      <c r="AM6" s="423" t="e">
        <f t="shared" si="16"/>
        <v>#REF!</v>
      </c>
      <c r="AN6" s="423" t="e">
        <f t="shared" si="17"/>
        <v>#REF!</v>
      </c>
      <c r="AO6" s="423" t="e">
        <f t="shared" si="18"/>
        <v>#REF!</v>
      </c>
      <c r="AQ6" s="426" t="s">
        <v>601</v>
      </c>
      <c r="AR6" s="305" t="str">
        <f>D16</f>
        <v>E. Gross</v>
      </c>
      <c r="AS6" s="431">
        <f>AJ16*0.378</f>
        <v>0</v>
      </c>
      <c r="AT6" s="431">
        <f>AS6</f>
        <v>0</v>
      </c>
      <c r="AU6" s="431">
        <f>AJ16*1</f>
        <v>0</v>
      </c>
      <c r="AV6" s="431">
        <f>AK16*0.236</f>
        <v>0</v>
      </c>
      <c r="AW6" s="431">
        <v>0</v>
      </c>
      <c r="AX6" s="431">
        <v>0</v>
      </c>
      <c r="AY6" s="431">
        <v>0</v>
      </c>
      <c r="AZ6" s="434">
        <f>(0.5*AN16+0.3*AO16)/10</f>
        <v>1.1999999999999957E-2</v>
      </c>
      <c r="BA6" s="434">
        <f>(0.4*AJ16+0.3*AO16)/10</f>
        <v>1.1999999999999957E-2</v>
      </c>
      <c r="BB6" s="433">
        <f>((AC16+1)+(AF16+1)*2)/8</f>
        <v>4.0037499999999993</v>
      </c>
      <c r="BC6" s="433">
        <f>((AJ16)+(AM16)*2)/8</f>
        <v>0</v>
      </c>
      <c r="BE6" s="426" t="s">
        <v>648</v>
      </c>
      <c r="BF6" s="260" t="str">
        <f>BF20</f>
        <v>D. Toh</v>
      </c>
      <c r="BG6" s="431">
        <f>BG20</f>
        <v>0</v>
      </c>
      <c r="BH6" s="431">
        <f t="shared" ref="BH6:BM6" si="21">BH20</f>
        <v>0</v>
      </c>
      <c r="BI6" s="431">
        <f t="shared" si="21"/>
        <v>0</v>
      </c>
      <c r="BJ6" s="431">
        <f t="shared" si="21"/>
        <v>0</v>
      </c>
      <c r="BK6" s="431">
        <f t="shared" si="21"/>
        <v>0</v>
      </c>
      <c r="BL6" s="431">
        <f t="shared" si="21"/>
        <v>0</v>
      </c>
      <c r="BM6" s="431">
        <f t="shared" si="21"/>
        <v>0</v>
      </c>
      <c r="BN6" s="434">
        <f>(0.5*AN7+0.3*AO7)/10</f>
        <v>1.2000000000000011E-2</v>
      </c>
      <c r="BO6" s="434">
        <f>(0.4*AJ7+0.3*AO7)/10</f>
        <v>1.2000000000000011E-2</v>
      </c>
      <c r="BP6" s="433">
        <f>((AC7+1)+(AF7+1)*2)/8</f>
        <v>3.6903611111111116</v>
      </c>
      <c r="BQ6" s="433">
        <f>((AJ7)+(AM7)*2)/8</f>
        <v>0</v>
      </c>
      <c r="BS6" s="256" t="s">
        <v>614</v>
      </c>
      <c r="BT6" s="440">
        <v>1</v>
      </c>
      <c r="BU6" s="441">
        <v>0.59299999999999997</v>
      </c>
      <c r="BV6" s="442">
        <v>0.19</v>
      </c>
      <c r="BW6" s="333">
        <f t="shared" si="2"/>
        <v>1.9</v>
      </c>
      <c r="BX6" s="333">
        <f t="shared" si="3"/>
        <v>2.85</v>
      </c>
    </row>
    <row r="7" spans="1:76" s="263" customFormat="1" x14ac:dyDescent="0.25">
      <c r="A7" s="305" t="s">
        <v>582</v>
      </c>
      <c r="B7" s="260" t="s">
        <v>2</v>
      </c>
      <c r="C7" s="261">
        <f t="shared" ca="1" si="11"/>
        <v>-0.38392857142857145</v>
      </c>
      <c r="D7" s="294" t="s">
        <v>275</v>
      </c>
      <c r="E7" s="387">
        <f>PLANTILLA!E8</f>
        <v>33</v>
      </c>
      <c r="F7" s="387">
        <f ca="1">PLANTILLA!F8</f>
        <v>43</v>
      </c>
      <c r="G7" s="388" t="s">
        <v>502</v>
      </c>
      <c r="H7" s="393">
        <v>5</v>
      </c>
      <c r="I7" s="308">
        <f>PLANTILLA!I8</f>
        <v>8.4</v>
      </c>
      <c r="J7" s="485">
        <f>PLANTILLA!X8</f>
        <v>0</v>
      </c>
      <c r="K7" s="485">
        <f>PLANTILLA!Y8</f>
        <v>11.077333333333334</v>
      </c>
      <c r="L7" s="485">
        <f>PLANTILLA!Z8</f>
        <v>6.2194444444444406</v>
      </c>
      <c r="M7" s="485">
        <f>PLANTILLA!AA8</f>
        <v>5.95</v>
      </c>
      <c r="N7" s="485">
        <f>PLANTILLA!AB8</f>
        <v>7.7227777777777789</v>
      </c>
      <c r="O7" s="485">
        <f>PLANTILLA!AC8</f>
        <v>3.9933333333333318</v>
      </c>
      <c r="P7" s="485">
        <f>PLANTILLA!AD8</f>
        <v>15.587777777777776</v>
      </c>
      <c r="Q7" s="410">
        <f t="shared" si="4"/>
        <v>33</v>
      </c>
      <c r="R7" s="411">
        <f t="shared" ca="1" si="5"/>
        <v>50</v>
      </c>
      <c r="S7" s="180"/>
      <c r="T7" s="180"/>
      <c r="U7" s="180"/>
      <c r="V7" s="180"/>
      <c r="W7" s="180"/>
      <c r="X7" s="180"/>
      <c r="Y7" s="180"/>
      <c r="Z7" s="180"/>
      <c r="AA7" s="296">
        <f t="shared" si="6"/>
        <v>8.4</v>
      </c>
      <c r="AB7" s="505">
        <f t="shared" si="20"/>
        <v>0</v>
      </c>
      <c r="AC7" s="505">
        <f>K7+(T$2/11)</f>
        <v>11.077333333333334</v>
      </c>
      <c r="AD7" s="505">
        <f>L7+(U$2/6.5)</f>
        <v>6.2194444444444406</v>
      </c>
      <c r="AE7" s="505">
        <f>M7+(V$2/62)</f>
        <v>5.95</v>
      </c>
      <c r="AF7" s="505">
        <f>N7+(W$2/7)</f>
        <v>7.7227777777777789</v>
      </c>
      <c r="AG7" s="505">
        <f>O7+(X$2/21)+(Y$2/7)</f>
        <v>3.9933333333333318</v>
      </c>
      <c r="AH7" s="505">
        <f>P7+(Z$2/2.5)+(Y$2/10)</f>
        <v>15.987777777777776</v>
      </c>
      <c r="AI7" s="423">
        <f t="shared" si="12"/>
        <v>0</v>
      </c>
      <c r="AJ7" s="423">
        <f t="shared" si="13"/>
        <v>0</v>
      </c>
      <c r="AK7" s="423">
        <f t="shared" si="14"/>
        <v>0</v>
      </c>
      <c r="AL7" s="423">
        <f t="shared" si="15"/>
        <v>0</v>
      </c>
      <c r="AM7" s="423">
        <f t="shared" si="16"/>
        <v>0</v>
      </c>
      <c r="AN7" s="423">
        <f t="shared" si="17"/>
        <v>0</v>
      </c>
      <c r="AO7" s="423">
        <f t="shared" si="18"/>
        <v>0.40000000000000036</v>
      </c>
      <c r="AQ7" s="426" t="s">
        <v>569</v>
      </c>
      <c r="AR7" s="305" t="str">
        <f>D8</f>
        <v>E. Toney</v>
      </c>
      <c r="AS7" s="431">
        <v>0</v>
      </c>
      <c r="AT7" s="431">
        <f>AJ8*0.919</f>
        <v>0</v>
      </c>
      <c r="AU7" s="431">
        <f>AJ8*0.414</f>
        <v>0</v>
      </c>
      <c r="AV7" s="431">
        <f>AK8*0.167</f>
        <v>0</v>
      </c>
      <c r="AW7" s="431">
        <v>0</v>
      </c>
      <c r="AX7" s="431">
        <f>AL8*0.588</f>
        <v>0</v>
      </c>
      <c r="AY7" s="431">
        <v>0</v>
      </c>
      <c r="AZ7" s="434">
        <f>(0.5*AN8+0.3*AO8)/10</f>
        <v>1.1999999999999957E-2</v>
      </c>
      <c r="BA7" s="434">
        <f>(0.4*AJ8+0.3*AO8)/10</f>
        <v>1.1999999999999957E-2</v>
      </c>
      <c r="BB7" s="433">
        <f>((AC8+1)+(AF8+1)*2)/8</f>
        <v>4.3000000000000007</v>
      </c>
      <c r="BC7" s="433">
        <f>((AJ8)+(AM8)*2)/8</f>
        <v>0</v>
      </c>
      <c r="BE7" s="426" t="s">
        <v>569</v>
      </c>
      <c r="BF7" s="260" t="str">
        <f>BF23</f>
        <v>E.Romweber</v>
      </c>
      <c r="BG7" s="431">
        <f>BG23</f>
        <v>0</v>
      </c>
      <c r="BH7" s="431">
        <f t="shared" ref="BH7:BM7" si="22">BH23</f>
        <v>0</v>
      </c>
      <c r="BI7" s="431">
        <f t="shared" si="22"/>
        <v>0</v>
      </c>
      <c r="BJ7" s="431">
        <f t="shared" si="22"/>
        <v>0</v>
      </c>
      <c r="BK7" s="431">
        <f t="shared" si="22"/>
        <v>0</v>
      </c>
      <c r="BL7" s="431">
        <f t="shared" si="22"/>
        <v>0</v>
      </c>
      <c r="BM7" s="431">
        <f t="shared" si="22"/>
        <v>0</v>
      </c>
      <c r="BN7" s="434">
        <f>BN23</f>
        <v>1.1999999999999957E-2</v>
      </c>
      <c r="BO7" s="434">
        <f t="shared" ref="BO7:BQ7" si="23">BO23</f>
        <v>1.1999999999999957E-2</v>
      </c>
      <c r="BP7" s="434">
        <f t="shared" si="23"/>
        <v>4.6326388888888888</v>
      </c>
      <c r="BQ7" s="434">
        <f t="shared" si="23"/>
        <v>0</v>
      </c>
    </row>
    <row r="8" spans="1:76" s="264" customFormat="1" x14ac:dyDescent="0.25">
      <c r="A8" s="384" t="s">
        <v>407</v>
      </c>
      <c r="B8" s="384" t="s">
        <v>2</v>
      </c>
      <c r="C8" s="385">
        <f t="shared" ca="1" si="11"/>
        <v>2.6785714285714284E-2</v>
      </c>
      <c r="D8" s="386" t="s">
        <v>269</v>
      </c>
      <c r="E8" s="387">
        <f>PLANTILLA!E9</f>
        <v>32</v>
      </c>
      <c r="F8" s="387">
        <f ca="1">PLANTILLA!F9</f>
        <v>109</v>
      </c>
      <c r="G8" s="388"/>
      <c r="H8" s="393">
        <v>5</v>
      </c>
      <c r="I8" s="308">
        <f>PLANTILLA!I9</f>
        <v>14.3</v>
      </c>
      <c r="J8" s="485">
        <f>PLANTILLA!X9</f>
        <v>0</v>
      </c>
      <c r="K8" s="485">
        <f>PLANTILLA!Y9</f>
        <v>12.200000000000005</v>
      </c>
      <c r="L8" s="485">
        <f>PLANTILLA!Z9</f>
        <v>13.261555555555553</v>
      </c>
      <c r="M8" s="485">
        <f>PLANTILLA!AA9</f>
        <v>9.8750000000000053</v>
      </c>
      <c r="N8" s="485">
        <f>PLANTILLA!AB9</f>
        <v>9.6</v>
      </c>
      <c r="O8" s="485">
        <f>PLANTILLA!AC9</f>
        <v>3.6816666666666658</v>
      </c>
      <c r="P8" s="485">
        <f>PLANTILLA!AD9</f>
        <v>17.177777777777774</v>
      </c>
      <c r="Q8" s="410">
        <f t="shared" si="4"/>
        <v>32</v>
      </c>
      <c r="R8" s="411">
        <f t="shared" ca="1" si="5"/>
        <v>116</v>
      </c>
      <c r="S8" s="180"/>
      <c r="T8" s="180"/>
      <c r="U8" s="180"/>
      <c r="V8" s="180"/>
      <c r="W8" s="180"/>
      <c r="X8" s="180"/>
      <c r="Y8" s="180"/>
      <c r="Z8" s="180"/>
      <c r="AA8" s="296">
        <f t="shared" si="6"/>
        <v>14.3</v>
      </c>
      <c r="AB8" s="505">
        <f t="shared" si="20"/>
        <v>0</v>
      </c>
      <c r="AC8" s="505">
        <f>K8+(T$2/11)</f>
        <v>12.200000000000005</v>
      </c>
      <c r="AD8" s="505">
        <f>L8+(U$2/29)</f>
        <v>13.261555555555553</v>
      </c>
      <c r="AE8" s="505">
        <f>M8+(V$2/13)</f>
        <v>9.8750000000000053</v>
      </c>
      <c r="AF8" s="505">
        <f>N8+(W$2/8)</f>
        <v>9.6</v>
      </c>
      <c r="AG8" s="505">
        <f>O8+(X$2/19)+(Y$2/6)</f>
        <v>3.6816666666666658</v>
      </c>
      <c r="AH8" s="505">
        <f>P8+(Z$2/2.5)+(Y$2/10)</f>
        <v>17.577777777777772</v>
      </c>
      <c r="AI8" s="423">
        <f t="shared" si="12"/>
        <v>0</v>
      </c>
      <c r="AJ8" s="423">
        <f t="shared" si="13"/>
        <v>0</v>
      </c>
      <c r="AK8" s="423">
        <f t="shared" si="14"/>
        <v>0</v>
      </c>
      <c r="AL8" s="423">
        <f t="shared" si="15"/>
        <v>0</v>
      </c>
      <c r="AM8" s="423">
        <f t="shared" si="16"/>
        <v>0</v>
      </c>
      <c r="AN8" s="423">
        <f t="shared" si="17"/>
        <v>0</v>
      </c>
      <c r="AO8" s="423">
        <f t="shared" si="18"/>
        <v>0.39999999999999858</v>
      </c>
      <c r="AQ8" s="528" t="s">
        <v>649</v>
      </c>
      <c r="AR8" s="304" t="str">
        <f>D11</f>
        <v>E.Romweber</v>
      </c>
      <c r="AS8" s="429">
        <f>AJ11*0.349</f>
        <v>0</v>
      </c>
      <c r="AT8" s="429">
        <v>0</v>
      </c>
      <c r="AU8" s="429">
        <f>AJ11*0.201</f>
        <v>0</v>
      </c>
      <c r="AV8" s="429">
        <f>AK11*0.455</f>
        <v>0</v>
      </c>
      <c r="AW8" s="429">
        <f>(AL11*0.864)+(AM11*0.244)</f>
        <v>0</v>
      </c>
      <c r="AX8" s="429">
        <v>0</v>
      </c>
      <c r="AY8" s="429">
        <f>(AM11*0.121)</f>
        <v>0</v>
      </c>
      <c r="AZ8" s="434">
        <f>(0.5*AN11+0.3*AO11)/10</f>
        <v>1.1999999999999957E-2</v>
      </c>
      <c r="BA8" s="434">
        <f>(0.4*AJ11+0.3*AO11)/10</f>
        <v>1.1999999999999957E-2</v>
      </c>
      <c r="BB8" s="432">
        <v>0</v>
      </c>
      <c r="BC8" s="432">
        <v>0</v>
      </c>
      <c r="BE8" s="528" t="s">
        <v>650</v>
      </c>
      <c r="BF8" s="304" t="str">
        <f>D12</f>
        <v>K. Helms</v>
      </c>
      <c r="BG8" s="431">
        <f>BG24</f>
        <v>0</v>
      </c>
      <c r="BH8" s="431">
        <f t="shared" ref="BH8:BQ8" si="24">BH24</f>
        <v>0</v>
      </c>
      <c r="BI8" s="431">
        <f t="shared" si="24"/>
        <v>0</v>
      </c>
      <c r="BJ8" s="431">
        <f t="shared" si="24"/>
        <v>0</v>
      </c>
      <c r="BK8" s="431">
        <f t="shared" si="24"/>
        <v>0</v>
      </c>
      <c r="BL8" s="431">
        <f t="shared" si="24"/>
        <v>0</v>
      </c>
      <c r="BM8" s="431">
        <f t="shared" si="24"/>
        <v>0</v>
      </c>
      <c r="BN8" s="434">
        <f t="shared" si="24"/>
        <v>1.1999999999999957E-2</v>
      </c>
      <c r="BO8" s="434">
        <f t="shared" si="24"/>
        <v>1.1999999999999957E-2</v>
      </c>
      <c r="BP8" s="434">
        <f t="shared" si="24"/>
        <v>0</v>
      </c>
      <c r="BQ8" s="434">
        <f t="shared" si="24"/>
        <v>0</v>
      </c>
    </row>
    <row r="9" spans="1:76" s="263" customFormat="1" x14ac:dyDescent="0.25">
      <c r="A9" s="384" t="s">
        <v>411</v>
      </c>
      <c r="B9" s="260" t="s">
        <v>2</v>
      </c>
      <c r="C9" s="261">
        <f t="shared" ca="1" si="11"/>
        <v>0.16071428571428573</v>
      </c>
      <c r="D9" s="294" t="s">
        <v>273</v>
      </c>
      <c r="E9" s="387">
        <f>PLANTILLA!E10</f>
        <v>32</v>
      </c>
      <c r="F9" s="387">
        <f ca="1">PLANTILLA!F10</f>
        <v>94</v>
      </c>
      <c r="G9" s="388"/>
      <c r="H9" s="371">
        <v>4</v>
      </c>
      <c r="I9" s="308">
        <f>PLANTILLA!I10</f>
        <v>10.4</v>
      </c>
      <c r="J9" s="485">
        <f>PLANTILLA!X10</f>
        <v>0</v>
      </c>
      <c r="K9" s="485">
        <f>PLANTILLA!Y10</f>
        <v>12</v>
      </c>
      <c r="L9" s="485">
        <f>PLANTILLA!Z10</f>
        <v>6.95</v>
      </c>
      <c r="M9" s="485">
        <f>PLANTILLA!AA10</f>
        <v>7.5000000000000018</v>
      </c>
      <c r="N9" s="485">
        <f>PLANTILLA!AB10</f>
        <v>8.9499999999999993</v>
      </c>
      <c r="O9" s="485">
        <f>PLANTILLA!AC10</f>
        <v>3.95</v>
      </c>
      <c r="P9" s="485">
        <f>PLANTILLA!AD10</f>
        <v>16</v>
      </c>
      <c r="Q9" s="410">
        <f t="shared" si="4"/>
        <v>32</v>
      </c>
      <c r="R9" s="411">
        <f t="shared" ca="1" si="5"/>
        <v>101</v>
      </c>
      <c r="S9" s="180"/>
      <c r="T9" s="180"/>
      <c r="U9" s="180"/>
      <c r="V9" s="180"/>
      <c r="W9" s="180"/>
      <c r="X9" s="180"/>
      <c r="Y9" s="180"/>
      <c r="Z9" s="180"/>
      <c r="AA9" s="296">
        <f t="shared" si="6"/>
        <v>10.4</v>
      </c>
      <c r="AB9" s="505">
        <f t="shared" si="20"/>
        <v>0</v>
      </c>
      <c r="AC9" s="505">
        <f>K9+(T$2/10)</f>
        <v>12</v>
      </c>
      <c r="AD9" s="505">
        <f>L9+(U$2/31)</f>
        <v>6.95</v>
      </c>
      <c r="AE9" s="505">
        <f>M9+(V$2/6)</f>
        <v>7.5000000000000018</v>
      </c>
      <c r="AF9" s="505">
        <f>N9+(W$2/7)</f>
        <v>8.9499999999999993</v>
      </c>
      <c r="AG9" s="505">
        <f>O9+(X$2/21)+(Y$2/7)</f>
        <v>3.95</v>
      </c>
      <c r="AH9" s="505">
        <f>P9+(Z$2/2)+(Y$2/10)</f>
        <v>16.5</v>
      </c>
      <c r="AI9" s="423">
        <f t="shared" si="12"/>
        <v>0</v>
      </c>
      <c r="AJ9" s="423">
        <f t="shared" si="13"/>
        <v>0</v>
      </c>
      <c r="AK9" s="423">
        <f t="shared" si="14"/>
        <v>0</v>
      </c>
      <c r="AL9" s="423">
        <f t="shared" si="15"/>
        <v>0</v>
      </c>
      <c r="AM9" s="423">
        <f t="shared" si="16"/>
        <v>0</v>
      </c>
      <c r="AN9" s="423">
        <f t="shared" si="17"/>
        <v>0</v>
      </c>
      <c r="AO9" s="423">
        <f t="shared" si="18"/>
        <v>0.5</v>
      </c>
      <c r="AQ9" s="426" t="s">
        <v>503</v>
      </c>
      <c r="AR9" s="260" t="str">
        <f>D14</f>
        <v>S. Buscleman</v>
      </c>
      <c r="AS9" s="431">
        <f>AJ14*0.291</f>
        <v>0</v>
      </c>
      <c r="AT9" s="431">
        <v>0</v>
      </c>
      <c r="AU9" s="431">
        <f>AJ14*0.348</f>
        <v>0</v>
      </c>
      <c r="AV9" s="431">
        <f>AK14*0.881</f>
        <v>0</v>
      </c>
      <c r="AW9" s="431">
        <f>(AL14*0.574)+(AM14*0.315)</f>
        <v>0</v>
      </c>
      <c r="AX9" s="431">
        <v>0</v>
      </c>
      <c r="AY9" s="431">
        <f>AM14*0.241</f>
        <v>0</v>
      </c>
      <c r="AZ9" s="434">
        <f>(0.5*AN14+0.3*AO14)/10</f>
        <v>3.0000000000000054E-2</v>
      </c>
      <c r="BA9" s="434">
        <f>(0.4*AJ14+0.3*AO14)/10</f>
        <v>3.0000000000000054E-2</v>
      </c>
      <c r="BB9" s="434">
        <v>0</v>
      </c>
      <c r="BC9" s="434">
        <v>0</v>
      </c>
      <c r="BE9" s="426" t="s">
        <v>503</v>
      </c>
      <c r="BF9" s="260" t="str">
        <f>D14</f>
        <v>S. Buscleman</v>
      </c>
      <c r="BG9" s="431">
        <f t="shared" ref="BG9:BM9" si="25">AS9</f>
        <v>0</v>
      </c>
      <c r="BH9" s="431">
        <f t="shared" si="25"/>
        <v>0</v>
      </c>
      <c r="BI9" s="431">
        <f t="shared" si="25"/>
        <v>0</v>
      </c>
      <c r="BJ9" s="431">
        <f t="shared" si="25"/>
        <v>0</v>
      </c>
      <c r="BK9" s="431">
        <f t="shared" si="25"/>
        <v>0</v>
      </c>
      <c r="BL9" s="431">
        <f t="shared" si="25"/>
        <v>0</v>
      </c>
      <c r="BM9" s="431">
        <f t="shared" si="25"/>
        <v>0</v>
      </c>
      <c r="BN9" s="434">
        <f t="shared" ref="BN9" si="26">AZ9</f>
        <v>3.0000000000000054E-2</v>
      </c>
      <c r="BO9" s="434">
        <f>BA9</f>
        <v>3.0000000000000054E-2</v>
      </c>
      <c r="BP9" s="434">
        <f>BB9</f>
        <v>0</v>
      </c>
      <c r="BQ9" s="434">
        <f>BC9</f>
        <v>0</v>
      </c>
    </row>
    <row r="10" spans="1:76" s="4" customFormat="1" x14ac:dyDescent="0.25">
      <c r="A10" s="304" t="s">
        <v>568</v>
      </c>
      <c r="B10" s="260" t="s">
        <v>2</v>
      </c>
      <c r="C10" s="261">
        <f t="shared" ca="1" si="11"/>
        <v>3.9553571428571428</v>
      </c>
      <c r="D10" s="294" t="s">
        <v>567</v>
      </c>
      <c r="E10" s="387">
        <f>PLANTILLA!E11</f>
        <v>29</v>
      </c>
      <c r="F10" s="387">
        <f ca="1">PLANTILLA!F11</f>
        <v>5</v>
      </c>
      <c r="G10" s="388"/>
      <c r="H10" s="393">
        <v>5</v>
      </c>
      <c r="I10" s="308">
        <f>PLANTILLA!I11</f>
        <v>5.3</v>
      </c>
      <c r="J10" s="485">
        <f>PLANTILLA!X11</f>
        <v>0</v>
      </c>
      <c r="K10" s="485">
        <f>PLANTILLA!Y11</f>
        <v>9.6046666666666667</v>
      </c>
      <c r="L10" s="485">
        <f>PLANTILLA!Z11</f>
        <v>7.7607222222222223</v>
      </c>
      <c r="M10" s="485">
        <f>PLANTILLA!AA11</f>
        <v>6.1599999999999984</v>
      </c>
      <c r="N10" s="485">
        <f>PLANTILLA!AB11</f>
        <v>8.8633333333333315</v>
      </c>
      <c r="O10" s="485">
        <f>PLANTILLA!AC11</f>
        <v>3.2566666666666673</v>
      </c>
      <c r="P10" s="485">
        <f>PLANTILLA!AD11</f>
        <v>13.33611111111111</v>
      </c>
      <c r="Q10" s="410">
        <f t="shared" si="4"/>
        <v>29</v>
      </c>
      <c r="R10" s="411">
        <f t="shared" ca="1" si="5"/>
        <v>12</v>
      </c>
      <c r="S10" s="180"/>
      <c r="T10" s="180"/>
      <c r="U10" s="180"/>
      <c r="V10" s="180"/>
      <c r="W10" s="180"/>
      <c r="X10" s="180"/>
      <c r="Y10" s="180"/>
      <c r="Z10" s="180"/>
      <c r="AA10" s="296">
        <f t="shared" si="6"/>
        <v>5.3</v>
      </c>
      <c r="AB10" s="505">
        <f t="shared" si="20"/>
        <v>0</v>
      </c>
      <c r="AC10" s="505">
        <f>K10+(T$2/25)</f>
        <v>9.6046666666666667</v>
      </c>
      <c r="AD10" s="505">
        <f>L10+(U$2/37)</f>
        <v>7.7607222222222223</v>
      </c>
      <c r="AE10" s="505">
        <f>M10+(V$2/20)</f>
        <v>6.1599999999999984</v>
      </c>
      <c r="AF10" s="505">
        <f>N10+(W$2/8)</f>
        <v>8.8633333333333315</v>
      </c>
      <c r="AG10" s="505">
        <f>O10+(X$2/18)+(Y$2/5)</f>
        <v>3.2566666666666673</v>
      </c>
      <c r="AH10" s="505">
        <f>P10+(Z$2/1.2)+(Y$2/10)</f>
        <v>14.169444444444444</v>
      </c>
      <c r="AI10" s="423">
        <f t="shared" si="12"/>
        <v>0</v>
      </c>
      <c r="AJ10" s="423">
        <f t="shared" si="13"/>
        <v>0</v>
      </c>
      <c r="AK10" s="423">
        <f t="shared" si="14"/>
        <v>0</v>
      </c>
      <c r="AL10" s="423">
        <f t="shared" si="15"/>
        <v>0</v>
      </c>
      <c r="AM10" s="423">
        <f t="shared" si="16"/>
        <v>0</v>
      </c>
      <c r="AN10" s="423">
        <f t="shared" si="17"/>
        <v>0</v>
      </c>
      <c r="AO10" s="423">
        <f t="shared" si="18"/>
        <v>0.83333333333333393</v>
      </c>
      <c r="AQ10" s="426" t="s">
        <v>651</v>
      </c>
      <c r="AR10" s="260" t="str">
        <f>D17</f>
        <v>L. Bauman</v>
      </c>
      <c r="AS10" s="431">
        <f>AJ17*0.057</f>
        <v>0</v>
      </c>
      <c r="AT10" s="431">
        <f>AS10</f>
        <v>0</v>
      </c>
      <c r="AU10" s="431">
        <f>AJ17*0.162</f>
        <v>0</v>
      </c>
      <c r="AV10" s="431">
        <f>AK17*0.944</f>
        <v>0</v>
      </c>
      <c r="AW10" s="431">
        <f>AM17*0.188</f>
        <v>0</v>
      </c>
      <c r="AX10" s="431">
        <f>AW10</f>
        <v>0</v>
      </c>
      <c r="AY10" s="431">
        <f>AM17*0.507+AN17*0.31</f>
        <v>0</v>
      </c>
      <c r="AZ10" s="434">
        <f>(0.5*AN17+0.3*AO17)/10</f>
        <v>1.1999999999999957E-2</v>
      </c>
      <c r="BA10" s="434">
        <f>(0.4*AJ17+0.3*AO17)/10</f>
        <v>1.1999999999999957E-2</v>
      </c>
      <c r="BB10" s="434">
        <v>0</v>
      </c>
      <c r="BC10" s="434">
        <v>0</v>
      </c>
      <c r="BE10" s="426" t="s">
        <v>648</v>
      </c>
      <c r="BF10" s="260" t="str">
        <f>BF22</f>
        <v>B. Bartolache</v>
      </c>
      <c r="BG10" s="431">
        <f>BG22</f>
        <v>0</v>
      </c>
      <c r="BH10" s="431">
        <f t="shared" ref="BH10:BM10" si="27">BH22</f>
        <v>0</v>
      </c>
      <c r="BI10" s="431">
        <f t="shared" si="27"/>
        <v>0</v>
      </c>
      <c r="BJ10" s="431">
        <f t="shared" si="27"/>
        <v>0</v>
      </c>
      <c r="BK10" s="431">
        <f t="shared" si="27"/>
        <v>0</v>
      </c>
      <c r="BL10" s="431">
        <f t="shared" si="27"/>
        <v>0</v>
      </c>
      <c r="BM10" s="431">
        <f t="shared" si="27"/>
        <v>0</v>
      </c>
      <c r="BN10" s="434">
        <f>AZ7</f>
        <v>1.1999999999999957E-2</v>
      </c>
      <c r="BO10" s="434">
        <f>BA7</f>
        <v>1.1999999999999957E-2</v>
      </c>
      <c r="BP10" s="434">
        <f t="shared" ref="BP10:BQ10" si="28">BP22</f>
        <v>4.3000000000000007</v>
      </c>
      <c r="BQ10" s="434">
        <f t="shared" si="28"/>
        <v>0</v>
      </c>
    </row>
    <row r="11" spans="1:76" x14ac:dyDescent="0.25">
      <c r="A11" s="384" t="s">
        <v>405</v>
      </c>
      <c r="B11" s="384" t="s">
        <v>65</v>
      </c>
      <c r="C11" s="385">
        <f t="shared" ca="1" si="11"/>
        <v>0.36607142857142855</v>
      </c>
      <c r="D11" s="386" t="s">
        <v>270</v>
      </c>
      <c r="E11" s="387">
        <f>PLANTILLA!E12</f>
        <v>32</v>
      </c>
      <c r="F11" s="387">
        <f ca="1">PLANTILLA!F12</f>
        <v>71</v>
      </c>
      <c r="G11" s="388" t="s">
        <v>271</v>
      </c>
      <c r="H11" s="371">
        <v>1</v>
      </c>
      <c r="I11" s="308">
        <f>PLANTILLA!I12</f>
        <v>14</v>
      </c>
      <c r="J11" s="485">
        <f>PLANTILLA!X12</f>
        <v>0</v>
      </c>
      <c r="K11" s="485">
        <f>PLANTILLA!Y12</f>
        <v>12.06111111111111</v>
      </c>
      <c r="L11" s="485">
        <f>PLANTILLA!Z12</f>
        <v>12.614111111111114</v>
      </c>
      <c r="M11" s="485">
        <f>PLANTILLA!AA12</f>
        <v>13.216666666666669</v>
      </c>
      <c r="N11" s="485">
        <f>PLANTILLA!AB12</f>
        <v>11</v>
      </c>
      <c r="O11" s="485">
        <f>PLANTILLA!AC12</f>
        <v>7.7700000000000005</v>
      </c>
      <c r="P11" s="485">
        <f>PLANTILLA!AD12</f>
        <v>17.529999999999998</v>
      </c>
      <c r="Q11" s="410">
        <f t="shared" si="4"/>
        <v>32</v>
      </c>
      <c r="R11" s="411">
        <f t="shared" ca="1" si="5"/>
        <v>78</v>
      </c>
      <c r="S11" s="180"/>
      <c r="T11" s="180"/>
      <c r="U11" s="180"/>
      <c r="V11" s="180"/>
      <c r="W11" s="180"/>
      <c r="X11" s="180"/>
      <c r="Y11" s="180"/>
      <c r="Z11" s="180"/>
      <c r="AA11" s="296">
        <f t="shared" si="6"/>
        <v>14</v>
      </c>
      <c r="AB11" s="505">
        <f t="shared" si="20"/>
        <v>0</v>
      </c>
      <c r="AC11" s="505">
        <f>K11+(T$2/10)</f>
        <v>12.06111111111111</v>
      </c>
      <c r="AD11" s="505">
        <f>L11+(U$2/18)</f>
        <v>12.614111111111114</v>
      </c>
      <c r="AE11" s="505">
        <f>M11+(V$2/15)</f>
        <v>13.216666666666669</v>
      </c>
      <c r="AF11" s="505">
        <f>N11+(W$2/8)</f>
        <v>11</v>
      </c>
      <c r="AG11" s="505">
        <f>O11+(X$2/5)+(Y$2/4)/2</f>
        <v>7.7700000000000005</v>
      </c>
      <c r="AH11" s="505">
        <f>P11+(Z$2/2.5)+(Y$2/10)</f>
        <v>17.929999999999996</v>
      </c>
      <c r="AI11" s="423">
        <f t="shared" si="12"/>
        <v>0</v>
      </c>
      <c r="AJ11" s="423">
        <f t="shared" si="13"/>
        <v>0</v>
      </c>
      <c r="AK11" s="423">
        <f t="shared" si="14"/>
        <v>0</v>
      </c>
      <c r="AL11" s="423">
        <f t="shared" si="15"/>
        <v>0</v>
      </c>
      <c r="AM11" s="423">
        <f t="shared" si="16"/>
        <v>0</v>
      </c>
      <c r="AN11" s="423">
        <f t="shared" si="17"/>
        <v>0</v>
      </c>
      <c r="AO11" s="423">
        <f t="shared" si="18"/>
        <v>0.39999999999999858</v>
      </c>
      <c r="AQ11" s="426" t="s">
        <v>503</v>
      </c>
      <c r="AR11" s="260" t="str">
        <f>D15</f>
        <v>C. Rojas</v>
      </c>
      <c r="AS11" s="431">
        <v>0</v>
      </c>
      <c r="AT11" s="431">
        <f>AJ15*0.291</f>
        <v>0</v>
      </c>
      <c r="AU11" s="431">
        <f>AJ15*0.348</f>
        <v>0</v>
      </c>
      <c r="AV11" s="431">
        <f>AK15*0.881</f>
        <v>0</v>
      </c>
      <c r="AW11" s="431">
        <v>0</v>
      </c>
      <c r="AX11" s="431">
        <f>(AL15*0.574)+(AM15*0.314)</f>
        <v>0</v>
      </c>
      <c r="AY11" s="431">
        <f>AM15*0.241</f>
        <v>0</v>
      </c>
      <c r="AZ11" s="434">
        <f>(0.5*AN15+0.3*AO15)/10</f>
        <v>1.4999999999999999E-2</v>
      </c>
      <c r="BA11" s="434">
        <f>(0.4*AJ15+0.3*AO15)/10</f>
        <v>1.4999999999999999E-2</v>
      </c>
      <c r="BB11" s="434">
        <v>0</v>
      </c>
      <c r="BC11" s="434">
        <v>0</v>
      </c>
      <c r="BE11" s="426" t="s">
        <v>503</v>
      </c>
      <c r="BF11" s="260" t="str">
        <f>D15</f>
        <v>C. Rojas</v>
      </c>
      <c r="BG11" s="431">
        <f>BG26</f>
        <v>0</v>
      </c>
      <c r="BH11" s="431">
        <f t="shared" ref="BH11:BM11" si="29">BH26</f>
        <v>0</v>
      </c>
      <c r="BI11" s="431">
        <f t="shared" si="29"/>
        <v>0</v>
      </c>
      <c r="BJ11" s="431">
        <f t="shared" si="29"/>
        <v>0</v>
      </c>
      <c r="BK11" s="431">
        <f t="shared" si="29"/>
        <v>0</v>
      </c>
      <c r="BL11" s="431">
        <f t="shared" si="29"/>
        <v>0</v>
      </c>
      <c r="BM11" s="431">
        <f t="shared" si="29"/>
        <v>0</v>
      </c>
      <c r="BN11" s="434">
        <f>BN26</f>
        <v>1.4999999999999999E-2</v>
      </c>
      <c r="BO11" s="434">
        <f t="shared" ref="BO11:BQ11" si="30">BO26</f>
        <v>1.4999999999999999E-2</v>
      </c>
      <c r="BP11" s="434">
        <f t="shared" si="30"/>
        <v>0</v>
      </c>
      <c r="BQ11" s="434">
        <f t="shared" si="30"/>
        <v>0</v>
      </c>
    </row>
    <row r="12" spans="1:76" s="263" customFormat="1" x14ac:dyDescent="0.25">
      <c r="A12" s="384" t="s">
        <v>412</v>
      </c>
      <c r="B12" s="384" t="s">
        <v>65</v>
      </c>
      <c r="C12" s="385">
        <f t="shared" ca="1" si="11"/>
        <v>0.8392857142857143</v>
      </c>
      <c r="D12" s="386" t="s">
        <v>298</v>
      </c>
      <c r="E12" s="387">
        <f>PLANTILLA!E13</f>
        <v>32</v>
      </c>
      <c r="F12" s="387">
        <f ca="1">PLANTILLA!F13</f>
        <v>18</v>
      </c>
      <c r="G12" s="388" t="s">
        <v>268</v>
      </c>
      <c r="H12" s="371">
        <v>3</v>
      </c>
      <c r="I12" s="308">
        <f>PLANTILLA!I13</f>
        <v>11.3</v>
      </c>
      <c r="J12" s="485">
        <f>PLANTILLA!X13</f>
        <v>0</v>
      </c>
      <c r="K12" s="485">
        <f>PLANTILLA!Y13</f>
        <v>7.2503030303030309</v>
      </c>
      <c r="L12" s="485">
        <f>PLANTILLA!Z13</f>
        <v>10.600000000000005</v>
      </c>
      <c r="M12" s="485">
        <f>PLANTILLA!AA13</f>
        <v>13.471666666666668</v>
      </c>
      <c r="N12" s="485">
        <f>PLANTILLA!AB13</f>
        <v>10.359999999999998</v>
      </c>
      <c r="O12" s="485">
        <f>PLANTILLA!AC13</f>
        <v>4.95</v>
      </c>
      <c r="P12" s="485">
        <f>PLANTILLA!AD13</f>
        <v>18</v>
      </c>
      <c r="Q12" s="410">
        <f t="shared" si="4"/>
        <v>32</v>
      </c>
      <c r="R12" s="411">
        <f t="shared" ca="1" si="5"/>
        <v>25</v>
      </c>
      <c r="S12" s="180"/>
      <c r="T12" s="180"/>
      <c r="U12" s="180"/>
      <c r="V12" s="180"/>
      <c r="W12" s="180"/>
      <c r="X12" s="180"/>
      <c r="Y12" s="180"/>
      <c r="Z12" s="180"/>
      <c r="AA12" s="296">
        <f t="shared" si="6"/>
        <v>11.3</v>
      </c>
      <c r="AB12" s="505">
        <f t="shared" si="20"/>
        <v>0</v>
      </c>
      <c r="AC12" s="505">
        <f>K12+(T$2/7)</f>
        <v>7.2503030303030309</v>
      </c>
      <c r="AD12" s="505">
        <f>L12+(U$2/7)</f>
        <v>10.600000000000005</v>
      </c>
      <c r="AE12" s="505">
        <f>M12+(V$2/8)</f>
        <v>13.471666666666668</v>
      </c>
      <c r="AF12" s="505">
        <f>N12+(W$2/8)</f>
        <v>10.359999999999998</v>
      </c>
      <c r="AG12" s="505">
        <f>O12+(X$2/4)+(Y$2/6)</f>
        <v>4.95</v>
      </c>
      <c r="AH12" s="505">
        <f>P12+(Z$2/2.5)+(Y$2/10)</f>
        <v>18.399999999999999</v>
      </c>
      <c r="AI12" s="423">
        <f t="shared" si="12"/>
        <v>0</v>
      </c>
      <c r="AJ12" s="423">
        <f t="shared" si="13"/>
        <v>0</v>
      </c>
      <c r="AK12" s="423">
        <f t="shared" si="14"/>
        <v>0</v>
      </c>
      <c r="AL12" s="423">
        <f t="shared" si="15"/>
        <v>0</v>
      </c>
      <c r="AM12" s="423">
        <f t="shared" si="16"/>
        <v>0</v>
      </c>
      <c r="AN12" s="423">
        <f t="shared" si="17"/>
        <v>0</v>
      </c>
      <c r="AO12" s="423">
        <f t="shared" si="18"/>
        <v>0.39999999999999858</v>
      </c>
      <c r="AQ12" s="529" t="s">
        <v>650</v>
      </c>
      <c r="AR12" s="260" t="str">
        <f>D12</f>
        <v>K. Helms</v>
      </c>
      <c r="AS12" s="431">
        <v>0</v>
      </c>
      <c r="AT12" s="431">
        <f>AJ12*0.18</f>
        <v>0</v>
      </c>
      <c r="AU12" s="431">
        <f>AJ12*0.068</f>
        <v>0</v>
      </c>
      <c r="AV12" s="431">
        <f>AK12*0.305</f>
        <v>0</v>
      </c>
      <c r="AW12" s="431">
        <v>0</v>
      </c>
      <c r="AX12" s="431">
        <f>(AL12*1)+(AM12*0.286)</f>
        <v>0</v>
      </c>
      <c r="AY12" s="431">
        <f>AM12*0.135</f>
        <v>0</v>
      </c>
      <c r="AZ12" s="434">
        <f>(0.5*AN12+0.3*AO12)/10</f>
        <v>1.1999999999999957E-2</v>
      </c>
      <c r="BA12" s="434">
        <f>(0.4*AJ12+0.3*AO12)/10</f>
        <v>1.1999999999999957E-2</v>
      </c>
      <c r="BB12" s="434">
        <v>0</v>
      </c>
      <c r="BC12" s="434">
        <v>0</v>
      </c>
      <c r="BE12" s="529" t="s">
        <v>650</v>
      </c>
      <c r="BF12" s="260" t="str">
        <f>BF27</f>
        <v>S. Zobbe</v>
      </c>
      <c r="BG12" s="431">
        <f>BG27</f>
        <v>0</v>
      </c>
      <c r="BH12" s="431">
        <f t="shared" ref="BH12:BM12" si="31">BH27</f>
        <v>0</v>
      </c>
      <c r="BI12" s="431">
        <f t="shared" si="31"/>
        <v>0</v>
      </c>
      <c r="BJ12" s="431">
        <f t="shared" si="31"/>
        <v>0</v>
      </c>
      <c r="BK12" s="431">
        <f t="shared" si="31"/>
        <v>0</v>
      </c>
      <c r="BL12" s="431">
        <f t="shared" si="31"/>
        <v>0</v>
      </c>
      <c r="BM12" s="431">
        <f t="shared" si="31"/>
        <v>0</v>
      </c>
      <c r="BN12" s="434">
        <f>BN27</f>
        <v>1.4999999999999999E-2</v>
      </c>
      <c r="BO12" s="434">
        <f t="shared" ref="BO12:BQ12" si="32">BO27</f>
        <v>1.4999999999999999E-2</v>
      </c>
      <c r="BP12" s="434">
        <f t="shared" si="32"/>
        <v>0</v>
      </c>
      <c r="BQ12" s="434">
        <f t="shared" si="32"/>
        <v>0</v>
      </c>
    </row>
    <row r="13" spans="1:76" s="264" customFormat="1" x14ac:dyDescent="0.25">
      <c r="A13" s="384" t="s">
        <v>506</v>
      </c>
      <c r="B13" s="384" t="s">
        <v>65</v>
      </c>
      <c r="C13" s="385">
        <f t="shared" ca="1" si="11"/>
        <v>3.7053571428571428</v>
      </c>
      <c r="D13" s="386" t="s">
        <v>507</v>
      </c>
      <c r="E13" s="387">
        <f>PLANTILLA!E14</f>
        <v>29</v>
      </c>
      <c r="F13" s="387">
        <f ca="1">PLANTILLA!F14</f>
        <v>33</v>
      </c>
      <c r="G13" s="388" t="s">
        <v>502</v>
      </c>
      <c r="H13" s="371">
        <v>3</v>
      </c>
      <c r="I13" s="308">
        <f>PLANTILLA!I14</f>
        <v>10.5</v>
      </c>
      <c r="J13" s="485">
        <f>PLANTILLA!X14</f>
        <v>0</v>
      </c>
      <c r="K13" s="485">
        <f>PLANTILLA!Y14</f>
        <v>8.3599999999999977</v>
      </c>
      <c r="L13" s="485">
        <f>PLANTILLA!Z14</f>
        <v>12.253412698412699</v>
      </c>
      <c r="M13" s="485">
        <f>PLANTILLA!AA14</f>
        <v>12.36</v>
      </c>
      <c r="N13" s="485">
        <f>PLANTILLA!AB14</f>
        <v>10.24</v>
      </c>
      <c r="O13" s="485">
        <f>PLANTILLA!AC14</f>
        <v>7.4766666666666666</v>
      </c>
      <c r="P13" s="485">
        <f>PLANTILLA!AD14</f>
        <v>16</v>
      </c>
      <c r="Q13" s="410">
        <f t="shared" si="4"/>
        <v>29</v>
      </c>
      <c r="R13" s="411">
        <f t="shared" ca="1" si="5"/>
        <v>40</v>
      </c>
      <c r="S13" s="180"/>
      <c r="T13" s="180"/>
      <c r="U13" s="180"/>
      <c r="V13" s="180"/>
      <c r="W13" s="180"/>
      <c r="X13" s="180"/>
      <c r="Y13" s="180"/>
      <c r="Z13" s="180"/>
      <c r="AA13" s="296">
        <f t="shared" si="6"/>
        <v>10.5</v>
      </c>
      <c r="AB13" s="505">
        <f t="shared" si="20"/>
        <v>0</v>
      </c>
      <c r="AC13" s="505">
        <f>K13+(T$2/6.5)</f>
        <v>8.3599999999999977</v>
      </c>
      <c r="AD13" s="505">
        <f>L13+(U$2/8)</f>
        <v>12.253412698412699</v>
      </c>
      <c r="AE13" s="505">
        <f>M13+(V$2/6)</f>
        <v>12.36</v>
      </c>
      <c r="AF13" s="505">
        <f>N13+(W$2/8)</f>
        <v>10.24</v>
      </c>
      <c r="AG13" s="505">
        <f>O13+(X$2/4.5)+(Y$2/3.5)/2</f>
        <v>7.4766666666666666</v>
      </c>
      <c r="AH13" s="505">
        <f>P13+(Z$2/2)+(Y$2/10)</f>
        <v>16.5</v>
      </c>
      <c r="AI13" s="423">
        <f t="shared" si="12"/>
        <v>0</v>
      </c>
      <c r="AJ13" s="423">
        <f t="shared" si="13"/>
        <v>0</v>
      </c>
      <c r="AK13" s="423">
        <f t="shared" si="14"/>
        <v>0</v>
      </c>
      <c r="AL13" s="423">
        <f t="shared" si="15"/>
        <v>0</v>
      </c>
      <c r="AM13" s="423">
        <f t="shared" si="16"/>
        <v>0</v>
      </c>
      <c r="AN13" s="423">
        <f t="shared" si="17"/>
        <v>0</v>
      </c>
      <c r="AO13" s="423">
        <f t="shared" si="18"/>
        <v>0.5</v>
      </c>
      <c r="AQ13" s="528" t="s">
        <v>66</v>
      </c>
      <c r="AR13" s="304" t="str">
        <f>D21</f>
        <v>J. Limon</v>
      </c>
      <c r="AS13" s="429">
        <v>0</v>
      </c>
      <c r="AT13" s="429">
        <v>0</v>
      </c>
      <c r="AU13" s="429">
        <v>0</v>
      </c>
      <c r="AV13" s="429">
        <f>AK21*0.25</f>
        <v>0</v>
      </c>
      <c r="AW13" s="429">
        <f>(AM21*0.142)+(AL21*0.221)+(AN21*0.26)</f>
        <v>0</v>
      </c>
      <c r="AX13" s="429">
        <f>AW13</f>
        <v>0</v>
      </c>
      <c r="AY13" s="429">
        <f>(AM21*0.369)+(AN21*1)</f>
        <v>0</v>
      </c>
      <c r="AZ13" s="552">
        <f>((0.5*AN21+0.3*AO21)/10)+0.09*AO21</f>
        <v>0.06</v>
      </c>
      <c r="BA13" s="552">
        <f>(0.4*AJ21+0.3*AO21)/10</f>
        <v>1.4999999999999999E-2</v>
      </c>
      <c r="BB13" s="432">
        <v>0</v>
      </c>
      <c r="BC13" s="432">
        <v>0</v>
      </c>
      <c r="BE13" s="528" t="s">
        <v>647</v>
      </c>
      <c r="BF13" s="304" t="str">
        <f>D21</f>
        <v>J. Limon</v>
      </c>
      <c r="BG13" s="429">
        <v>0</v>
      </c>
      <c r="BH13" s="429">
        <v>0</v>
      </c>
      <c r="BI13" s="429">
        <v>0</v>
      </c>
      <c r="BJ13" s="429">
        <f>AK21*0.25</f>
        <v>0</v>
      </c>
      <c r="BK13" s="429">
        <f>(AM21*0.209)+(AL21*0.607)+(AN21*0.524)</f>
        <v>0</v>
      </c>
      <c r="BL13" s="429">
        <v>0</v>
      </c>
      <c r="BM13" s="429">
        <f>(AM21*0.261)+(AN21*0.607)</f>
        <v>0</v>
      </c>
      <c r="BN13" s="553">
        <f>AZ13</f>
        <v>0.06</v>
      </c>
      <c r="BO13" s="553">
        <f>BA13</f>
        <v>1.4999999999999999E-2</v>
      </c>
      <c r="BP13" s="432">
        <v>0</v>
      </c>
      <c r="BQ13" s="432">
        <v>0</v>
      </c>
    </row>
    <row r="14" spans="1:76" s="263" customFormat="1" x14ac:dyDescent="0.25">
      <c r="A14" s="384" t="s">
        <v>408</v>
      </c>
      <c r="B14" s="260" t="s">
        <v>64</v>
      </c>
      <c r="C14" s="261">
        <f t="shared" ca="1" si="11"/>
        <v>1.7321428571428572</v>
      </c>
      <c r="D14" s="294" t="s">
        <v>415</v>
      </c>
      <c r="E14" s="387">
        <f>PLANTILLA!E15</f>
        <v>31</v>
      </c>
      <c r="F14" s="387">
        <f ca="1">PLANTILLA!F15</f>
        <v>30</v>
      </c>
      <c r="G14" s="388" t="s">
        <v>268</v>
      </c>
      <c r="H14" s="371">
        <v>4</v>
      </c>
      <c r="I14" s="308">
        <f>PLANTILLA!I15</f>
        <v>11.8</v>
      </c>
      <c r="J14" s="485">
        <f>PLANTILLA!X15</f>
        <v>0</v>
      </c>
      <c r="K14" s="485">
        <f>PLANTILLA!Y15</f>
        <v>9.3036666666666648</v>
      </c>
      <c r="L14" s="485">
        <f>PLANTILLA!Z15</f>
        <v>14</v>
      </c>
      <c r="M14" s="485">
        <f>PLANTILLA!AA15</f>
        <v>12.945</v>
      </c>
      <c r="N14" s="485">
        <f>PLANTILLA!AB15</f>
        <v>10</v>
      </c>
      <c r="O14" s="485">
        <f>PLANTILLA!AC15</f>
        <v>4.95</v>
      </c>
      <c r="P14" s="485">
        <f>PLANTILLA!AD15</f>
        <v>15.588888888888887</v>
      </c>
      <c r="Q14" s="410">
        <f t="shared" si="4"/>
        <v>31</v>
      </c>
      <c r="R14" s="411">
        <f t="shared" ca="1" si="5"/>
        <v>37</v>
      </c>
      <c r="S14" s="180"/>
      <c r="T14" s="180"/>
      <c r="U14" s="180"/>
      <c r="V14" s="180"/>
      <c r="W14" s="180"/>
      <c r="X14" s="180"/>
      <c r="Y14" s="180"/>
      <c r="Z14" s="180"/>
      <c r="AA14" s="296">
        <f t="shared" si="6"/>
        <v>11.8</v>
      </c>
      <c r="AB14" s="505">
        <f t="shared" si="20"/>
        <v>0</v>
      </c>
      <c r="AC14" s="505">
        <f>K14+(T$2/50)</f>
        <v>9.3036666666666648</v>
      </c>
      <c r="AD14" s="505">
        <f>L14+(U$2/10)</f>
        <v>14</v>
      </c>
      <c r="AE14" s="505">
        <f>M14+(V$2/15)</f>
        <v>12.945</v>
      </c>
      <c r="AF14" s="505">
        <f>N14+(W$2/7.5)</f>
        <v>10</v>
      </c>
      <c r="AG14" s="505">
        <f>O14+(X$2/3.5)+(Y$2/6)</f>
        <v>4.95</v>
      </c>
      <c r="AH14" s="505">
        <f>P14+(Z$2/1)+(Y$2/10)</f>
        <v>16.588888888888889</v>
      </c>
      <c r="AI14" s="423">
        <f t="shared" si="12"/>
        <v>0</v>
      </c>
      <c r="AJ14" s="423">
        <f t="shared" si="13"/>
        <v>0</v>
      </c>
      <c r="AK14" s="423">
        <f t="shared" si="14"/>
        <v>0</v>
      </c>
      <c r="AL14" s="423">
        <f t="shared" si="15"/>
        <v>0</v>
      </c>
      <c r="AM14" s="423">
        <f t="shared" si="16"/>
        <v>0</v>
      </c>
      <c r="AN14" s="423">
        <f t="shared" si="17"/>
        <v>0</v>
      </c>
      <c r="AO14" s="423">
        <f t="shared" si="18"/>
        <v>1.0000000000000018</v>
      </c>
      <c r="AQ14" s="529" t="s">
        <v>66</v>
      </c>
      <c r="AR14" s="260" t="str">
        <f>D13</f>
        <v>S. Zobbe</v>
      </c>
      <c r="AS14" s="431">
        <v>0</v>
      </c>
      <c r="AT14" s="431">
        <v>0</v>
      </c>
      <c r="AU14" s="431">
        <v>0</v>
      </c>
      <c r="AV14" s="429">
        <f>AK13*0.25</f>
        <v>0</v>
      </c>
      <c r="AW14" s="429">
        <f>(AM13*0.142)+(AL13*0.221)+(AN13*0.26)</f>
        <v>0</v>
      </c>
      <c r="AX14" s="429">
        <f>AW14</f>
        <v>0</v>
      </c>
      <c r="AY14" s="429">
        <f>(AM13*0.369)+(AN13*1)</f>
        <v>0</v>
      </c>
      <c r="AZ14" s="434">
        <f>(0.5*AN13+0.3*AO13)/10</f>
        <v>1.4999999999999999E-2</v>
      </c>
      <c r="BA14" s="434">
        <f>(0.4*AJ13+0.3*AO13)/10</f>
        <v>1.4999999999999999E-2</v>
      </c>
      <c r="BB14" s="432">
        <v>0</v>
      </c>
      <c r="BC14" s="432">
        <v>0</v>
      </c>
      <c r="BE14" s="529" t="s">
        <v>647</v>
      </c>
      <c r="BF14" s="260" t="s">
        <v>722</v>
      </c>
      <c r="BG14" s="431">
        <v>0</v>
      </c>
      <c r="BH14" s="431">
        <v>0</v>
      </c>
      <c r="BI14" s="431">
        <v>0</v>
      </c>
      <c r="BJ14" s="429">
        <f>AK23*0.25</f>
        <v>0</v>
      </c>
      <c r="BK14" s="429">
        <v>0</v>
      </c>
      <c r="BL14" s="429">
        <f>(AM23*0.209)+(AL23*0.607)+(AN23*0.524)</f>
        <v>0</v>
      </c>
      <c r="BM14" s="429">
        <f>(AM23*0.261)+(AN23*0.607)</f>
        <v>0</v>
      </c>
      <c r="BN14" s="432">
        <f>AZ20</f>
        <v>1.9999999999999983E-2</v>
      </c>
      <c r="BO14" s="432">
        <f>BA20</f>
        <v>1.9999999999999983E-2</v>
      </c>
      <c r="BP14" s="432">
        <v>0</v>
      </c>
      <c r="BQ14" s="432">
        <v>0</v>
      </c>
    </row>
    <row r="15" spans="1:76" s="254" customFormat="1" x14ac:dyDescent="0.25">
      <c r="A15" s="305" t="s">
        <v>409</v>
      </c>
      <c r="B15" s="384" t="s">
        <v>64</v>
      </c>
      <c r="C15" s="385">
        <f t="shared" ca="1" si="11"/>
        <v>-0.5714285714285714</v>
      </c>
      <c r="D15" s="386" t="s">
        <v>285</v>
      </c>
      <c r="E15" s="387">
        <f>PLANTILLA!E16</f>
        <v>33</v>
      </c>
      <c r="F15" s="387">
        <f ca="1">PLANTILLA!F16</f>
        <v>64</v>
      </c>
      <c r="G15" s="388" t="s">
        <v>268</v>
      </c>
      <c r="H15" s="393">
        <v>5</v>
      </c>
      <c r="I15" s="308">
        <f>PLANTILLA!I16</f>
        <v>12.6</v>
      </c>
      <c r="J15" s="485">
        <f>PLANTILLA!X16</f>
        <v>0</v>
      </c>
      <c r="K15" s="485">
        <f>PLANTILLA!Y16</f>
        <v>8.6275555555555581</v>
      </c>
      <c r="L15" s="485">
        <f>PLANTILLA!Z16</f>
        <v>14.333255555555548</v>
      </c>
      <c r="M15" s="485">
        <f>PLANTILLA!AA16</f>
        <v>9.99</v>
      </c>
      <c r="N15" s="485">
        <f>PLANTILLA!AB16</f>
        <v>10</v>
      </c>
      <c r="O15" s="485">
        <f>PLANTILLA!AC16</f>
        <v>3.99</v>
      </c>
      <c r="P15" s="485">
        <f>PLANTILLA!AD16</f>
        <v>17.144444444444439</v>
      </c>
      <c r="Q15" s="410">
        <f t="shared" si="4"/>
        <v>33</v>
      </c>
      <c r="R15" s="411">
        <f t="shared" ca="1" si="5"/>
        <v>71</v>
      </c>
      <c r="S15" s="180"/>
      <c r="T15" s="180"/>
      <c r="U15" s="180"/>
      <c r="V15" s="180"/>
      <c r="W15" s="180"/>
      <c r="X15" s="180"/>
      <c r="Y15" s="180"/>
      <c r="Z15" s="180"/>
      <c r="AA15" s="296">
        <f t="shared" si="6"/>
        <v>12.6</v>
      </c>
      <c r="AB15" s="505">
        <f t="shared" si="20"/>
        <v>0</v>
      </c>
      <c r="AC15" s="505">
        <f>K15+(T$2/50)</f>
        <v>8.6275555555555581</v>
      </c>
      <c r="AD15" s="505">
        <f>L15+(U$2/11)</f>
        <v>14.333255555555548</v>
      </c>
      <c r="AE15" s="505">
        <f>M15+(V$2/15)</f>
        <v>9.99</v>
      </c>
      <c r="AF15" s="505">
        <f>N15+(W$2/8)</f>
        <v>10</v>
      </c>
      <c r="AG15" s="505">
        <f>O15+(X$2/22)+(Y$2/7)</f>
        <v>3.99</v>
      </c>
      <c r="AH15" s="505">
        <f>P15+(Z$2/2)+(Y$2/10)</f>
        <v>17.644444444444439</v>
      </c>
      <c r="AI15" s="423">
        <f t="shared" si="12"/>
        <v>0</v>
      </c>
      <c r="AJ15" s="423">
        <f t="shared" si="13"/>
        <v>0</v>
      </c>
      <c r="AK15" s="423">
        <f t="shared" si="14"/>
        <v>0</v>
      </c>
      <c r="AL15" s="423">
        <f t="shared" si="15"/>
        <v>0</v>
      </c>
      <c r="AM15" s="423">
        <f t="shared" si="16"/>
        <v>0</v>
      </c>
      <c r="AN15" s="423">
        <f t="shared" si="17"/>
        <v>0</v>
      </c>
      <c r="AO15" s="423">
        <f t="shared" si="18"/>
        <v>0.5</v>
      </c>
      <c r="AQ15" s="427"/>
      <c r="AR15" s="428"/>
      <c r="AS15" s="428"/>
      <c r="AT15" s="428"/>
      <c r="AU15" s="428"/>
      <c r="AV15" s="428"/>
      <c r="AW15" s="428"/>
      <c r="AX15" s="428"/>
      <c r="AY15" s="428"/>
      <c r="AZ15" s="428"/>
      <c r="BA15" s="428"/>
      <c r="BB15" s="428"/>
      <c r="BC15" s="428"/>
      <c r="BE15"/>
      <c r="BF15"/>
      <c r="BG15"/>
      <c r="BH15"/>
      <c r="BI15"/>
      <c r="BJ15"/>
      <c r="BK15"/>
      <c r="BL15"/>
      <c r="BM15"/>
      <c r="BN15"/>
      <c r="BO15"/>
      <c r="BP15"/>
      <c r="BQ15"/>
    </row>
    <row r="16" spans="1:76" s="264" customFormat="1" x14ac:dyDescent="0.25">
      <c r="A16" s="384" t="s">
        <v>406</v>
      </c>
      <c r="B16" s="384" t="s">
        <v>64</v>
      </c>
      <c r="C16" s="385">
        <f t="shared" ca="1" si="11"/>
        <v>0.48214285714285715</v>
      </c>
      <c r="D16" s="386" t="s">
        <v>272</v>
      </c>
      <c r="E16" s="387">
        <f>PLANTILLA!E17</f>
        <v>32</v>
      </c>
      <c r="F16" s="387">
        <f ca="1">PLANTILLA!F17</f>
        <v>58</v>
      </c>
      <c r="G16" s="388"/>
      <c r="H16" s="371">
        <v>4</v>
      </c>
      <c r="I16" s="308">
        <f>PLANTILLA!I17</f>
        <v>10.7</v>
      </c>
      <c r="J16" s="485">
        <f>PLANTILLA!X17</f>
        <v>0</v>
      </c>
      <c r="K16" s="485">
        <f>PLANTILLA!Y17</f>
        <v>10.549999999999995</v>
      </c>
      <c r="L16" s="485">
        <f>PLANTILLA!Z17</f>
        <v>13</v>
      </c>
      <c r="M16" s="485">
        <f>PLANTILLA!AA17</f>
        <v>5.1399999999999979</v>
      </c>
      <c r="N16" s="485">
        <f>PLANTILLA!AB17</f>
        <v>9.24</v>
      </c>
      <c r="O16" s="485">
        <f>PLANTILLA!AC17</f>
        <v>2.98</v>
      </c>
      <c r="P16" s="485">
        <f>PLANTILLA!AD17</f>
        <v>17.459999999999997</v>
      </c>
      <c r="Q16" s="410">
        <f t="shared" si="4"/>
        <v>32</v>
      </c>
      <c r="R16" s="411">
        <f t="shared" ca="1" si="5"/>
        <v>65</v>
      </c>
      <c r="S16" s="180"/>
      <c r="T16" s="180"/>
      <c r="U16" s="180"/>
      <c r="V16" s="180"/>
      <c r="W16" s="180"/>
      <c r="X16" s="180"/>
      <c r="Y16" s="180"/>
      <c r="Z16" s="180"/>
      <c r="AA16" s="296">
        <f t="shared" si="6"/>
        <v>10.7</v>
      </c>
      <c r="AB16" s="505">
        <f t="shared" si="20"/>
        <v>0</v>
      </c>
      <c r="AC16" s="505">
        <f>K16+(T$2/7)</f>
        <v>10.549999999999995</v>
      </c>
      <c r="AD16" s="505">
        <f>L16+(U$2/11)</f>
        <v>13</v>
      </c>
      <c r="AE16" s="505">
        <f>M16+(V$2/19)</f>
        <v>5.1399999999999979</v>
      </c>
      <c r="AF16" s="505">
        <f>N16+(W$2/7)</f>
        <v>9.24</v>
      </c>
      <c r="AG16" s="505">
        <f>O16+(X$2/16)+(Y$2/5)</f>
        <v>2.98</v>
      </c>
      <c r="AH16" s="505">
        <f>P16+(Z$2/2.5)+(Y$2/10)</f>
        <v>17.859999999999996</v>
      </c>
      <c r="AI16" s="423">
        <f t="shared" si="12"/>
        <v>0</v>
      </c>
      <c r="AJ16" s="423">
        <f t="shared" si="13"/>
        <v>0</v>
      </c>
      <c r="AK16" s="423">
        <f t="shared" si="14"/>
        <v>0</v>
      </c>
      <c r="AL16" s="423">
        <f t="shared" si="15"/>
        <v>0</v>
      </c>
      <c r="AM16" s="423">
        <f t="shared" si="16"/>
        <v>0</v>
      </c>
      <c r="AN16" s="423">
        <f t="shared" si="17"/>
        <v>0</v>
      </c>
      <c r="AO16" s="423">
        <f t="shared" si="18"/>
        <v>0.39999999999999858</v>
      </c>
      <c r="AQ16" s="249"/>
      <c r="AR16" s="249"/>
      <c r="AS16" s="435">
        <f>SUM(AS18:AS28)*$BV$3</f>
        <v>0</v>
      </c>
      <c r="AT16" s="435">
        <f>SUM(AT18:AT28)*$BV$3</f>
        <v>0</v>
      </c>
      <c r="AU16" s="435">
        <f>SUM(AU18:AU28)*$BV$2</f>
        <v>0</v>
      </c>
      <c r="AV16" s="435">
        <f>SUM(AV18:AV28)*$BV$4</f>
        <v>0</v>
      </c>
      <c r="AW16" s="435">
        <f>SUM(AW18:AW28)*$BV$5</f>
        <v>0</v>
      </c>
      <c r="AX16" s="435">
        <f>SUM(AX18:AX28)*$BV$5</f>
        <v>0</v>
      </c>
      <c r="AY16" s="435">
        <f>SUM(AY18:AY28)*$BV$6</f>
        <v>0</v>
      </c>
      <c r="AZ16" s="436">
        <f>SUM(AZ18:AZ28)</f>
        <v>0.23599999999999993</v>
      </c>
      <c r="BA16" s="436">
        <f>SUM(BA18:BA28)</f>
        <v>0.24099999999999994</v>
      </c>
      <c r="BB16" s="436">
        <f t="shared" ref="BB16:BC16" si="33">SUM(BB18:BB28)</f>
        <v>12.6625</v>
      </c>
      <c r="BC16" s="436">
        <f t="shared" si="33"/>
        <v>0</v>
      </c>
      <c r="BE16" s="249"/>
      <c r="BF16" s="249"/>
      <c r="BG16" s="435">
        <f>SUM(BG18:BG28)*$BV$3</f>
        <v>0</v>
      </c>
      <c r="BH16" s="435">
        <f>SUM(BH18:BH28)*$BV$3</f>
        <v>0</v>
      </c>
      <c r="BI16" s="435">
        <f>SUM(BI18:BI28)*$BV$2</f>
        <v>0</v>
      </c>
      <c r="BJ16" s="435">
        <f>SUM(BJ18:BJ28)*$BV$4</f>
        <v>0</v>
      </c>
      <c r="BK16" s="435">
        <f>SUM(BK18:BK28)*$BV$5</f>
        <v>0</v>
      </c>
      <c r="BL16" s="435">
        <f>SUM(BL18:BL28)*$BV$5</f>
        <v>0</v>
      </c>
      <c r="BM16" s="435">
        <f>SUM(BM18:BM28)*$BV$6</f>
        <v>0</v>
      </c>
      <c r="BN16" s="436">
        <f>SUM(BN18:BN28)</f>
        <v>0.20999999999999991</v>
      </c>
      <c r="BO16" s="436">
        <f>SUM(BO18:BO28)</f>
        <v>0.21499999999999991</v>
      </c>
      <c r="BP16" s="436">
        <f t="shared" ref="BP16:BQ16" si="34">SUM(BP18:BP28)</f>
        <v>21.14425</v>
      </c>
      <c r="BQ16" s="436">
        <f t="shared" si="34"/>
        <v>0</v>
      </c>
    </row>
    <row r="17" spans="1:69" s="254" customFormat="1" x14ac:dyDescent="0.25">
      <c r="A17" s="305" t="s">
        <v>410</v>
      </c>
      <c r="B17" s="260" t="s">
        <v>64</v>
      </c>
      <c r="C17" s="261">
        <f t="shared" ca="1" si="11"/>
        <v>0.7053571428571429</v>
      </c>
      <c r="D17" s="294" t="s">
        <v>400</v>
      </c>
      <c r="E17" s="387">
        <f>PLANTILLA!E18</f>
        <v>32</v>
      </c>
      <c r="F17" s="387">
        <f ca="1">PLANTILLA!F18</f>
        <v>33</v>
      </c>
      <c r="G17" s="388"/>
      <c r="H17" s="371">
        <v>1</v>
      </c>
      <c r="I17" s="308">
        <f>PLANTILLA!I18</f>
        <v>9.4</v>
      </c>
      <c r="J17" s="485">
        <f>PLANTILLA!X18</f>
        <v>0</v>
      </c>
      <c r="K17" s="485">
        <f>PLANTILLA!Y18</f>
        <v>5.4644444444444451</v>
      </c>
      <c r="L17" s="485">
        <f>PLANTILLA!Z18</f>
        <v>14.42664708994708</v>
      </c>
      <c r="M17" s="485">
        <f>PLANTILLA!AA18</f>
        <v>3.5124999999999993</v>
      </c>
      <c r="N17" s="485">
        <f>PLANTILLA!AB18</f>
        <v>9.1400000000000041</v>
      </c>
      <c r="O17" s="485">
        <f>PLANTILLA!AC18</f>
        <v>6.95</v>
      </c>
      <c r="P17" s="485">
        <f>PLANTILLA!AD18</f>
        <v>16.669999999999998</v>
      </c>
      <c r="Q17" s="410">
        <f t="shared" si="4"/>
        <v>32</v>
      </c>
      <c r="R17" s="411">
        <f t="shared" ca="1" si="5"/>
        <v>40</v>
      </c>
      <c r="S17" s="180"/>
      <c r="T17" s="180"/>
      <c r="U17" s="180"/>
      <c r="V17" s="180"/>
      <c r="W17" s="180"/>
      <c r="X17" s="180"/>
      <c r="Y17" s="180"/>
      <c r="Z17" s="180"/>
      <c r="AA17" s="296">
        <f t="shared" si="6"/>
        <v>9.4</v>
      </c>
      <c r="AB17" s="505">
        <f t="shared" si="20"/>
        <v>0</v>
      </c>
      <c r="AC17" s="505">
        <f>K17+(T$2/6.5)</f>
        <v>5.4644444444444451</v>
      </c>
      <c r="AD17" s="505">
        <f>L17+(U$2/11)</f>
        <v>14.42664708994708</v>
      </c>
      <c r="AE17" s="505">
        <f>M17+(V$2/17)</f>
        <v>3.5124999999999993</v>
      </c>
      <c r="AF17" s="505">
        <f>N17+(W$2/7)</f>
        <v>9.1400000000000041</v>
      </c>
      <c r="AG17" s="505">
        <f>O17+(X$2/30)+(Y$2/4.5)/2</f>
        <v>6.95</v>
      </c>
      <c r="AH17" s="505">
        <f>P17+(Z$2/2.5)+(Y$2/10)</f>
        <v>17.069999999999997</v>
      </c>
      <c r="AI17" s="423">
        <f t="shared" si="12"/>
        <v>0</v>
      </c>
      <c r="AJ17" s="423">
        <f t="shared" si="13"/>
        <v>0</v>
      </c>
      <c r="AK17" s="423">
        <f t="shared" si="14"/>
        <v>0</v>
      </c>
      <c r="AL17" s="423">
        <f t="shared" si="15"/>
        <v>0</v>
      </c>
      <c r="AM17" s="423">
        <f t="shared" si="16"/>
        <v>0</v>
      </c>
      <c r="AN17" s="423">
        <f t="shared" si="17"/>
        <v>0</v>
      </c>
      <c r="AO17" s="423">
        <f t="shared" si="18"/>
        <v>0.39999999999999858</v>
      </c>
      <c r="AQ17" s="699" t="s">
        <v>720</v>
      </c>
      <c r="AR17" s="700"/>
      <c r="AS17" s="331" t="s">
        <v>467</v>
      </c>
      <c r="AT17" s="331" t="s">
        <v>468</v>
      </c>
      <c r="AU17" s="331" t="s">
        <v>489</v>
      </c>
      <c r="AV17" s="331" t="s">
        <v>469</v>
      </c>
      <c r="AW17" s="331" t="s">
        <v>470</v>
      </c>
      <c r="AX17" s="331" t="s">
        <v>471</v>
      </c>
      <c r="AY17" s="331" t="s">
        <v>472</v>
      </c>
      <c r="AZ17" s="331" t="s">
        <v>734</v>
      </c>
      <c r="BA17" s="331" t="s">
        <v>735</v>
      </c>
      <c r="BB17" s="331" t="s">
        <v>565</v>
      </c>
      <c r="BC17" s="331" t="s">
        <v>604</v>
      </c>
      <c r="BE17" s="699" t="s">
        <v>646</v>
      </c>
      <c r="BF17" s="700"/>
      <c r="BG17" s="331" t="s">
        <v>467</v>
      </c>
      <c r="BH17" s="331" t="s">
        <v>468</v>
      </c>
      <c r="BI17" s="331" t="s">
        <v>489</v>
      </c>
      <c r="BJ17" s="331" t="s">
        <v>469</v>
      </c>
      <c r="BK17" s="331" t="s">
        <v>470</v>
      </c>
      <c r="BL17" s="331" t="s">
        <v>471</v>
      </c>
      <c r="BM17" s="331" t="s">
        <v>472</v>
      </c>
      <c r="BN17" s="331" t="s">
        <v>734</v>
      </c>
      <c r="BO17" s="331" t="s">
        <v>735</v>
      </c>
      <c r="BP17" s="331" t="s">
        <v>565</v>
      </c>
      <c r="BQ17" s="331" t="s">
        <v>604</v>
      </c>
    </row>
    <row r="18" spans="1:69" s="247" customFormat="1" x14ac:dyDescent="0.25">
      <c r="A18" s="305" t="s">
        <v>505</v>
      </c>
      <c r="B18" s="260" t="s">
        <v>64</v>
      </c>
      <c r="C18" s="261">
        <f t="shared" ca="1" si="11"/>
        <v>2.1517857142857144</v>
      </c>
      <c r="D18" s="294" t="s">
        <v>414</v>
      </c>
      <c r="E18" s="387">
        <f>PLANTILLA!E19</f>
        <v>30</v>
      </c>
      <c r="F18" s="387">
        <f ca="1">PLANTILLA!F19</f>
        <v>95</v>
      </c>
      <c r="G18" s="388"/>
      <c r="H18" s="371">
        <v>3</v>
      </c>
      <c r="I18" s="308">
        <f>PLANTILLA!I19</f>
        <v>4.4000000000000004</v>
      </c>
      <c r="J18" s="485">
        <f>PLANTILLA!X19</f>
        <v>0</v>
      </c>
      <c r="K18" s="485">
        <f>PLANTILLA!Y19</f>
        <v>5.6515555555555519</v>
      </c>
      <c r="L18" s="485">
        <f>PLANTILLA!Z19</f>
        <v>10</v>
      </c>
      <c r="M18" s="485">
        <f>PLANTILLA!AA19</f>
        <v>6.95</v>
      </c>
      <c r="N18" s="485">
        <f>PLANTILLA!AB19</f>
        <v>9.2666666666666639</v>
      </c>
      <c r="O18" s="485">
        <f>PLANTILLA!AC19</f>
        <v>3.5417777777777766</v>
      </c>
      <c r="P18" s="485">
        <f>PLANTILLA!AD19</f>
        <v>12.847222222222223</v>
      </c>
      <c r="Q18" s="410">
        <f t="shared" si="4"/>
        <v>30</v>
      </c>
      <c r="R18" s="411">
        <f t="shared" ca="1" si="5"/>
        <v>102</v>
      </c>
      <c r="S18" s="180"/>
      <c r="T18" s="180"/>
      <c r="U18" s="180"/>
      <c r="V18" s="180"/>
      <c r="W18" s="180"/>
      <c r="X18" s="180"/>
      <c r="Y18" s="180"/>
      <c r="Z18" s="180"/>
      <c r="AA18" s="296">
        <f t="shared" si="6"/>
        <v>4.4000000000000004</v>
      </c>
      <c r="AB18" s="505">
        <f t="shared" si="20"/>
        <v>0</v>
      </c>
      <c r="AC18" s="505">
        <f>K18+(T$2/26)</f>
        <v>5.6515555555555519</v>
      </c>
      <c r="AD18" s="505">
        <f>L18+(U$2/55)</f>
        <v>10</v>
      </c>
      <c r="AE18" s="505">
        <f>M18+(V$2/24)</f>
        <v>6.95</v>
      </c>
      <c r="AF18" s="505">
        <f>N18+(W$2/7)</f>
        <v>9.2666666666666639</v>
      </c>
      <c r="AG18" s="505">
        <f>O18+(X$2/18)+(Y$2/6)</f>
        <v>3.5417777777777766</v>
      </c>
      <c r="AH18" s="505">
        <f>P18+(Z$2/2)+(Y$2/10)</f>
        <v>13.347222222222223</v>
      </c>
      <c r="AI18" s="423">
        <f t="shared" si="12"/>
        <v>0</v>
      </c>
      <c r="AJ18" s="423">
        <f t="shared" si="13"/>
        <v>0</v>
      </c>
      <c r="AK18" s="423">
        <f t="shared" si="14"/>
        <v>0</v>
      </c>
      <c r="AL18" s="423">
        <f t="shared" si="15"/>
        <v>0</v>
      </c>
      <c r="AM18" s="423">
        <f t="shared" si="16"/>
        <v>0</v>
      </c>
      <c r="AN18" s="423">
        <f t="shared" si="17"/>
        <v>0</v>
      </c>
      <c r="AO18" s="423">
        <f t="shared" si="18"/>
        <v>0.5</v>
      </c>
      <c r="AQ18" s="424" t="s">
        <v>1</v>
      </c>
      <c r="AR18" s="304" t="str">
        <f>D4</f>
        <v>D. Gehmacher</v>
      </c>
      <c r="AS18" s="429">
        <f>AS4</f>
        <v>0</v>
      </c>
      <c r="AT18" s="429">
        <f t="shared" ref="AT18:BC18" si="35">AT4</f>
        <v>0</v>
      </c>
      <c r="AU18" s="429">
        <f t="shared" si="35"/>
        <v>0</v>
      </c>
      <c r="AV18" s="429">
        <f t="shared" si="35"/>
        <v>0</v>
      </c>
      <c r="AW18" s="429">
        <f t="shared" si="35"/>
        <v>0</v>
      </c>
      <c r="AX18" s="429">
        <f t="shared" si="35"/>
        <v>0</v>
      </c>
      <c r="AY18" s="429">
        <f t="shared" si="35"/>
        <v>0</v>
      </c>
      <c r="AZ18" s="553">
        <f t="shared" si="35"/>
        <v>0</v>
      </c>
      <c r="BA18" s="553">
        <f t="shared" si="35"/>
        <v>0.05</v>
      </c>
      <c r="BB18" s="432">
        <f t="shared" si="35"/>
        <v>0</v>
      </c>
      <c r="BC18" s="432">
        <f t="shared" si="35"/>
        <v>0</v>
      </c>
      <c r="BE18" s="424" t="s">
        <v>1</v>
      </c>
      <c r="BF18" s="304" t="str">
        <f>D4</f>
        <v>D. Gehmacher</v>
      </c>
      <c r="BG18" s="429">
        <f>BG4</f>
        <v>0</v>
      </c>
      <c r="BH18" s="429">
        <f t="shared" ref="BH18:BQ18" si="36">BH4</f>
        <v>0</v>
      </c>
      <c r="BI18" s="429">
        <f t="shared" si="36"/>
        <v>0</v>
      </c>
      <c r="BJ18" s="429">
        <f t="shared" si="36"/>
        <v>0</v>
      </c>
      <c r="BK18" s="429">
        <f t="shared" si="36"/>
        <v>0</v>
      </c>
      <c r="BL18" s="429">
        <f t="shared" si="36"/>
        <v>0</v>
      </c>
      <c r="BM18" s="429">
        <f t="shared" si="36"/>
        <v>0</v>
      </c>
      <c r="BN18" s="553">
        <f t="shared" si="36"/>
        <v>0</v>
      </c>
      <c r="BO18" s="553">
        <f t="shared" si="36"/>
        <v>0.05</v>
      </c>
      <c r="BP18" s="432">
        <f t="shared" si="36"/>
        <v>0</v>
      </c>
      <c r="BQ18" s="432">
        <f t="shared" si="36"/>
        <v>0</v>
      </c>
    </row>
    <row r="19" spans="1:69" s="247" customFormat="1" x14ac:dyDescent="0.25">
      <c r="A19" s="305" t="s">
        <v>623</v>
      </c>
      <c r="B19" s="260" t="s">
        <v>64</v>
      </c>
      <c r="C19" s="261" t="e">
        <f t="shared" si="11"/>
        <v>#REF!</v>
      </c>
      <c r="D19" s="294" t="s">
        <v>624</v>
      </c>
      <c r="E19" s="387" t="e">
        <f>PLANTILLA!#REF!</f>
        <v>#REF!</v>
      </c>
      <c r="F19" s="387" t="e">
        <f>PLANTILLA!#REF!</f>
        <v>#REF!</v>
      </c>
      <c r="G19" s="388" t="s">
        <v>502</v>
      </c>
      <c r="H19" s="371">
        <v>4</v>
      </c>
      <c r="I19" s="308" t="e">
        <f>PLANTILLA!#REF!</f>
        <v>#REF!</v>
      </c>
      <c r="J19" s="485" t="e">
        <f>PLANTILLA!#REF!</f>
        <v>#REF!</v>
      </c>
      <c r="K19" s="485" t="e">
        <f>PLANTILLA!#REF!</f>
        <v>#REF!</v>
      </c>
      <c r="L19" s="485" t="e">
        <f>PLANTILLA!#REF!</f>
        <v>#REF!</v>
      </c>
      <c r="M19" s="485" t="e">
        <f>PLANTILLA!#REF!</f>
        <v>#REF!</v>
      </c>
      <c r="N19" s="485" t="e">
        <f>PLANTILLA!#REF!</f>
        <v>#REF!</v>
      </c>
      <c r="O19" s="485" t="e">
        <f>PLANTILLA!#REF!</f>
        <v>#REF!</v>
      </c>
      <c r="P19" s="485" t="e">
        <f>PLANTILLA!#REF!</f>
        <v>#REF!</v>
      </c>
      <c r="Q19" s="410" t="e">
        <f t="shared" si="4"/>
        <v>#REF!</v>
      </c>
      <c r="R19" s="411" t="e">
        <f t="shared" si="5"/>
        <v>#REF!</v>
      </c>
      <c r="S19" s="180"/>
      <c r="T19" s="180"/>
      <c r="U19" s="180"/>
      <c r="V19" s="180"/>
      <c r="W19" s="180"/>
      <c r="X19" s="180"/>
      <c r="Y19" s="180"/>
      <c r="Z19" s="180"/>
      <c r="AA19" s="296" t="e">
        <f t="shared" si="6"/>
        <v>#REF!</v>
      </c>
      <c r="AB19" s="505" t="e">
        <f>J19</f>
        <v>#REF!</v>
      </c>
      <c r="AC19" s="505" t="e">
        <f>K19+(T2/25)</f>
        <v>#REF!</v>
      </c>
      <c r="AD19" s="505" t="e">
        <f>L19+(U2/38)</f>
        <v>#REF!</v>
      </c>
      <c r="AE19" s="505" t="e">
        <f>M19+(V2/12)</f>
        <v>#REF!</v>
      </c>
      <c r="AF19" s="505" t="e">
        <f>N19+(W2/4)</f>
        <v>#REF!</v>
      </c>
      <c r="AG19" s="505" t="e">
        <f>O19+(X2/14)+(Y2/5)</f>
        <v>#REF!</v>
      </c>
      <c r="AH19" s="505" t="e">
        <f>P19+(Z2/1)+(Y$2/10)</f>
        <v>#REF!</v>
      </c>
      <c r="AI19" s="423" t="e">
        <f t="shared" si="12"/>
        <v>#REF!</v>
      </c>
      <c r="AJ19" s="423" t="e">
        <f t="shared" si="13"/>
        <v>#REF!</v>
      </c>
      <c r="AK19" s="423" t="e">
        <f t="shared" si="14"/>
        <v>#REF!</v>
      </c>
      <c r="AL19" s="423" t="e">
        <f t="shared" si="15"/>
        <v>#REF!</v>
      </c>
      <c r="AM19" s="423" t="e">
        <f t="shared" si="16"/>
        <v>#REF!</v>
      </c>
      <c r="AN19" s="423" t="e">
        <f t="shared" si="17"/>
        <v>#REF!</v>
      </c>
      <c r="AO19" s="423" t="e">
        <f t="shared" si="18"/>
        <v>#REF!</v>
      </c>
      <c r="AQ19" s="425" t="s">
        <v>569</v>
      </c>
      <c r="AR19" s="305" t="str">
        <f>D20</f>
        <v>B. Pinczehelyi</v>
      </c>
      <c r="AS19" s="430">
        <f>(AJ20*0.919)</f>
        <v>0</v>
      </c>
      <c r="AT19" s="430">
        <v>0</v>
      </c>
      <c r="AU19" s="430">
        <f>AJ20*0.414</f>
        <v>0</v>
      </c>
      <c r="AV19" s="430">
        <f>AK20*0.167</f>
        <v>0</v>
      </c>
      <c r="AW19" s="430">
        <f>AL20*0.588</f>
        <v>0</v>
      </c>
      <c r="AX19" s="430">
        <v>0</v>
      </c>
      <c r="AY19" s="430">
        <v>0</v>
      </c>
      <c r="AZ19" s="433">
        <f>AZ5</f>
        <v>0.03</v>
      </c>
      <c r="BA19" s="433">
        <f>BA5</f>
        <v>0.03</v>
      </c>
      <c r="BB19" s="433">
        <f>((AC20+1)+(AF20+1)*2)/8</f>
        <v>4.5175000000000001</v>
      </c>
      <c r="BC19" s="433">
        <f>((AJ20)+(AM20)*2)/8</f>
        <v>0</v>
      </c>
      <c r="BE19" s="425" t="s">
        <v>569</v>
      </c>
      <c r="BF19" s="305" t="str">
        <f>D8</f>
        <v>E. Toney</v>
      </c>
      <c r="BG19" s="430">
        <f t="shared" ref="BG19:BM19" si="37">AS5</f>
        <v>0</v>
      </c>
      <c r="BH19" s="430">
        <f t="shared" si="37"/>
        <v>0</v>
      </c>
      <c r="BI19" s="430">
        <f t="shared" si="37"/>
        <v>0</v>
      </c>
      <c r="BJ19" s="430">
        <f t="shared" si="37"/>
        <v>0</v>
      </c>
      <c r="BK19" s="430">
        <f t="shared" si="37"/>
        <v>0</v>
      </c>
      <c r="BL19" s="430">
        <f t="shared" si="37"/>
        <v>0</v>
      </c>
      <c r="BM19" s="430">
        <f t="shared" si="37"/>
        <v>0</v>
      </c>
      <c r="BN19" s="433">
        <f t="shared" ref="BN19" si="38">AZ5</f>
        <v>0.03</v>
      </c>
      <c r="BO19" s="433">
        <f>BA5</f>
        <v>0.03</v>
      </c>
      <c r="BP19" s="433">
        <f>BB5</f>
        <v>4.5175000000000001</v>
      </c>
      <c r="BQ19" s="433">
        <f>BC5</f>
        <v>0</v>
      </c>
    </row>
    <row r="20" spans="1:69" s="246" customFormat="1" x14ac:dyDescent="0.25">
      <c r="A20" s="304" t="s">
        <v>582</v>
      </c>
      <c r="B20" s="260" t="s">
        <v>2</v>
      </c>
      <c r="C20" s="261">
        <f t="shared" ca="1" si="11"/>
        <v>1.0178571428571428</v>
      </c>
      <c r="D20" s="294" t="str">
        <f>PLANTILLA!D7</f>
        <v>B. Pinczehelyi</v>
      </c>
      <c r="E20" s="387">
        <f>PLANTILLA!E7</f>
        <v>31</v>
      </c>
      <c r="F20" s="394">
        <f ca="1">PLANTILLA!F7</f>
        <v>110</v>
      </c>
      <c r="G20" s="388" t="s">
        <v>502</v>
      </c>
      <c r="H20" s="371">
        <v>2</v>
      </c>
      <c r="I20" s="308">
        <f>PLANTILLA!I7</f>
        <v>16</v>
      </c>
      <c r="J20" s="485">
        <f>PLANTILLA!X7</f>
        <v>0</v>
      </c>
      <c r="K20" s="485">
        <f>PLANTILLA!Y7</f>
        <v>14.300000000000004</v>
      </c>
      <c r="L20" s="485">
        <f>PLANTILLA!Z7</f>
        <v>9.3793333333333351</v>
      </c>
      <c r="M20" s="485">
        <f>PLANTILLA!AA7</f>
        <v>14.333333333333329</v>
      </c>
      <c r="N20" s="485">
        <f>PLANTILLA!AB7</f>
        <v>9.4199999999999982</v>
      </c>
      <c r="O20" s="485">
        <f>PLANTILLA!AC7</f>
        <v>1.1428571428571428</v>
      </c>
      <c r="P20" s="485">
        <f>PLANTILLA!AD7</f>
        <v>11</v>
      </c>
      <c r="Q20" s="410">
        <f t="shared" si="4"/>
        <v>31</v>
      </c>
      <c r="R20" s="411">
        <f t="shared" ca="1" si="5"/>
        <v>117</v>
      </c>
      <c r="S20" s="180"/>
      <c r="T20" s="180"/>
      <c r="U20" s="180"/>
      <c r="V20" s="180"/>
      <c r="W20" s="180"/>
      <c r="X20" s="180"/>
      <c r="Y20" s="180"/>
      <c r="Z20" s="180"/>
      <c r="AA20" s="296">
        <f t="shared" si="6"/>
        <v>16</v>
      </c>
      <c r="AB20" s="505">
        <f t="shared" si="20"/>
        <v>0</v>
      </c>
      <c r="AC20" s="505">
        <f>K20+(T$2/20)</f>
        <v>14.300000000000004</v>
      </c>
      <c r="AD20" s="505">
        <f>L20+(U$2/50)</f>
        <v>9.3793333333333351</v>
      </c>
      <c r="AE20" s="505">
        <f>M20+(V$2/35)</f>
        <v>14.333333333333329</v>
      </c>
      <c r="AF20" s="505">
        <f>N20+(W$2/7)</f>
        <v>9.4199999999999982</v>
      </c>
      <c r="AG20" s="505">
        <f>O20+(X$2/3)+(Y$2/7)</f>
        <v>1.1428571428571428</v>
      </c>
      <c r="AH20" s="505">
        <f>P20+(Z$2/1)+(Y$2/10)</f>
        <v>12</v>
      </c>
      <c r="AI20" s="423">
        <f t="shared" si="12"/>
        <v>0</v>
      </c>
      <c r="AJ20" s="423">
        <f t="shared" si="13"/>
        <v>0</v>
      </c>
      <c r="AK20" s="423">
        <f t="shared" si="14"/>
        <v>0</v>
      </c>
      <c r="AL20" s="423">
        <f t="shared" si="15"/>
        <v>0</v>
      </c>
      <c r="AM20" s="423">
        <f t="shared" si="16"/>
        <v>0</v>
      </c>
      <c r="AN20" s="423">
        <f t="shared" si="17"/>
        <v>0</v>
      </c>
      <c r="AO20" s="423">
        <f t="shared" si="18"/>
        <v>1</v>
      </c>
      <c r="AQ20" s="529" t="s">
        <v>66</v>
      </c>
      <c r="AR20" s="260" t="str">
        <f>D23</f>
        <v>P .Trivadi</v>
      </c>
      <c r="AS20" s="429">
        <v>0</v>
      </c>
      <c r="AT20" s="429">
        <v>0</v>
      </c>
      <c r="AU20" s="429">
        <v>0</v>
      </c>
      <c r="AV20" s="431">
        <f>AK23*0.25</f>
        <v>0</v>
      </c>
      <c r="AW20" s="431">
        <f>(AM23*0.142)+(AL23*0.221)+(AN23*0.26)</f>
        <v>0</v>
      </c>
      <c r="AX20" s="429">
        <f>AW20</f>
        <v>0</v>
      </c>
      <c r="AY20" s="431">
        <f>(AM23*0.369)+(AN23*1)</f>
        <v>0</v>
      </c>
      <c r="AZ20" s="434">
        <f>(0.5*AN23+0.3*AO23)/10</f>
        <v>1.9999999999999983E-2</v>
      </c>
      <c r="BA20" s="434">
        <f>(0.4*AJ23+0.3*AO23)/10</f>
        <v>1.9999999999999983E-2</v>
      </c>
      <c r="BB20" s="433">
        <f>((AC23+1)+(AF23+1)*2)/8</f>
        <v>3.6274999999999999</v>
      </c>
      <c r="BC20" s="433">
        <f>((AJ23)+(AM23)*2)/8</f>
        <v>0</v>
      </c>
      <c r="BE20" s="426" t="s">
        <v>648</v>
      </c>
      <c r="BF20" s="260" t="str">
        <f>D7</f>
        <v>D. Toh</v>
      </c>
      <c r="BG20" s="431">
        <f>AJ7*0.754</f>
        <v>0</v>
      </c>
      <c r="BH20" s="431">
        <v>0</v>
      </c>
      <c r="BI20" s="431">
        <f>AJ7*0.708</f>
        <v>0</v>
      </c>
      <c r="BJ20" s="431">
        <f>AK7*0.165</f>
        <v>0</v>
      </c>
      <c r="BK20" s="431">
        <f>AL7*0.286</f>
        <v>0</v>
      </c>
      <c r="BL20" s="431">
        <v>0</v>
      </c>
      <c r="BM20" s="431">
        <v>0</v>
      </c>
      <c r="BN20" s="434">
        <f>BN6</f>
        <v>1.2000000000000011E-2</v>
      </c>
      <c r="BO20" s="434">
        <f>BO6</f>
        <v>1.2000000000000011E-2</v>
      </c>
      <c r="BP20" s="433">
        <f>((AC7+1)+(AF7+1)*2)/8</f>
        <v>3.6903611111111116</v>
      </c>
      <c r="BQ20" s="433">
        <f>((AJ7)+(AM7)*2)/8</f>
        <v>0</v>
      </c>
    </row>
    <row r="21" spans="1:69" s="259" customFormat="1" x14ac:dyDescent="0.25">
      <c r="A21" s="384" t="s">
        <v>484</v>
      </c>
      <c r="B21" s="384" t="s">
        <v>66</v>
      </c>
      <c r="C21" s="385">
        <f t="shared" ca="1" si="11"/>
        <v>1.375</v>
      </c>
      <c r="D21" s="386" t="s">
        <v>287</v>
      </c>
      <c r="E21" s="387">
        <f>PLANTILLA!E21</f>
        <v>31</v>
      </c>
      <c r="F21" s="387">
        <f ca="1">PLANTILLA!F21</f>
        <v>70</v>
      </c>
      <c r="G21" s="388" t="s">
        <v>296</v>
      </c>
      <c r="H21" s="371">
        <v>4</v>
      </c>
      <c r="I21" s="308">
        <f>PLANTILLA!I21</f>
        <v>11.8</v>
      </c>
      <c r="J21" s="485">
        <f>PLANTILLA!X21</f>
        <v>0</v>
      </c>
      <c r="K21" s="485">
        <f>PLANTILLA!Y21</f>
        <v>6.8376190476190493</v>
      </c>
      <c r="L21" s="485">
        <f>PLANTILLA!Z21</f>
        <v>8.9499999999999993</v>
      </c>
      <c r="M21" s="485">
        <f>PLANTILLA!AA21</f>
        <v>8.7399999999999967</v>
      </c>
      <c r="N21" s="485">
        <f>PLANTILLA!AB21</f>
        <v>10</v>
      </c>
      <c r="O21" s="485">
        <f>PLANTILLA!AC21</f>
        <v>8.5625000000000018</v>
      </c>
      <c r="P21" s="485">
        <f>PLANTILLA!AD21</f>
        <v>18.999999999999993</v>
      </c>
      <c r="Q21" s="410">
        <f t="shared" si="4"/>
        <v>31</v>
      </c>
      <c r="R21" s="411">
        <f t="shared" ca="1" si="5"/>
        <v>77</v>
      </c>
      <c r="S21" s="180"/>
      <c r="T21" s="180"/>
      <c r="U21" s="180"/>
      <c r="V21" s="180"/>
      <c r="W21" s="180"/>
      <c r="X21" s="180"/>
      <c r="Y21" s="180"/>
      <c r="Z21" s="180"/>
      <c r="AA21" s="296">
        <f t="shared" si="6"/>
        <v>11.8</v>
      </c>
      <c r="AB21" s="505">
        <f t="shared" si="20"/>
        <v>0</v>
      </c>
      <c r="AC21" s="505">
        <f>K21+(T$2/32)</f>
        <v>6.8376190476190493</v>
      </c>
      <c r="AD21" s="505">
        <f>L21+(U$2/7)</f>
        <v>8.9499999999999993</v>
      </c>
      <c r="AE21" s="505">
        <f>M21+(V$2/25)</f>
        <v>8.7399999999999967</v>
      </c>
      <c r="AF21" s="505">
        <f>N21+(W$2/8)</f>
        <v>10</v>
      </c>
      <c r="AG21" s="505">
        <f>O21+(X$2/6)+(Y$2/5)/2</f>
        <v>8.5625000000000018</v>
      </c>
      <c r="AH21" s="505">
        <f>P21+(Z$2/2)+(Y$2/10)</f>
        <v>19.499999999999993</v>
      </c>
      <c r="AI21" s="423">
        <f t="shared" si="12"/>
        <v>0</v>
      </c>
      <c r="AJ21" s="423">
        <f t="shared" si="13"/>
        <v>0</v>
      </c>
      <c r="AK21" s="423">
        <f t="shared" si="14"/>
        <v>0</v>
      </c>
      <c r="AL21" s="423">
        <f t="shared" si="15"/>
        <v>0</v>
      </c>
      <c r="AM21" s="423">
        <f t="shared" si="16"/>
        <v>0</v>
      </c>
      <c r="AN21" s="423">
        <f t="shared" si="17"/>
        <v>0</v>
      </c>
      <c r="AO21" s="423">
        <f t="shared" si="18"/>
        <v>0.5</v>
      </c>
      <c r="AQ21" s="426" t="s">
        <v>569</v>
      </c>
      <c r="AR21" s="260" t="str">
        <f>D8</f>
        <v>E. Toney</v>
      </c>
      <c r="AS21" s="431">
        <v>0</v>
      </c>
      <c r="AT21" s="431">
        <f>AJ17*0.919</f>
        <v>0</v>
      </c>
      <c r="AU21" s="431">
        <f>AJ8*0.414</f>
        <v>0</v>
      </c>
      <c r="AV21" s="431">
        <f>AK8*0.167</f>
        <v>0</v>
      </c>
      <c r="AW21" s="431">
        <v>0</v>
      </c>
      <c r="AX21" s="431">
        <f>AL8*0.588</f>
        <v>0</v>
      </c>
      <c r="AY21" s="431">
        <v>0</v>
      </c>
      <c r="AZ21" s="434">
        <f>AZ5</f>
        <v>0.03</v>
      </c>
      <c r="BA21" s="434">
        <f>BA5</f>
        <v>0.03</v>
      </c>
      <c r="BB21" s="434">
        <f>BB5</f>
        <v>4.5175000000000001</v>
      </c>
      <c r="BC21" s="434">
        <f>BC5</f>
        <v>0</v>
      </c>
      <c r="BE21" s="426" t="s">
        <v>601</v>
      </c>
      <c r="BF21" s="260" t="str">
        <f>D16</f>
        <v>E. Gross</v>
      </c>
      <c r="BG21" s="431">
        <f t="shared" ref="BG21:BM21" si="39">AS6</f>
        <v>0</v>
      </c>
      <c r="BH21" s="431">
        <f t="shared" si="39"/>
        <v>0</v>
      </c>
      <c r="BI21" s="431">
        <f t="shared" si="39"/>
        <v>0</v>
      </c>
      <c r="BJ21" s="431">
        <f t="shared" si="39"/>
        <v>0</v>
      </c>
      <c r="BK21" s="431">
        <f t="shared" si="39"/>
        <v>0</v>
      </c>
      <c r="BL21" s="431">
        <f t="shared" si="39"/>
        <v>0</v>
      </c>
      <c r="BM21" s="431">
        <f t="shared" si="39"/>
        <v>0</v>
      </c>
      <c r="BN21" s="434">
        <f t="shared" ref="BN21" si="40">AZ6</f>
        <v>1.1999999999999957E-2</v>
      </c>
      <c r="BO21" s="434">
        <f t="shared" ref="BO21:BQ22" si="41">BA6</f>
        <v>1.1999999999999957E-2</v>
      </c>
      <c r="BP21" s="433">
        <f t="shared" si="41"/>
        <v>4.0037499999999993</v>
      </c>
      <c r="BQ21" s="433">
        <f t="shared" si="41"/>
        <v>0</v>
      </c>
    </row>
    <row r="22" spans="1:69" s="254" customFormat="1" x14ac:dyDescent="0.25">
      <c r="A22" s="384" t="s">
        <v>495</v>
      </c>
      <c r="B22" s="384" t="s">
        <v>66</v>
      </c>
      <c r="C22" s="385">
        <f t="shared" ca="1" si="11"/>
        <v>0.7589285714285714</v>
      </c>
      <c r="D22" s="386" t="str">
        <f>PLANTILLA!D22</f>
        <v>L. Calosso</v>
      </c>
      <c r="E22" s="387">
        <f>PLANTILLA!E22</f>
        <v>32</v>
      </c>
      <c r="F22" s="387">
        <f ca="1">PLANTILLA!F22</f>
        <v>27</v>
      </c>
      <c r="G22" s="388"/>
      <c r="H22" s="371">
        <v>4</v>
      </c>
      <c r="I22" s="308">
        <f>PLANTILLA!I22</f>
        <v>12.1</v>
      </c>
      <c r="J22" s="485">
        <f>PLANTILLA!X22</f>
        <v>0</v>
      </c>
      <c r="K22" s="485">
        <f>PLANTILLA!Y22</f>
        <v>3.02</v>
      </c>
      <c r="L22" s="485">
        <f>PLANTILLA!Z22</f>
        <v>14.277609523809524</v>
      </c>
      <c r="M22" s="485">
        <f>PLANTILLA!AA22</f>
        <v>3.04</v>
      </c>
      <c r="N22" s="485">
        <f>PLANTILLA!AB22</f>
        <v>15.02</v>
      </c>
      <c r="O22" s="485">
        <f>PLANTILLA!AC22</f>
        <v>9.9499999999999993</v>
      </c>
      <c r="P22" s="485">
        <f>PLANTILLA!AD22</f>
        <v>11</v>
      </c>
      <c r="Q22" s="410">
        <f t="shared" si="4"/>
        <v>32</v>
      </c>
      <c r="R22" s="411">
        <f t="shared" ca="1" si="5"/>
        <v>34</v>
      </c>
      <c r="S22" s="180"/>
      <c r="T22" s="180"/>
      <c r="U22" s="180"/>
      <c r="V22" s="180"/>
      <c r="W22" s="180"/>
      <c r="X22" s="180"/>
      <c r="Y22" s="180"/>
      <c r="Z22" s="180"/>
      <c r="AA22" s="296">
        <f t="shared" si="6"/>
        <v>12.1</v>
      </c>
      <c r="AB22" s="505">
        <f t="shared" si="20"/>
        <v>0</v>
      </c>
      <c r="AC22" s="505">
        <f>K22+(T$2/21)</f>
        <v>3.02</v>
      </c>
      <c r="AD22" s="505">
        <f>L22+(U$2/21)</f>
        <v>14.277609523809524</v>
      </c>
      <c r="AE22" s="505">
        <f>M22+(V$2/22)</f>
        <v>3.04</v>
      </c>
      <c r="AF22" s="505">
        <f>N22+(W$2/17)</f>
        <v>15.02</v>
      </c>
      <c r="AG22" s="505">
        <f>O22+(X$2/25)+(Y$2/8)</f>
        <v>9.9499999999999993</v>
      </c>
      <c r="AH22" s="505">
        <f>P22+(Z$2/1)+(Y$2/10)</f>
        <v>12</v>
      </c>
      <c r="AI22" s="423">
        <f t="shared" si="12"/>
        <v>0</v>
      </c>
      <c r="AJ22" s="423">
        <f t="shared" si="13"/>
        <v>0</v>
      </c>
      <c r="AK22" s="423">
        <f t="shared" si="14"/>
        <v>0</v>
      </c>
      <c r="AL22" s="423">
        <f t="shared" si="15"/>
        <v>0</v>
      </c>
      <c r="AM22" s="423">
        <f t="shared" si="16"/>
        <v>0</v>
      </c>
      <c r="AN22" s="423">
        <f t="shared" si="17"/>
        <v>0</v>
      </c>
      <c r="AO22" s="423">
        <f t="shared" si="18"/>
        <v>1</v>
      </c>
      <c r="AQ22" s="528" t="s">
        <v>649</v>
      </c>
      <c r="AR22" s="304" t="str">
        <f>AR8</f>
        <v>E.Romweber</v>
      </c>
      <c r="AS22" s="429">
        <f>AS8</f>
        <v>0</v>
      </c>
      <c r="AT22" s="429">
        <f t="shared" ref="AT22:AY22" si="42">AT8</f>
        <v>0</v>
      </c>
      <c r="AU22" s="429">
        <f t="shared" si="42"/>
        <v>0</v>
      </c>
      <c r="AV22" s="429">
        <f t="shared" si="42"/>
        <v>0</v>
      </c>
      <c r="AW22" s="429">
        <f>AW8</f>
        <v>0</v>
      </c>
      <c r="AX22" s="429">
        <f t="shared" si="42"/>
        <v>0</v>
      </c>
      <c r="AY22" s="429">
        <f t="shared" si="42"/>
        <v>0</v>
      </c>
      <c r="AZ22" s="432">
        <f>AZ8</f>
        <v>1.1999999999999957E-2</v>
      </c>
      <c r="BA22" s="432">
        <f t="shared" ref="BA22:BC22" si="43">BA8</f>
        <v>1.1999999999999957E-2</v>
      </c>
      <c r="BB22" s="432">
        <f t="shared" si="43"/>
        <v>0</v>
      </c>
      <c r="BC22" s="432">
        <f t="shared" si="43"/>
        <v>0</v>
      </c>
      <c r="BE22" s="426" t="s">
        <v>648</v>
      </c>
      <c r="BF22" s="304" t="str">
        <f>D9</f>
        <v>B. Bartolache</v>
      </c>
      <c r="BG22" s="429">
        <v>0</v>
      </c>
      <c r="BH22" s="429">
        <f>AJ9*0.754</f>
        <v>0</v>
      </c>
      <c r="BI22" s="429">
        <f>AJ9*0.708</f>
        <v>0</v>
      </c>
      <c r="BJ22" s="429">
        <f>AK9*0.165</f>
        <v>0</v>
      </c>
      <c r="BK22" s="429">
        <v>0</v>
      </c>
      <c r="BL22" s="429">
        <f>AL9*0.286</f>
        <v>0</v>
      </c>
      <c r="BM22" s="429">
        <v>0</v>
      </c>
      <c r="BN22" s="432">
        <f>AZ7</f>
        <v>1.1999999999999957E-2</v>
      </c>
      <c r="BO22" s="432">
        <f t="shared" si="41"/>
        <v>1.1999999999999957E-2</v>
      </c>
      <c r="BP22" s="432">
        <f t="shared" si="41"/>
        <v>4.3000000000000007</v>
      </c>
      <c r="BQ22" s="432">
        <f t="shared" si="41"/>
        <v>0</v>
      </c>
    </row>
    <row r="23" spans="1:69" s="264" customFormat="1" x14ac:dyDescent="0.25">
      <c r="A23" s="384" t="s">
        <v>540</v>
      </c>
      <c r="B23" s="384" t="s">
        <v>66</v>
      </c>
      <c r="C23" s="261">
        <f t="shared" ca="1" si="11"/>
        <v>4.0982142857142856</v>
      </c>
      <c r="D23" s="294" t="s">
        <v>541</v>
      </c>
      <c r="E23" s="387">
        <f>PLANTILLA!E23</f>
        <v>28</v>
      </c>
      <c r="F23" s="387">
        <f ca="1">PLANTILLA!F23</f>
        <v>101</v>
      </c>
      <c r="G23" s="388"/>
      <c r="H23" s="395">
        <v>6</v>
      </c>
      <c r="I23" s="308">
        <f>PLANTILLA!I23</f>
        <v>5.8</v>
      </c>
      <c r="J23" s="485">
        <f>PLANTILLA!X23</f>
        <v>0</v>
      </c>
      <c r="K23" s="485">
        <f>PLANTILLA!Y23</f>
        <v>4.0199999999999996</v>
      </c>
      <c r="L23" s="485">
        <f>PLANTILLA!Z23</f>
        <v>5.5738722222222199</v>
      </c>
      <c r="M23" s="485">
        <f>PLANTILLA!AA23</f>
        <v>5.5099999999999989</v>
      </c>
      <c r="N23" s="485">
        <f>PLANTILLA!AB23</f>
        <v>11</v>
      </c>
      <c r="O23" s="485">
        <f>PLANTILLA!AC23</f>
        <v>8.384500000000001</v>
      </c>
      <c r="P23" s="485">
        <f>PLANTILLA!AD23</f>
        <v>13.566666666666668</v>
      </c>
      <c r="Q23" s="410">
        <f t="shared" si="4"/>
        <v>28</v>
      </c>
      <c r="R23" s="411">
        <f t="shared" ca="1" si="5"/>
        <v>108</v>
      </c>
      <c r="S23" s="180"/>
      <c r="T23" s="180"/>
      <c r="U23" s="180"/>
      <c r="V23" s="180"/>
      <c r="W23" s="180"/>
      <c r="X23" s="180"/>
      <c r="Y23" s="180"/>
      <c r="Z23" s="180"/>
      <c r="AA23" s="296">
        <f t="shared" si="6"/>
        <v>5.8</v>
      </c>
      <c r="AB23" s="505">
        <f t="shared" si="20"/>
        <v>0</v>
      </c>
      <c r="AC23" s="505">
        <f>K23+(T$2/20)</f>
        <v>4.0199999999999996</v>
      </c>
      <c r="AD23" s="505">
        <f>L23+(U$2/27)</f>
        <v>5.5738722222222199</v>
      </c>
      <c r="AE23" s="505">
        <f>M23+(V$2/21)</f>
        <v>5.5099999999999989</v>
      </c>
      <c r="AF23" s="505">
        <f>N23+(W$2/8)</f>
        <v>11</v>
      </c>
      <c r="AG23" s="505">
        <f>O23+(X$2/5)+(Y$2/5)/2</f>
        <v>8.384500000000001</v>
      </c>
      <c r="AH23" s="505">
        <f>P23+(Z$2/1.5)+(Y$2/10)</f>
        <v>14.233333333333334</v>
      </c>
      <c r="AI23" s="423">
        <f t="shared" si="12"/>
        <v>0</v>
      </c>
      <c r="AJ23" s="423">
        <f t="shared" si="13"/>
        <v>0</v>
      </c>
      <c r="AK23" s="423">
        <f t="shared" si="14"/>
        <v>0</v>
      </c>
      <c r="AL23" s="423">
        <f t="shared" si="15"/>
        <v>0</v>
      </c>
      <c r="AM23" s="423">
        <f t="shared" si="16"/>
        <v>0</v>
      </c>
      <c r="AN23" s="423">
        <f t="shared" si="17"/>
        <v>0</v>
      </c>
      <c r="AO23" s="423">
        <f t="shared" si="18"/>
        <v>0.66666666666666607</v>
      </c>
      <c r="AQ23" s="426" t="s">
        <v>503</v>
      </c>
      <c r="AR23" s="260" t="str">
        <f>D14</f>
        <v>S. Buscleman</v>
      </c>
      <c r="AS23" s="431">
        <f t="shared" ref="AS23:AS28" si="44">AS9</f>
        <v>0</v>
      </c>
      <c r="AT23" s="431">
        <f t="shared" ref="AT23:BC23" si="45">AT9</f>
        <v>0</v>
      </c>
      <c r="AU23" s="431">
        <f t="shared" si="45"/>
        <v>0</v>
      </c>
      <c r="AV23" s="431">
        <f t="shared" si="45"/>
        <v>0</v>
      </c>
      <c r="AW23" s="431">
        <f t="shared" si="45"/>
        <v>0</v>
      </c>
      <c r="AX23" s="431">
        <f t="shared" si="45"/>
        <v>0</v>
      </c>
      <c r="AY23" s="431">
        <f t="shared" si="45"/>
        <v>0</v>
      </c>
      <c r="AZ23" s="434">
        <f t="shared" si="45"/>
        <v>3.0000000000000054E-2</v>
      </c>
      <c r="BA23" s="434">
        <f t="shared" si="45"/>
        <v>3.0000000000000054E-2</v>
      </c>
      <c r="BB23" s="434">
        <f t="shared" si="45"/>
        <v>0</v>
      </c>
      <c r="BC23" s="434">
        <f t="shared" si="45"/>
        <v>0</v>
      </c>
      <c r="BE23" s="426" t="s">
        <v>569</v>
      </c>
      <c r="BF23" s="260" t="str">
        <f>D11</f>
        <v>E.Romweber</v>
      </c>
      <c r="BG23" s="431">
        <v>0</v>
      </c>
      <c r="BH23" s="431">
        <f>AJ11*0.919</f>
        <v>0</v>
      </c>
      <c r="BI23" s="431">
        <f>AJ11*0.414</f>
        <v>0</v>
      </c>
      <c r="BJ23" s="431">
        <f>AK11*0.167</f>
        <v>0</v>
      </c>
      <c r="BK23" s="431">
        <v>0</v>
      </c>
      <c r="BL23" s="431">
        <f>AL11*0.588</f>
        <v>0</v>
      </c>
      <c r="BM23" s="431">
        <v>0</v>
      </c>
      <c r="BN23" s="434">
        <f>AZ8</f>
        <v>1.1999999999999957E-2</v>
      </c>
      <c r="BO23" s="434">
        <f>BA8</f>
        <v>1.1999999999999957E-2</v>
      </c>
      <c r="BP23" s="434">
        <f>((AC11+1)+(AF11+1)*2)/8</f>
        <v>4.6326388888888888</v>
      </c>
      <c r="BQ23" s="434">
        <f>((AJ11)+(AM11)*2)/8</f>
        <v>0</v>
      </c>
    </row>
    <row r="24" spans="1:69" s="248" customFormat="1" x14ac:dyDescent="0.25">
      <c r="A24"/>
      <c r="B24"/>
      <c r="C24" s="218"/>
      <c r="D24" s="179"/>
      <c r="E24"/>
      <c r="F24"/>
      <c r="G24" s="421"/>
      <c r="H24" s="4"/>
      <c r="I24"/>
      <c r="J24" s="156"/>
      <c r="K24"/>
      <c r="L24"/>
      <c r="M24"/>
      <c r="N24"/>
      <c r="O24"/>
      <c r="P24"/>
      <c r="Q24" s="451"/>
      <c r="R24" s="451"/>
      <c r="S24" s="341">
        <f t="shared" ref="S24:Z24" si="46">SUM(S21:S23)</f>
        <v>0</v>
      </c>
      <c r="T24" s="341">
        <f t="shared" si="46"/>
        <v>0</v>
      </c>
      <c r="U24" s="341">
        <f t="shared" si="46"/>
        <v>0</v>
      </c>
      <c r="V24" s="341">
        <f t="shared" si="46"/>
        <v>0</v>
      </c>
      <c r="W24" s="341">
        <f t="shared" si="46"/>
        <v>0</v>
      </c>
      <c r="X24" s="341">
        <f t="shared" si="46"/>
        <v>0</v>
      </c>
      <c r="Y24" s="341"/>
      <c r="Z24" s="341">
        <f t="shared" si="46"/>
        <v>0</v>
      </c>
      <c r="AA24" s="421"/>
      <c r="AB24" s="421"/>
      <c r="AC24" s="421"/>
      <c r="AD24" s="421"/>
      <c r="AE24" s="421"/>
      <c r="AF24" s="421"/>
      <c r="AG24" s="421"/>
      <c r="AH24" s="421"/>
      <c r="AI24"/>
      <c r="AJ24"/>
      <c r="AK24"/>
      <c r="AL24"/>
      <c r="AM24"/>
      <c r="AN24"/>
      <c r="AO24"/>
      <c r="AQ24" s="426" t="s">
        <v>651</v>
      </c>
      <c r="AR24" s="260" t="str">
        <f>AR10</f>
        <v>L. Bauman</v>
      </c>
      <c r="AS24" s="431">
        <f t="shared" si="44"/>
        <v>0</v>
      </c>
      <c r="AT24" s="431">
        <f t="shared" ref="AT24:AY24" si="47">AT10</f>
        <v>0</v>
      </c>
      <c r="AU24" s="431">
        <f t="shared" si="47"/>
        <v>0</v>
      </c>
      <c r="AV24" s="431">
        <f t="shared" si="47"/>
        <v>0</v>
      </c>
      <c r="AW24" s="431">
        <f t="shared" si="47"/>
        <v>0</v>
      </c>
      <c r="AX24" s="431">
        <f t="shared" si="47"/>
        <v>0</v>
      </c>
      <c r="AY24" s="431">
        <f t="shared" si="47"/>
        <v>0</v>
      </c>
      <c r="AZ24" s="434">
        <f>AZ10</f>
        <v>1.1999999999999957E-2</v>
      </c>
      <c r="BA24" s="434">
        <f t="shared" ref="BA24:BC24" si="48">BA10</f>
        <v>1.1999999999999957E-2</v>
      </c>
      <c r="BB24" s="434">
        <f t="shared" si="48"/>
        <v>0</v>
      </c>
      <c r="BC24" s="434">
        <f t="shared" si="48"/>
        <v>0</v>
      </c>
      <c r="BE24" s="529" t="s">
        <v>650</v>
      </c>
      <c r="BF24" s="260" t="str">
        <f>D12</f>
        <v>K. Helms</v>
      </c>
      <c r="BG24" s="429">
        <f>AT12</f>
        <v>0</v>
      </c>
      <c r="BH24" s="429">
        <f>AS12</f>
        <v>0</v>
      </c>
      <c r="BI24" s="429">
        <f>AU12</f>
        <v>0</v>
      </c>
      <c r="BJ24" s="429">
        <f>AV12</f>
        <v>0</v>
      </c>
      <c r="BK24" s="429">
        <f>AX12</f>
        <v>0</v>
      </c>
      <c r="BL24" s="429">
        <v>0</v>
      </c>
      <c r="BM24" s="429">
        <f>AY12</f>
        <v>0</v>
      </c>
      <c r="BN24" s="432">
        <f>AZ12</f>
        <v>1.1999999999999957E-2</v>
      </c>
      <c r="BO24" s="432">
        <f t="shared" ref="BO24:BQ24" si="49">BA12</f>
        <v>1.1999999999999957E-2</v>
      </c>
      <c r="BP24" s="432">
        <f t="shared" si="49"/>
        <v>0</v>
      </c>
      <c r="BQ24" s="432">
        <f t="shared" si="49"/>
        <v>0</v>
      </c>
    </row>
    <row r="25" spans="1:69" s="246" customFormat="1" x14ac:dyDescent="0.25">
      <c r="A25"/>
      <c r="B25"/>
      <c r="C25" s="218"/>
      <c r="D25" s="179"/>
      <c r="E25"/>
      <c r="F25"/>
      <c r="G25" s="421"/>
      <c r="H25" s="4"/>
      <c r="I25"/>
      <c r="J25" s="156"/>
      <c r="K25"/>
      <c r="L25"/>
      <c r="M25"/>
      <c r="N25"/>
      <c r="O25"/>
      <c r="P25"/>
      <c r="Q25" s="451"/>
      <c r="R25" s="451"/>
      <c r="S25" s="421"/>
      <c r="T25" s="421"/>
      <c r="U25" s="421"/>
      <c r="V25" s="421"/>
      <c r="W25" s="421"/>
      <c r="X25" s="421"/>
      <c r="Y25" s="527"/>
      <c r="Z25" s="421"/>
      <c r="AA25" s="421"/>
      <c r="AB25" s="421"/>
      <c r="AC25" s="421"/>
      <c r="AD25" s="421"/>
      <c r="AE25" s="421"/>
      <c r="AF25" s="421"/>
      <c r="AG25" s="421"/>
      <c r="AH25" s="421"/>
      <c r="AI25"/>
      <c r="AJ25"/>
      <c r="AK25"/>
      <c r="AL25"/>
      <c r="AM25"/>
      <c r="AN25"/>
      <c r="AO25"/>
      <c r="AQ25" s="426" t="s">
        <v>503</v>
      </c>
      <c r="AR25" s="260" t="str">
        <f>D15</f>
        <v>C. Rojas</v>
      </c>
      <c r="AS25" s="431">
        <f t="shared" si="44"/>
        <v>0</v>
      </c>
      <c r="AT25" s="431">
        <f t="shared" ref="AT25:BC25" si="50">AT11</f>
        <v>0</v>
      </c>
      <c r="AU25" s="431">
        <f t="shared" si="50"/>
        <v>0</v>
      </c>
      <c r="AV25" s="431">
        <f t="shared" si="50"/>
        <v>0</v>
      </c>
      <c r="AW25" s="431">
        <f t="shared" si="50"/>
        <v>0</v>
      </c>
      <c r="AX25" s="431">
        <f t="shared" si="50"/>
        <v>0</v>
      </c>
      <c r="AY25" s="431">
        <f t="shared" si="50"/>
        <v>0</v>
      </c>
      <c r="AZ25" s="434">
        <f t="shared" si="50"/>
        <v>1.4999999999999999E-2</v>
      </c>
      <c r="BA25" s="434">
        <f t="shared" si="50"/>
        <v>1.4999999999999999E-2</v>
      </c>
      <c r="BB25" s="434">
        <f t="shared" si="50"/>
        <v>0</v>
      </c>
      <c r="BC25" s="434">
        <f t="shared" si="50"/>
        <v>0</v>
      </c>
      <c r="BE25" s="426" t="s">
        <v>503</v>
      </c>
      <c r="BF25" s="260" t="str">
        <f>D14</f>
        <v>S. Buscleman</v>
      </c>
      <c r="BG25" s="431">
        <f t="shared" ref="BG25:BM25" si="51">AS9</f>
        <v>0</v>
      </c>
      <c r="BH25" s="431">
        <f t="shared" si="51"/>
        <v>0</v>
      </c>
      <c r="BI25" s="431">
        <f t="shared" si="51"/>
        <v>0</v>
      </c>
      <c r="BJ25" s="431">
        <f t="shared" si="51"/>
        <v>0</v>
      </c>
      <c r="BK25" s="431">
        <f t="shared" si="51"/>
        <v>0</v>
      </c>
      <c r="BL25" s="431">
        <f t="shared" si="51"/>
        <v>0</v>
      </c>
      <c r="BM25" s="431">
        <f t="shared" si="51"/>
        <v>0</v>
      </c>
      <c r="BN25" s="434">
        <f t="shared" ref="BN25" si="52">AZ9</f>
        <v>3.0000000000000054E-2</v>
      </c>
      <c r="BO25" s="434">
        <f>BA9</f>
        <v>3.0000000000000054E-2</v>
      </c>
      <c r="BP25" s="434">
        <f>BB9</f>
        <v>0</v>
      </c>
      <c r="BQ25" s="434">
        <f>BC9</f>
        <v>0</v>
      </c>
    </row>
    <row r="26" spans="1:69" s="264" customFormat="1" ht="14.25" customHeight="1" x14ac:dyDescent="0.25">
      <c r="A26"/>
      <c r="B26"/>
      <c r="C26" s="218"/>
      <c r="D26" s="179"/>
      <c r="E26"/>
      <c r="F26"/>
      <c r="G26" s="421"/>
      <c r="H26" s="4"/>
      <c r="I26"/>
      <c r="J26" s="156"/>
      <c r="K26"/>
      <c r="L26"/>
      <c r="M26"/>
      <c r="N26"/>
      <c r="O26"/>
      <c r="P26"/>
      <c r="Q26" s="451"/>
      <c r="R26" s="451"/>
      <c r="S26" s="421"/>
      <c r="T26" s="421"/>
      <c r="U26" s="421"/>
      <c r="V26" s="421"/>
      <c r="W26" s="421"/>
      <c r="X26" s="421"/>
      <c r="Y26" s="527"/>
      <c r="Z26" s="421"/>
      <c r="AA26" s="421"/>
      <c r="AB26" s="421"/>
      <c r="AC26" s="421"/>
      <c r="AD26" s="421"/>
      <c r="AE26" s="421"/>
      <c r="AF26" s="421"/>
      <c r="AG26" s="421"/>
      <c r="AH26" s="421"/>
      <c r="AI26"/>
      <c r="AJ26"/>
      <c r="AK26"/>
      <c r="AL26"/>
      <c r="AM26"/>
      <c r="AN26"/>
      <c r="AO26"/>
      <c r="AQ26" s="529" t="s">
        <v>650</v>
      </c>
      <c r="AR26" s="260" t="str">
        <f>AR12</f>
        <v>K. Helms</v>
      </c>
      <c r="AS26" s="431">
        <f t="shared" si="44"/>
        <v>0</v>
      </c>
      <c r="AT26" s="431">
        <f t="shared" ref="AT26:AY26" si="53">AT12</f>
        <v>0</v>
      </c>
      <c r="AU26" s="431">
        <f t="shared" si="53"/>
        <v>0</v>
      </c>
      <c r="AV26" s="431">
        <f t="shared" si="53"/>
        <v>0</v>
      </c>
      <c r="AW26" s="431">
        <f t="shared" si="53"/>
        <v>0</v>
      </c>
      <c r="AX26" s="431">
        <f t="shared" si="53"/>
        <v>0</v>
      </c>
      <c r="AY26" s="431">
        <f t="shared" si="53"/>
        <v>0</v>
      </c>
      <c r="AZ26" s="434">
        <f>AZ12</f>
        <v>1.1999999999999957E-2</v>
      </c>
      <c r="BA26" s="434">
        <f t="shared" ref="BA26:BC26" si="54">BA12</f>
        <v>1.1999999999999957E-2</v>
      </c>
      <c r="BB26" s="434">
        <f t="shared" si="54"/>
        <v>0</v>
      </c>
      <c r="BC26" s="434">
        <f t="shared" si="54"/>
        <v>0</v>
      </c>
      <c r="BE26" s="426" t="s">
        <v>503</v>
      </c>
      <c r="BF26" s="260" t="str">
        <f>D15</f>
        <v>C. Rojas</v>
      </c>
      <c r="BG26" s="431">
        <f t="shared" ref="BG26:BM26" si="55">AS11</f>
        <v>0</v>
      </c>
      <c r="BH26" s="431">
        <f t="shared" si="55"/>
        <v>0</v>
      </c>
      <c r="BI26" s="431">
        <f t="shared" si="55"/>
        <v>0</v>
      </c>
      <c r="BJ26" s="431">
        <f t="shared" si="55"/>
        <v>0</v>
      </c>
      <c r="BK26" s="431">
        <f t="shared" si="55"/>
        <v>0</v>
      </c>
      <c r="BL26" s="431">
        <f t="shared" si="55"/>
        <v>0</v>
      </c>
      <c r="BM26" s="431">
        <f t="shared" si="55"/>
        <v>0</v>
      </c>
      <c r="BN26" s="434">
        <f t="shared" ref="BN26" si="56">AZ11</f>
        <v>1.4999999999999999E-2</v>
      </c>
      <c r="BO26" s="434">
        <f>BA11</f>
        <v>1.4999999999999999E-2</v>
      </c>
      <c r="BP26" s="434">
        <f>BB11</f>
        <v>0</v>
      </c>
      <c r="BQ26" s="434">
        <f>BC11</f>
        <v>0</v>
      </c>
    </row>
    <row r="27" spans="1:69" x14ac:dyDescent="0.25">
      <c r="W27" s="421">
        <v>1</v>
      </c>
      <c r="AQ27" s="528" t="s">
        <v>66</v>
      </c>
      <c r="AR27" s="304" t="str">
        <f>D21</f>
        <v>J. Limon</v>
      </c>
      <c r="AS27" s="429">
        <f t="shared" si="44"/>
        <v>0</v>
      </c>
      <c r="AT27" s="429">
        <f t="shared" ref="AT27:BC27" si="57">AT13</f>
        <v>0</v>
      </c>
      <c r="AU27" s="429">
        <f t="shared" si="57"/>
        <v>0</v>
      </c>
      <c r="AV27" s="429">
        <f t="shared" si="57"/>
        <v>0</v>
      </c>
      <c r="AW27" s="429">
        <f t="shared" si="57"/>
        <v>0</v>
      </c>
      <c r="AX27" s="429">
        <f t="shared" si="57"/>
        <v>0</v>
      </c>
      <c r="AY27" s="429">
        <f t="shared" si="57"/>
        <v>0</v>
      </c>
      <c r="AZ27" s="553">
        <f t="shared" si="57"/>
        <v>0.06</v>
      </c>
      <c r="BA27" s="553">
        <f t="shared" si="57"/>
        <v>1.4999999999999999E-2</v>
      </c>
      <c r="BB27" s="432">
        <f t="shared" si="57"/>
        <v>0</v>
      </c>
      <c r="BC27" s="432">
        <f t="shared" si="57"/>
        <v>0</v>
      </c>
      <c r="BE27" s="528" t="s">
        <v>650</v>
      </c>
      <c r="BF27" s="304" t="str">
        <f>D13</f>
        <v>S. Zobbe</v>
      </c>
      <c r="BG27" s="431">
        <v>0</v>
      </c>
      <c r="BH27" s="431">
        <f>AJ13*0.18</f>
        <v>0</v>
      </c>
      <c r="BI27" s="431">
        <f>AJ13*0.068</f>
        <v>0</v>
      </c>
      <c r="BJ27" s="431">
        <f>AK13*0.305</f>
        <v>0</v>
      </c>
      <c r="BK27" s="431">
        <v>0</v>
      </c>
      <c r="BL27" s="431">
        <f>(AL13*1)+(AM13*0.286)</f>
        <v>0</v>
      </c>
      <c r="BM27" s="431">
        <f>AM13*0.135</f>
        <v>0</v>
      </c>
      <c r="BN27" s="434">
        <f>AZ14</f>
        <v>1.4999999999999999E-2</v>
      </c>
      <c r="BO27" s="434">
        <f t="shared" ref="BO27:BQ27" si="58">BA14</f>
        <v>1.4999999999999999E-2</v>
      </c>
      <c r="BP27" s="434">
        <f t="shared" si="58"/>
        <v>0</v>
      </c>
      <c r="BQ27" s="434">
        <f t="shared" si="58"/>
        <v>0</v>
      </c>
    </row>
    <row r="28" spans="1:69" x14ac:dyDescent="0.25">
      <c r="Q28" s="163"/>
      <c r="W28" s="421">
        <v>0.8</v>
      </c>
      <c r="AQ28" s="529" t="s">
        <v>66</v>
      </c>
      <c r="AR28" s="260" t="str">
        <f>AR14</f>
        <v>S. Zobbe</v>
      </c>
      <c r="AS28" s="431">
        <f t="shared" si="44"/>
        <v>0</v>
      </c>
      <c r="AT28" s="431">
        <f t="shared" ref="AT28:AY28" si="59">AT14</f>
        <v>0</v>
      </c>
      <c r="AU28" s="431">
        <f t="shared" si="59"/>
        <v>0</v>
      </c>
      <c r="AV28" s="431">
        <f t="shared" si="59"/>
        <v>0</v>
      </c>
      <c r="AW28" s="431">
        <f t="shared" si="59"/>
        <v>0</v>
      </c>
      <c r="AX28" s="431">
        <f t="shared" si="59"/>
        <v>0</v>
      </c>
      <c r="AY28" s="431">
        <f t="shared" si="59"/>
        <v>0</v>
      </c>
      <c r="AZ28" s="432">
        <f>AZ14</f>
        <v>1.4999999999999999E-2</v>
      </c>
      <c r="BA28" s="432">
        <f t="shared" ref="BA28:BC28" si="60">BA14</f>
        <v>1.4999999999999999E-2</v>
      </c>
      <c r="BB28" s="432">
        <f t="shared" si="60"/>
        <v>0</v>
      </c>
      <c r="BC28" s="432">
        <f t="shared" si="60"/>
        <v>0</v>
      </c>
      <c r="BE28" s="529" t="s">
        <v>66</v>
      </c>
      <c r="BF28" s="260" t="str">
        <f>D21</f>
        <v>J. Limon</v>
      </c>
      <c r="BG28" s="429">
        <f t="shared" ref="BG28:BM28" si="61">AS13</f>
        <v>0</v>
      </c>
      <c r="BH28" s="429">
        <f t="shared" si="61"/>
        <v>0</v>
      </c>
      <c r="BI28" s="429">
        <f t="shared" si="61"/>
        <v>0</v>
      </c>
      <c r="BJ28" s="429">
        <f t="shared" si="61"/>
        <v>0</v>
      </c>
      <c r="BK28" s="429">
        <f t="shared" si="61"/>
        <v>0</v>
      </c>
      <c r="BL28" s="429">
        <f t="shared" si="61"/>
        <v>0</v>
      </c>
      <c r="BM28" s="429">
        <f t="shared" si="61"/>
        <v>0</v>
      </c>
      <c r="BN28" s="553">
        <f t="shared" ref="BN28" si="62">AZ13</f>
        <v>0.06</v>
      </c>
      <c r="BO28" s="553">
        <f>BA13</f>
        <v>1.4999999999999999E-2</v>
      </c>
      <c r="BP28" s="432">
        <f>BB13</f>
        <v>0</v>
      </c>
      <c r="BQ28" s="432">
        <f>BC13</f>
        <v>0</v>
      </c>
    </row>
    <row r="29" spans="1:69" x14ac:dyDescent="0.25">
      <c r="K29">
        <v>0.8</v>
      </c>
      <c r="W29" s="421">
        <f>W27-W28</f>
        <v>0.19999999999999996</v>
      </c>
      <c r="X29" s="421">
        <v>3</v>
      </c>
      <c r="AB29" s="163"/>
      <c r="AC29" s="163"/>
      <c r="AD29" s="163"/>
      <c r="AE29" s="163"/>
      <c r="AF29" s="163"/>
      <c r="AG29" s="163"/>
      <c r="AH29" s="163"/>
      <c r="AQ29" s="427"/>
      <c r="AR29" s="428"/>
      <c r="AS29" s="428"/>
      <c r="AT29" s="428"/>
      <c r="AU29" s="428"/>
      <c r="AV29" s="428"/>
      <c r="AW29" s="428"/>
      <c r="AX29" s="428"/>
      <c r="AY29" s="428"/>
      <c r="AZ29" s="428"/>
      <c r="BA29" s="428"/>
      <c r="BB29" s="428"/>
      <c r="BC29" s="428"/>
    </row>
    <row r="30" spans="1:69" x14ac:dyDescent="0.25">
      <c r="K30">
        <f>1-K29</f>
        <v>0.19999999999999996</v>
      </c>
      <c r="W30" s="421">
        <v>1</v>
      </c>
      <c r="X30" s="421">
        <f>X29/W29</f>
        <v>15.000000000000004</v>
      </c>
      <c r="AB30" s="163"/>
      <c r="AC30" s="163"/>
      <c r="AD30" s="163"/>
      <c r="AE30" s="163"/>
      <c r="AF30" s="163"/>
      <c r="AG30" s="163"/>
      <c r="AH30" s="163"/>
    </row>
    <row r="31" spans="1:69" x14ac:dyDescent="0.25">
      <c r="J31" s="156">
        <v>1</v>
      </c>
      <c r="K31">
        <f>K30/J31</f>
        <v>0.19999999999999996</v>
      </c>
      <c r="AB31" s="163"/>
      <c r="AC31" s="163"/>
      <c r="AD31" s="163"/>
      <c r="AE31" s="163"/>
      <c r="AF31" s="163"/>
      <c r="AG31" s="163"/>
      <c r="AH31" s="163"/>
    </row>
    <row r="32" spans="1:69" x14ac:dyDescent="0.25">
      <c r="AB32" s="163"/>
      <c r="AC32" s="163"/>
      <c r="AD32" s="163"/>
      <c r="AE32" s="163"/>
      <c r="AF32" s="163"/>
      <c r="AG32" s="163"/>
      <c r="AH32" s="163"/>
    </row>
    <row r="33" spans="28:34" x14ac:dyDescent="0.25">
      <c r="AB33" s="163"/>
      <c r="AC33" s="163"/>
      <c r="AD33" s="163"/>
      <c r="AE33" s="163"/>
      <c r="AF33" s="163"/>
      <c r="AG33" s="163"/>
      <c r="AH33" s="163"/>
    </row>
    <row r="34" spans="28:34" x14ac:dyDescent="0.25">
      <c r="AB34" s="163"/>
      <c r="AC34" s="163"/>
      <c r="AD34" s="163"/>
      <c r="AE34" s="163"/>
      <c r="AF34" s="163"/>
      <c r="AG34" s="163"/>
      <c r="AH34" s="163"/>
    </row>
  </sheetData>
  <autoFilter ref="S3:Z24"/>
  <mergeCells count="8">
    <mergeCell ref="E2:G2"/>
    <mergeCell ref="AQ1:BC1"/>
    <mergeCell ref="AQ3:AR3"/>
    <mergeCell ref="AQ17:AR17"/>
    <mergeCell ref="BE3:BF3"/>
    <mergeCell ref="BE17:BF17"/>
    <mergeCell ref="S1:U1"/>
    <mergeCell ref="W1:X1"/>
  </mergeCells>
  <conditionalFormatting sqref="AI4:AO23">
    <cfRule type="cellIs" dxfId="304" priority="91" operator="greaterThan">
      <formula>0</formula>
    </cfRule>
  </conditionalFormatting>
  <conditionalFormatting sqref="AS4:AY13 AS14:AU14">
    <cfRule type="cellIs" dxfId="303" priority="90" operator="greaterThan">
      <formula>0</formula>
    </cfRule>
  </conditionalFormatting>
  <conditionalFormatting sqref="C19">
    <cfRule type="colorScale" priority="65">
      <colorScale>
        <cfvo type="min"/>
        <cfvo type="max"/>
        <color rgb="FFFFEF9C"/>
        <color rgb="FF63BE7B"/>
      </colorScale>
    </cfRule>
  </conditionalFormatting>
  <conditionalFormatting sqref="S4:Z23">
    <cfRule type="cellIs" dxfId="302" priority="48" operator="lessThan">
      <formula>0.2</formula>
    </cfRule>
    <cfRule type="cellIs" dxfId="301" priority="49" operator="greaterThan">
      <formula>0.9</formula>
    </cfRule>
  </conditionalFormatting>
  <conditionalFormatting sqref="C20:C23 C4:C18">
    <cfRule type="colorScale" priority="316">
      <colorScale>
        <cfvo type="min"/>
        <cfvo type="max"/>
        <color rgb="FFFFEF9C"/>
        <color rgb="FF63BE7B"/>
      </colorScale>
    </cfRule>
  </conditionalFormatting>
  <conditionalFormatting sqref="BG16:BM16">
    <cfRule type="cellIs" dxfId="300" priority="42" operator="greaterThan">
      <formula>0</formula>
    </cfRule>
  </conditionalFormatting>
  <conditionalFormatting sqref="AS19:AY19 AS24:AY24 AS21:AY22 AV20:AW20 AY20">
    <cfRule type="cellIs" dxfId="299" priority="47" operator="greaterThan">
      <formula>0</formula>
    </cfRule>
  </conditionalFormatting>
  <conditionalFormatting sqref="BG6:BM7 BG12:BM13">
    <cfRule type="cellIs" dxfId="298" priority="45" operator="greaterThan">
      <formula>0</formula>
    </cfRule>
  </conditionalFormatting>
  <conditionalFormatting sqref="AS18:AY18">
    <cfRule type="cellIs" dxfId="297" priority="41" operator="greaterThan">
      <formula>0</formula>
    </cfRule>
  </conditionalFormatting>
  <conditionalFormatting sqref="BG20:BM20 BG22:BM22">
    <cfRule type="cellIs" dxfId="296" priority="43" operator="greaterThan">
      <formula>0</formula>
    </cfRule>
  </conditionalFormatting>
  <conditionalFormatting sqref="BG4:BM4">
    <cfRule type="cellIs" dxfId="295" priority="40" operator="greaterThan">
      <formula>0</formula>
    </cfRule>
  </conditionalFormatting>
  <conditionalFormatting sqref="BG18:BM18">
    <cfRule type="cellIs" dxfId="294" priority="39" operator="greaterThan">
      <formula>0</formula>
    </cfRule>
  </conditionalFormatting>
  <conditionalFormatting sqref="BG21:BM21">
    <cfRule type="cellIs" dxfId="293" priority="36" operator="greaterThan">
      <formula>0</formula>
    </cfRule>
  </conditionalFormatting>
  <conditionalFormatting sqref="BG19:BM19">
    <cfRule type="cellIs" dxfId="292" priority="37" operator="greaterThan">
      <formula>0</formula>
    </cfRule>
  </conditionalFormatting>
  <conditionalFormatting sqref="AS23:AY23">
    <cfRule type="cellIs" dxfId="291" priority="34" operator="greaterThan">
      <formula>0</formula>
    </cfRule>
  </conditionalFormatting>
  <conditionalFormatting sqref="BG9:BM9">
    <cfRule type="cellIs" dxfId="290" priority="33" operator="greaterThan">
      <formula>0</formula>
    </cfRule>
  </conditionalFormatting>
  <conditionalFormatting sqref="BG23:BM23">
    <cfRule type="cellIs" dxfId="289" priority="32" operator="greaterThan">
      <formula>0</formula>
    </cfRule>
  </conditionalFormatting>
  <conditionalFormatting sqref="BG10:BM10">
    <cfRule type="cellIs" dxfId="288" priority="31" operator="greaterThan">
      <formula>0</formula>
    </cfRule>
  </conditionalFormatting>
  <conditionalFormatting sqref="BG24:BM24">
    <cfRule type="cellIs" dxfId="287" priority="30" operator="greaterThan">
      <formula>0</formula>
    </cfRule>
  </conditionalFormatting>
  <conditionalFormatting sqref="AS25:AY25">
    <cfRule type="cellIs" dxfId="286" priority="29" operator="greaterThan">
      <formula>0</formula>
    </cfRule>
  </conditionalFormatting>
  <conditionalFormatting sqref="BG11:BM11">
    <cfRule type="cellIs" dxfId="285" priority="28" operator="greaterThan">
      <formula>0</formula>
    </cfRule>
  </conditionalFormatting>
  <conditionalFormatting sqref="AS26:AY26">
    <cfRule type="cellIs" dxfId="284" priority="26" operator="greaterThan">
      <formula>0</formula>
    </cfRule>
  </conditionalFormatting>
  <conditionalFormatting sqref="BG26:BM26">
    <cfRule type="cellIs" dxfId="283" priority="25" operator="greaterThan">
      <formula>0</formula>
    </cfRule>
  </conditionalFormatting>
  <conditionalFormatting sqref="AS27:AY27">
    <cfRule type="cellIs" dxfId="282" priority="24" operator="greaterThan">
      <formula>0</formula>
    </cfRule>
  </conditionalFormatting>
  <conditionalFormatting sqref="BG27:BM27">
    <cfRule type="cellIs" dxfId="281" priority="23" operator="greaterThan">
      <formula>0</formula>
    </cfRule>
  </conditionalFormatting>
  <conditionalFormatting sqref="AV14:AY14">
    <cfRule type="cellIs" dxfId="280" priority="22" operator="greaterThan">
      <formula>0</formula>
    </cfRule>
  </conditionalFormatting>
  <conditionalFormatting sqref="AS28:AY28">
    <cfRule type="cellIs" dxfId="279" priority="21" operator="greaterThan">
      <formula>0</formula>
    </cfRule>
  </conditionalFormatting>
  <conditionalFormatting sqref="BG14:BI14">
    <cfRule type="cellIs" dxfId="278" priority="19" operator="greaterThan">
      <formula>0</formula>
    </cfRule>
  </conditionalFormatting>
  <conditionalFormatting sqref="BG28:BM28">
    <cfRule type="cellIs" dxfId="277" priority="17" operator="greaterThan">
      <formula>0</formula>
    </cfRule>
  </conditionalFormatting>
  <conditionalFormatting sqref="BG25:BM25">
    <cfRule type="cellIs" dxfId="276" priority="16" operator="greaterThan">
      <formula>0</formula>
    </cfRule>
  </conditionalFormatting>
  <conditionalFormatting sqref="AS20:AU20">
    <cfRule type="cellIs" dxfId="275" priority="8" operator="greaterThan">
      <formula>0</formula>
    </cfRule>
  </conditionalFormatting>
  <conditionalFormatting sqref="AX20">
    <cfRule type="cellIs" dxfId="274" priority="7" operator="greaterThan">
      <formula>0</formula>
    </cfRule>
  </conditionalFormatting>
  <conditionalFormatting sqref="BJ14:BM14">
    <cfRule type="cellIs" dxfId="273" priority="6" operator="greaterThan">
      <formula>0</formula>
    </cfRule>
  </conditionalFormatting>
  <conditionalFormatting sqref="BG2:BM2">
    <cfRule type="cellIs" dxfId="272" priority="5" operator="greaterThan">
      <formula>0</formula>
    </cfRule>
  </conditionalFormatting>
  <conditionalFormatting sqref="AS2:AY2">
    <cfRule type="cellIs" dxfId="271" priority="4" operator="greaterThan">
      <formula>0</formula>
    </cfRule>
  </conditionalFormatting>
  <conditionalFormatting sqref="AS16:AY16">
    <cfRule type="cellIs" dxfId="270" priority="3" operator="greaterThan">
      <formula>0</formula>
    </cfRule>
  </conditionalFormatting>
  <conditionalFormatting sqref="J4:P23">
    <cfRule type="cellIs" dxfId="269" priority="1275" operator="greaterThan">
      <formula>8</formula>
    </cfRule>
    <cfRule type="colorScale" priority="1276">
      <colorScale>
        <cfvo type="min"/>
        <cfvo type="max"/>
        <color rgb="FFFFEF9C"/>
        <color rgb="FFFF7128"/>
      </colorScale>
    </cfRule>
  </conditionalFormatting>
  <conditionalFormatting sqref="AB4:AH23">
    <cfRule type="colorScale" priority="1279">
      <colorScale>
        <cfvo type="min"/>
        <cfvo type="max"/>
        <color rgb="FFFFEF9C"/>
        <color rgb="FF63BE7B"/>
      </colorScale>
    </cfRule>
  </conditionalFormatting>
  <conditionalFormatting sqref="BG8:BM8">
    <cfRule type="cellIs" dxfId="268" priority="1" operator="greaterThan">
      <formula>0</formula>
    </cfRule>
  </conditionalFormatting>
  <conditionalFormatting sqref="BG5:BM5">
    <cfRule type="cellIs" dxfId="267" priority="2" operator="greaterThan">
      <formula>0</formula>
    </cfRule>
  </conditionalFormatting>
  <pageMargins left="0.70866141732283472" right="0.70866141732283472" top="0.74803149606299213" bottom="0.74803149606299213" header="0.31496062992125984" footer="0.31496062992125984"/>
  <pageSetup paperSize="9" scale="55" orientation="landscape"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34"/>
  <sheetViews>
    <sheetView zoomScale="90" zoomScaleNormal="90" workbookViewId="0">
      <selection activeCell="M22" sqref="M22"/>
    </sheetView>
  </sheetViews>
  <sheetFormatPr defaultColWidth="11.42578125" defaultRowHeight="15" x14ac:dyDescent="0.25"/>
  <cols>
    <col min="1" max="1" width="13.28515625" style="527" customWidth="1"/>
    <col min="2" max="2" width="14.28515625" style="527" bestFit="1" customWidth="1"/>
    <col min="3" max="9" width="8.28515625" style="527" bestFit="1" customWidth="1"/>
    <col min="10" max="10" width="8.28515625" style="550" bestFit="1" customWidth="1"/>
    <col min="11" max="11" width="9.28515625" style="550" bestFit="1" customWidth="1"/>
    <col min="12" max="12" width="8.28515625" style="527" bestFit="1" customWidth="1"/>
    <col min="14" max="14" width="13.42578125" customWidth="1"/>
    <col min="15" max="15" width="15" customWidth="1"/>
    <col min="16" max="22" width="8.42578125" bestFit="1" customWidth="1"/>
    <col min="23" max="23" width="7.85546875" bestFit="1" customWidth="1"/>
    <col min="24" max="24" width="7.140625" bestFit="1" customWidth="1"/>
    <col min="25" max="25" width="7.7109375" style="470" bestFit="1" customWidth="1"/>
    <col min="26" max="26" width="7.140625" bestFit="1" customWidth="1"/>
    <col min="27" max="27" width="7.7109375" bestFit="1" customWidth="1"/>
    <col min="28" max="28" width="7.140625" bestFit="1" customWidth="1"/>
    <col min="29" max="29" width="7.7109375" bestFit="1" customWidth="1"/>
    <col min="30" max="30" width="8.42578125" bestFit="1" customWidth="1"/>
    <col min="31" max="31" width="8.42578125" customWidth="1"/>
    <col min="32" max="32" width="7.140625" bestFit="1" customWidth="1"/>
    <col min="33" max="33" width="7.140625" customWidth="1"/>
  </cols>
  <sheetData>
    <row r="1" spans="1:33" x14ac:dyDescent="0.25">
      <c r="B1" s="3" t="s">
        <v>733</v>
      </c>
      <c r="C1" s="579">
        <f t="shared" ref="C1:L1" si="0">MAX(C3:C27)</f>
        <v>7.6541020779221203E-2</v>
      </c>
      <c r="D1" s="579">
        <f t="shared" si="0"/>
        <v>9.516709370629349E-2</v>
      </c>
      <c r="E1" s="579">
        <f t="shared" si="0"/>
        <v>0.10114897692307692</v>
      </c>
      <c r="F1" s="579">
        <f t="shared" si="0"/>
        <v>5.254696863959811E-2</v>
      </c>
      <c r="G1" s="579">
        <f t="shared" si="0"/>
        <v>5.2239892473118138E-2</v>
      </c>
      <c r="H1" s="579">
        <f t="shared" si="0"/>
        <v>8.0176190476190248E-2</v>
      </c>
      <c r="I1" s="579">
        <f t="shared" si="0"/>
        <v>5.7961761904761842E-2</v>
      </c>
      <c r="J1" s="579">
        <f t="shared" si="0"/>
        <v>0</v>
      </c>
      <c r="K1" s="579">
        <f t="shared" si="0"/>
        <v>3.6222627372627408E-2</v>
      </c>
      <c r="L1" s="579">
        <f t="shared" si="0"/>
        <v>0.16964285714285698</v>
      </c>
      <c r="N1" s="527"/>
      <c r="O1" s="527"/>
      <c r="P1" s="530"/>
      <c r="Q1" s="530"/>
      <c r="R1" s="530"/>
      <c r="S1" s="530"/>
      <c r="T1" s="530"/>
      <c r="U1" s="530"/>
      <c r="V1" s="530"/>
      <c r="W1" s="530"/>
      <c r="X1" s="530"/>
      <c r="Y1" s="641"/>
      <c r="Z1" s="530"/>
      <c r="AA1" s="530"/>
      <c r="AB1" s="530"/>
      <c r="AC1" s="530"/>
      <c r="AD1" s="530"/>
      <c r="AE1" s="530"/>
      <c r="AF1" s="530"/>
      <c r="AG1" s="530"/>
    </row>
    <row r="2" spans="1:33" x14ac:dyDescent="0.25">
      <c r="A2" s="636" t="s">
        <v>725</v>
      </c>
      <c r="B2" s="637" t="s">
        <v>724</v>
      </c>
      <c r="C2" s="331" t="s">
        <v>467</v>
      </c>
      <c r="D2" s="533" t="s">
        <v>468</v>
      </c>
      <c r="E2" s="533" t="s">
        <v>489</v>
      </c>
      <c r="F2" s="533" t="s">
        <v>469</v>
      </c>
      <c r="G2" s="533" t="s">
        <v>470</v>
      </c>
      <c r="H2" s="533" t="s">
        <v>471</v>
      </c>
      <c r="I2" s="533" t="s">
        <v>472</v>
      </c>
      <c r="J2" s="533" t="s">
        <v>734</v>
      </c>
      <c r="K2" s="533" t="s">
        <v>735</v>
      </c>
      <c r="L2" s="533" t="s">
        <v>579</v>
      </c>
      <c r="N2" s="636" t="s">
        <v>725</v>
      </c>
      <c r="O2" s="637" t="s">
        <v>724</v>
      </c>
      <c r="P2" s="331" t="s">
        <v>467</v>
      </c>
      <c r="Q2" s="533" t="s">
        <v>858</v>
      </c>
      <c r="R2" s="533" t="s">
        <v>468</v>
      </c>
      <c r="S2" s="533" t="s">
        <v>858</v>
      </c>
      <c r="T2" s="533" t="s">
        <v>489</v>
      </c>
      <c r="U2" s="533" t="s">
        <v>858</v>
      </c>
      <c r="V2" s="533" t="s">
        <v>469</v>
      </c>
      <c r="W2" s="533" t="s">
        <v>858</v>
      </c>
      <c r="X2" s="533" t="s">
        <v>470</v>
      </c>
      <c r="Y2" s="533" t="s">
        <v>858</v>
      </c>
      <c r="Z2" s="533" t="s">
        <v>471</v>
      </c>
      <c r="AA2" s="533" t="s">
        <v>858</v>
      </c>
      <c r="AB2" s="533" t="s">
        <v>472</v>
      </c>
      <c r="AC2" s="533" t="s">
        <v>858</v>
      </c>
      <c r="AD2" s="576" t="s">
        <v>734</v>
      </c>
      <c r="AE2" s="576" t="s">
        <v>858</v>
      </c>
      <c r="AF2" s="576" t="s">
        <v>735</v>
      </c>
      <c r="AG2" s="576" t="s">
        <v>858</v>
      </c>
    </row>
    <row r="3" spans="1:33" x14ac:dyDescent="0.25">
      <c r="A3" s="532" t="s">
        <v>726</v>
      </c>
      <c r="B3" s="531" t="s">
        <v>178</v>
      </c>
      <c r="C3" s="541"/>
      <c r="D3" s="542"/>
      <c r="E3" s="542"/>
      <c r="F3" s="542"/>
      <c r="G3" s="542"/>
      <c r="H3" s="542"/>
      <c r="I3" s="542"/>
      <c r="J3" s="542"/>
      <c r="K3" s="542"/>
      <c r="L3" s="542"/>
      <c r="M3" s="9"/>
      <c r="N3" s="580" t="s">
        <v>726</v>
      </c>
      <c r="O3" s="581" t="s">
        <v>178</v>
      </c>
      <c r="P3" s="544">
        <f>C3/$C$4</f>
        <v>0</v>
      </c>
      <c r="Q3" s="649" t="e">
        <f>1/C3</f>
        <v>#DIV/0!</v>
      </c>
      <c r="R3" s="544">
        <f>D3/D1</f>
        <v>0</v>
      </c>
      <c r="S3" s="649" t="e">
        <f>1/D3</f>
        <v>#DIV/0!</v>
      </c>
      <c r="T3" s="544">
        <f>E3/E1</f>
        <v>0</v>
      </c>
      <c r="U3" s="649" t="e">
        <f>1/E3</f>
        <v>#DIV/0!</v>
      </c>
      <c r="V3" s="545"/>
      <c r="W3" s="545"/>
      <c r="X3" s="545"/>
      <c r="Y3" s="642"/>
      <c r="Z3" s="545"/>
      <c r="AA3" s="545"/>
      <c r="AB3" s="545"/>
      <c r="AC3" s="545"/>
      <c r="AD3" s="545"/>
      <c r="AE3" s="545"/>
      <c r="AF3" s="545">
        <f>K3/K1</f>
        <v>0</v>
      </c>
      <c r="AG3" s="642"/>
    </row>
    <row r="4" spans="1:33" x14ac:dyDescent="0.25">
      <c r="A4" s="701" t="s">
        <v>727</v>
      </c>
      <c r="B4" s="539" t="s">
        <v>680</v>
      </c>
      <c r="C4" s="582">
        <v>5.9340247552447711E-2</v>
      </c>
      <c r="D4" s="556">
        <v>6.8999559240759498E-2</v>
      </c>
      <c r="E4" s="556">
        <v>7.5579372027972075E-2</v>
      </c>
      <c r="F4" s="556"/>
      <c r="G4" s="556"/>
      <c r="H4" s="556"/>
      <c r="I4" s="556"/>
      <c r="J4" s="556">
        <v>0</v>
      </c>
      <c r="K4" s="556">
        <v>3.6222627372627408E-2</v>
      </c>
      <c r="L4" s="556"/>
      <c r="M4" s="9"/>
      <c r="N4" s="703" t="s">
        <v>727</v>
      </c>
      <c r="O4" s="583" t="s">
        <v>680</v>
      </c>
      <c r="P4" s="546">
        <f>C4/$C$1</f>
        <v>0.77527379369046734</v>
      </c>
      <c r="Q4" s="643">
        <f>1/C4</f>
        <v>16.851968794301925</v>
      </c>
      <c r="R4" s="547">
        <f>D4/$D$1</f>
        <v>0.72503589795131562</v>
      </c>
      <c r="S4" s="643">
        <f>1/D4</f>
        <v>14.492846200809916</v>
      </c>
      <c r="T4" s="547">
        <f>E4/$E$1</f>
        <v>0.74720846742176794</v>
      </c>
      <c r="U4" s="643">
        <f>1/E4</f>
        <v>13.231123429153367</v>
      </c>
      <c r="V4" s="547"/>
      <c r="W4" s="547"/>
      <c r="X4" s="546"/>
      <c r="Y4" s="643"/>
      <c r="Z4" s="547"/>
      <c r="AA4" s="547"/>
      <c r="AB4" s="547"/>
      <c r="AC4" s="547"/>
      <c r="AD4" s="546"/>
      <c r="AE4" s="546"/>
      <c r="AF4" s="546">
        <f>K4/K1</f>
        <v>1</v>
      </c>
      <c r="AG4" s="647"/>
    </row>
    <row r="5" spans="1:33" x14ac:dyDescent="0.25">
      <c r="A5" s="701"/>
      <c r="B5" s="539" t="s">
        <v>679</v>
      </c>
      <c r="C5" s="577"/>
      <c r="D5" s="543"/>
      <c r="E5" s="543"/>
      <c r="F5" s="543">
        <v>5.254696863959811E-2</v>
      </c>
      <c r="G5" s="543"/>
      <c r="H5" s="543"/>
      <c r="I5" s="543"/>
      <c r="J5" s="543"/>
      <c r="K5" s="543"/>
      <c r="L5" s="543"/>
      <c r="M5" s="9"/>
      <c r="N5" s="703"/>
      <c r="O5" s="583" t="s">
        <v>679</v>
      </c>
      <c r="P5" s="548"/>
      <c r="Q5" s="644"/>
      <c r="R5" s="535"/>
      <c r="S5" s="644"/>
      <c r="T5" s="535"/>
      <c r="U5" s="644"/>
      <c r="V5" s="535">
        <f>F5/F1</f>
        <v>1</v>
      </c>
      <c r="W5" s="644">
        <f>1/F5</f>
        <v>19.03059350309362</v>
      </c>
      <c r="X5" s="548"/>
      <c r="Y5" s="644"/>
      <c r="Z5" s="535"/>
      <c r="AA5" s="535"/>
      <c r="AB5" s="535"/>
      <c r="AC5" s="535"/>
      <c r="AD5" s="548"/>
      <c r="AE5" s="548"/>
      <c r="AF5" s="548"/>
      <c r="AG5" s="646"/>
    </row>
    <row r="6" spans="1:33" x14ac:dyDescent="0.25">
      <c r="A6" s="701"/>
      <c r="B6" s="539" t="s">
        <v>731</v>
      </c>
      <c r="C6" s="577"/>
      <c r="D6" s="543"/>
      <c r="E6" s="543"/>
      <c r="F6" s="543"/>
      <c r="G6" s="543">
        <v>3.9584999999999822E-2</v>
      </c>
      <c r="H6" s="543">
        <v>6.3542692307692147E-2</v>
      </c>
      <c r="I6" s="543">
        <v>0</v>
      </c>
      <c r="J6" s="543"/>
      <c r="K6" s="543"/>
      <c r="L6" s="543"/>
      <c r="M6" s="9"/>
      <c r="N6" s="703"/>
      <c r="O6" s="583" t="s">
        <v>731</v>
      </c>
      <c r="P6" s="548"/>
      <c r="Q6" s="644"/>
      <c r="R6" s="535"/>
      <c r="S6" s="644"/>
      <c r="T6" s="535"/>
      <c r="U6" s="644"/>
      <c r="V6" s="535"/>
      <c r="W6" s="644"/>
      <c r="X6" s="548">
        <f>G6/$G$1</f>
        <v>0.75775423964300204</v>
      </c>
      <c r="Y6" s="644">
        <f>1/G6</f>
        <v>25.262094227611584</v>
      </c>
      <c r="Z6" s="535">
        <f>H6/$H$1</f>
        <v>0.79253818284821453</v>
      </c>
      <c r="AA6" s="644">
        <f>1/H6</f>
        <v>15.737450896126811</v>
      </c>
      <c r="AB6" s="535">
        <f>I6/$I$1</f>
        <v>0</v>
      </c>
      <c r="AC6" s="535"/>
      <c r="AD6" s="548"/>
      <c r="AE6" s="548"/>
      <c r="AF6" s="548"/>
      <c r="AG6" s="646"/>
    </row>
    <row r="7" spans="1:33" x14ac:dyDescent="0.25">
      <c r="A7" s="701"/>
      <c r="B7" s="539" t="s">
        <v>732</v>
      </c>
      <c r="C7" s="577"/>
      <c r="D7" s="543"/>
      <c r="E7" s="543"/>
      <c r="F7" s="543"/>
      <c r="G7" s="543">
        <v>3.3714285714285648E-2</v>
      </c>
      <c r="H7" s="543">
        <v>3.433928571428569E-2</v>
      </c>
      <c r="I7" s="543">
        <v>4.9198011904761828E-2</v>
      </c>
      <c r="J7" s="543"/>
      <c r="K7" s="543"/>
      <c r="L7" s="543"/>
      <c r="M7" s="9"/>
      <c r="N7" s="703"/>
      <c r="O7" s="583" t="s">
        <v>732</v>
      </c>
      <c r="P7" s="548"/>
      <c r="Q7" s="644"/>
      <c r="R7" s="535"/>
      <c r="S7" s="644"/>
      <c r="T7" s="535"/>
      <c r="U7" s="644"/>
      <c r="V7" s="535"/>
      <c r="W7" s="644"/>
      <c r="X7" s="548">
        <f t="shared" ref="X7" si="1">G7/$G$1</f>
        <v>0.64537433210902018</v>
      </c>
      <c r="Y7" s="644">
        <f t="shared" ref="Y7" si="2">1/G7</f>
        <v>29.6610169491526</v>
      </c>
      <c r="Z7" s="535">
        <f t="shared" ref="Z7" si="3">H7/$H$1</f>
        <v>0.42829779651957089</v>
      </c>
      <c r="AA7" s="644">
        <f t="shared" ref="AA7" si="4">1/H7</f>
        <v>29.121164846593885</v>
      </c>
      <c r="AB7" s="535">
        <f t="shared" ref="AB7" si="5">I7/$I$1</f>
        <v>0.84880118008835015</v>
      </c>
      <c r="AC7" s="644">
        <f t="shared" ref="AC7" si="6">1/I7</f>
        <v>20.326024594973745</v>
      </c>
      <c r="AD7" s="548"/>
      <c r="AE7" s="548"/>
      <c r="AF7" s="548"/>
      <c r="AG7" s="646"/>
    </row>
    <row r="8" spans="1:33" x14ac:dyDescent="0.25">
      <c r="A8" s="701"/>
      <c r="B8" s="539" t="s">
        <v>698</v>
      </c>
      <c r="C8" s="577"/>
      <c r="D8" s="543"/>
      <c r="E8" s="543"/>
      <c r="F8" s="543"/>
      <c r="G8" s="543"/>
      <c r="H8" s="543"/>
      <c r="I8" s="543"/>
      <c r="J8" s="543"/>
      <c r="K8" s="543"/>
      <c r="L8" s="543"/>
      <c r="M8" s="9"/>
      <c r="N8" s="703"/>
      <c r="O8" s="583" t="s">
        <v>698</v>
      </c>
      <c r="P8" s="548"/>
      <c r="Q8" s="644"/>
      <c r="R8" s="535"/>
      <c r="S8" s="644"/>
      <c r="T8" s="535"/>
      <c r="U8" s="644"/>
      <c r="V8" s="535"/>
      <c r="W8" s="644"/>
      <c r="X8" s="548"/>
      <c r="Y8" s="644"/>
      <c r="Z8" s="535"/>
      <c r="AA8" s="644"/>
      <c r="AB8" s="535"/>
      <c r="AC8" s="644"/>
      <c r="AD8" s="548"/>
      <c r="AE8" s="646"/>
      <c r="AF8" s="548"/>
      <c r="AG8" s="646"/>
    </row>
    <row r="9" spans="1:33" x14ac:dyDescent="0.25">
      <c r="A9" s="701"/>
      <c r="B9" s="551" t="s">
        <v>0</v>
      </c>
      <c r="C9" s="578"/>
      <c r="D9" s="534"/>
      <c r="E9" s="534"/>
      <c r="F9" s="534"/>
      <c r="G9" s="534"/>
      <c r="H9" s="534"/>
      <c r="I9" s="534"/>
      <c r="J9" s="534"/>
      <c r="K9" s="534"/>
      <c r="L9" s="534"/>
      <c r="M9" s="9"/>
      <c r="N9" s="703"/>
      <c r="O9" s="583" t="s">
        <v>0</v>
      </c>
      <c r="P9" s="549"/>
      <c r="Q9" s="645"/>
      <c r="R9" s="536"/>
      <c r="S9" s="645"/>
      <c r="T9" s="536"/>
      <c r="U9" s="645"/>
      <c r="V9" s="536"/>
      <c r="W9" s="645"/>
      <c r="X9" s="549"/>
      <c r="Y9" s="645"/>
      <c r="Z9" s="536"/>
      <c r="AA9" s="536"/>
      <c r="AB9" s="536"/>
      <c r="AC9" s="536"/>
      <c r="AD9" s="549" t="e">
        <f>J9/$J$1</f>
        <v>#DIV/0!</v>
      </c>
      <c r="AE9" s="648" t="e">
        <f>1/J9</f>
        <v>#DIV/0!</v>
      </c>
      <c r="AF9" s="549">
        <f>K9/$K$1</f>
        <v>0</v>
      </c>
      <c r="AG9" s="648" t="e">
        <f>1/K9</f>
        <v>#DIV/0!</v>
      </c>
    </row>
    <row r="10" spans="1:33" x14ac:dyDescent="0.25">
      <c r="A10" s="702" t="s">
        <v>728</v>
      </c>
      <c r="B10" s="540" t="s">
        <v>680</v>
      </c>
      <c r="C10" s="582">
        <v>4.0980247552447779E-2</v>
      </c>
      <c r="D10" s="556">
        <v>7.0304873926074096E-2</v>
      </c>
      <c r="E10" s="556">
        <v>4.0579372027972196E-2</v>
      </c>
      <c r="F10" s="556"/>
      <c r="G10" s="556"/>
      <c r="H10" s="556"/>
      <c r="I10" s="556"/>
      <c r="J10" s="556">
        <v>0</v>
      </c>
      <c r="K10" s="556">
        <v>3.0871978021978067E-2</v>
      </c>
      <c r="L10" s="556"/>
      <c r="M10" s="9"/>
      <c r="N10" s="704" t="s">
        <v>728</v>
      </c>
      <c r="O10" s="584" t="s">
        <v>680</v>
      </c>
      <c r="P10" s="548">
        <f>C10/$C$1</f>
        <v>0.53540241736066307</v>
      </c>
      <c r="Q10" s="643">
        <f>1/C10</f>
        <v>24.40199998109258</v>
      </c>
      <c r="R10" s="547">
        <f>D10/$D$1</f>
        <v>0.73875192766788012</v>
      </c>
      <c r="S10" s="643">
        <f>1/D10</f>
        <v>14.223764927755999</v>
      </c>
      <c r="T10" s="547">
        <f>E10/$E$1</f>
        <v>0.40118420632996138</v>
      </c>
      <c r="U10" s="643">
        <f>1/E10</f>
        <v>24.643062472989463</v>
      </c>
      <c r="V10" s="535"/>
      <c r="W10" s="644"/>
      <c r="X10" s="548"/>
      <c r="Y10" s="644"/>
      <c r="Z10" s="535"/>
      <c r="AA10" s="535"/>
      <c r="AB10" s="535"/>
      <c r="AC10" s="535"/>
      <c r="AD10" s="548"/>
      <c r="AE10" s="535"/>
      <c r="AF10" s="535">
        <f>K10/K1</f>
        <v>0.85228433885796195</v>
      </c>
      <c r="AG10" s="644"/>
    </row>
    <row r="11" spans="1:33" x14ac:dyDescent="0.25">
      <c r="A11" s="701"/>
      <c r="B11" s="539" t="s">
        <v>679</v>
      </c>
      <c r="C11" s="577"/>
      <c r="D11" s="543"/>
      <c r="E11" s="543"/>
      <c r="F11" s="543">
        <v>5.1022557865187314E-2</v>
      </c>
      <c r="G11" s="543"/>
      <c r="H11" s="543"/>
      <c r="I11" s="543"/>
      <c r="J11" s="543"/>
      <c r="K11" s="543"/>
      <c r="L11" s="543"/>
      <c r="M11" s="9"/>
      <c r="N11" s="703"/>
      <c r="O11" s="583" t="s">
        <v>679</v>
      </c>
      <c r="P11" s="548"/>
      <c r="Q11" s="644"/>
      <c r="R11" s="535"/>
      <c r="S11" s="644"/>
      <c r="T11" s="535"/>
      <c r="U11" s="644"/>
      <c r="V11" s="535">
        <f>F11/F1</f>
        <v>0.97098955822045196</v>
      </c>
      <c r="W11" s="644">
        <f>1/F11</f>
        <v>19.599174205303804</v>
      </c>
      <c r="X11" s="548"/>
      <c r="Y11" s="644"/>
      <c r="Z11" s="535"/>
      <c r="AA11" s="535"/>
      <c r="AB11" s="535"/>
      <c r="AC11" s="535"/>
      <c r="AD11" s="548"/>
      <c r="AE11" s="535"/>
      <c r="AF11" s="535"/>
      <c r="AG11" s="644"/>
    </row>
    <row r="12" spans="1:33" x14ac:dyDescent="0.25">
      <c r="A12" s="701"/>
      <c r="B12" s="539" t="s">
        <v>731</v>
      </c>
      <c r="C12" s="577"/>
      <c r="D12" s="543"/>
      <c r="E12" s="543"/>
      <c r="F12" s="543"/>
      <c r="G12" s="543">
        <v>4.2215952380952187E-2</v>
      </c>
      <c r="H12" s="543">
        <v>6.617364468864452E-2</v>
      </c>
      <c r="I12" s="543">
        <v>0</v>
      </c>
      <c r="J12" s="543"/>
      <c r="K12" s="543"/>
      <c r="L12" s="543"/>
      <c r="M12" s="9"/>
      <c r="N12" s="703"/>
      <c r="O12" s="583" t="s">
        <v>731</v>
      </c>
      <c r="P12" s="548"/>
      <c r="Q12" s="644"/>
      <c r="R12" s="535"/>
      <c r="S12" s="644"/>
      <c r="T12" s="535"/>
      <c r="U12" s="644"/>
      <c r="V12" s="535"/>
      <c r="W12" s="644"/>
      <c r="X12" s="548">
        <f t="shared" ref="X12:X13" si="7">G12/$G$1</f>
        <v>0.80811713773484284</v>
      </c>
      <c r="Y12" s="644">
        <f t="shared" ref="Y12:Y13" si="8">1/G12</f>
        <v>23.687728064881924</v>
      </c>
      <c r="Z12" s="535">
        <f t="shared" ref="Z12:Z13" si="9">H12/$H$1</f>
        <v>0.82535281728427801</v>
      </c>
      <c r="AA12" s="644">
        <f t="shared" ref="AA12:AA13" si="10">1/H12</f>
        <v>15.111756420628305</v>
      </c>
      <c r="AB12" s="535">
        <f t="shared" ref="AB12:AB13" si="11">I12/$I$1</f>
        <v>0</v>
      </c>
      <c r="AC12" s="644"/>
      <c r="AD12" s="548"/>
      <c r="AE12" s="535"/>
      <c r="AF12" s="535"/>
      <c r="AG12" s="644"/>
    </row>
    <row r="13" spans="1:33" x14ac:dyDescent="0.25">
      <c r="A13" s="701"/>
      <c r="B13" s="539" t="s">
        <v>732</v>
      </c>
      <c r="C13" s="577"/>
      <c r="D13" s="543"/>
      <c r="E13" s="543"/>
      <c r="F13" s="543"/>
      <c r="G13" s="543">
        <v>3.8151785714285652E-2</v>
      </c>
      <c r="H13" s="543">
        <v>3.8776785714285687E-2</v>
      </c>
      <c r="I13" s="543">
        <v>5.7961761904761842E-2</v>
      </c>
      <c r="J13" s="543"/>
      <c r="K13" s="543"/>
      <c r="L13" s="543"/>
      <c r="M13" s="9"/>
      <c r="N13" s="703"/>
      <c r="O13" s="583" t="s">
        <v>732</v>
      </c>
      <c r="P13" s="548"/>
      <c r="Q13" s="644"/>
      <c r="R13" s="535"/>
      <c r="S13" s="644"/>
      <c r="T13" s="535"/>
      <c r="U13" s="644"/>
      <c r="V13" s="535"/>
      <c r="W13" s="644"/>
      <c r="X13" s="548">
        <f t="shared" si="7"/>
        <v>0.73031899393586974</v>
      </c>
      <c r="Y13" s="644">
        <f t="shared" si="8"/>
        <v>26.211092908963302</v>
      </c>
      <c r="Z13" s="535">
        <f t="shared" si="9"/>
        <v>0.48364465166003551</v>
      </c>
      <c r="AA13" s="644">
        <f t="shared" si="10"/>
        <v>25.788625374165342</v>
      </c>
      <c r="AB13" s="535">
        <f t="shared" si="11"/>
        <v>1</v>
      </c>
      <c r="AC13" s="644">
        <f t="shared" ref="AC13" si="12">1/I13</f>
        <v>17.252753662718543</v>
      </c>
      <c r="AD13" s="548"/>
      <c r="AE13" s="535"/>
      <c r="AF13" s="535"/>
      <c r="AG13" s="644"/>
    </row>
    <row r="14" spans="1:33" x14ac:dyDescent="0.25">
      <c r="A14" s="701"/>
      <c r="B14" s="539" t="s">
        <v>698</v>
      </c>
      <c r="C14" s="577"/>
      <c r="D14" s="543"/>
      <c r="E14" s="543"/>
      <c r="F14" s="543"/>
      <c r="G14" s="543"/>
      <c r="H14" s="543"/>
      <c r="I14" s="543"/>
      <c r="J14" s="543"/>
      <c r="K14" s="543"/>
      <c r="L14" s="543"/>
      <c r="M14" s="9"/>
      <c r="N14" s="703"/>
      <c r="O14" s="583" t="s">
        <v>698</v>
      </c>
      <c r="P14" s="548"/>
      <c r="Q14" s="644"/>
      <c r="R14" s="535"/>
      <c r="S14" s="644"/>
      <c r="T14" s="535"/>
      <c r="U14" s="644"/>
      <c r="V14" s="535"/>
      <c r="W14" s="644"/>
      <c r="X14" s="548"/>
      <c r="Y14" s="644"/>
      <c r="Z14" s="535"/>
      <c r="AA14" s="644"/>
      <c r="AB14" s="535"/>
      <c r="AC14" s="644"/>
      <c r="AD14" s="548"/>
      <c r="AE14" s="646"/>
      <c r="AF14" s="548"/>
      <c r="AG14" s="646"/>
    </row>
    <row r="15" spans="1:33" x14ac:dyDescent="0.25">
      <c r="A15" s="701"/>
      <c r="B15" s="551" t="s">
        <v>0</v>
      </c>
      <c r="C15" s="578"/>
      <c r="D15" s="534"/>
      <c r="E15" s="534"/>
      <c r="F15" s="534"/>
      <c r="G15" s="534"/>
      <c r="H15" s="534"/>
      <c r="I15" s="534"/>
      <c r="J15" s="534"/>
      <c r="K15" s="534"/>
      <c r="L15" s="534"/>
      <c r="M15" s="9"/>
      <c r="N15" s="703"/>
      <c r="O15" s="583" t="s">
        <v>0</v>
      </c>
      <c r="P15" s="549"/>
      <c r="Q15" s="645"/>
      <c r="R15" s="536"/>
      <c r="S15" s="645"/>
      <c r="T15" s="536"/>
      <c r="U15" s="645"/>
      <c r="V15" s="536"/>
      <c r="W15" s="645"/>
      <c r="X15" s="549"/>
      <c r="Y15" s="645"/>
      <c r="Z15" s="536"/>
      <c r="AA15" s="536"/>
      <c r="AB15" s="536"/>
      <c r="AC15" s="536"/>
      <c r="AD15" s="549" t="e">
        <f>J15/$J$1</f>
        <v>#DIV/0!</v>
      </c>
      <c r="AE15" s="648" t="e">
        <f>1/J15</f>
        <v>#DIV/0!</v>
      </c>
      <c r="AF15" s="549">
        <f>K15/$K$1</f>
        <v>0</v>
      </c>
      <c r="AG15" s="648" t="e">
        <f>1/K15</f>
        <v>#DIV/0!</v>
      </c>
    </row>
    <row r="16" spans="1:33" x14ac:dyDescent="0.25">
      <c r="A16" s="702" t="s">
        <v>729</v>
      </c>
      <c r="B16" s="540" t="s">
        <v>680</v>
      </c>
      <c r="C16" s="577">
        <v>5.8181020779221264E-2</v>
      </c>
      <c r="D16" s="543">
        <v>7.6807093706293558E-2</v>
      </c>
      <c r="E16" s="543">
        <v>6.6148976923077044E-2</v>
      </c>
      <c r="F16" s="543"/>
      <c r="G16" s="543"/>
      <c r="H16" s="543"/>
      <c r="I16" s="543"/>
      <c r="J16" s="543">
        <v>0</v>
      </c>
      <c r="K16" s="543">
        <v>2.9990859140859215E-2</v>
      </c>
      <c r="L16" s="543">
        <v>4.1477272727272974E-2</v>
      </c>
      <c r="M16" s="9"/>
      <c r="N16" s="704" t="s">
        <v>729</v>
      </c>
      <c r="O16" s="584" t="s">
        <v>680</v>
      </c>
      <c r="P16" s="548">
        <f>C16/$C$1</f>
        <v>0.76012862367019574</v>
      </c>
      <c r="Q16" s="643">
        <f>1/C16</f>
        <v>17.18773556405424</v>
      </c>
      <c r="R16" s="547">
        <f>D16/$D$1</f>
        <v>0.80707617218339234</v>
      </c>
      <c r="S16" s="643">
        <f>1/D16</f>
        <v>13.019630762543228</v>
      </c>
      <c r="T16" s="547">
        <f>E16/$E$1</f>
        <v>0.65397573890819349</v>
      </c>
      <c r="U16" s="643">
        <f>1/E16</f>
        <v>15.117391780115881</v>
      </c>
      <c r="V16" s="535"/>
      <c r="W16" s="644"/>
      <c r="X16" s="535"/>
      <c r="Y16" s="644"/>
      <c r="Z16" s="535"/>
      <c r="AA16" s="535"/>
      <c r="AB16" s="535"/>
      <c r="AC16" s="535"/>
      <c r="AD16" s="535"/>
      <c r="AE16" s="535"/>
      <c r="AF16" s="535">
        <f>K16/K1</f>
        <v>0.827959243053766</v>
      </c>
      <c r="AG16" s="644"/>
    </row>
    <row r="17" spans="1:33" x14ac:dyDescent="0.25">
      <c r="A17" s="701"/>
      <c r="B17" s="539" t="s">
        <v>679</v>
      </c>
      <c r="C17" s="577"/>
      <c r="D17" s="543"/>
      <c r="E17" s="543"/>
      <c r="F17" s="543">
        <v>4.2273232055429683E-2</v>
      </c>
      <c r="G17" s="543"/>
      <c r="H17" s="543"/>
      <c r="I17" s="543"/>
      <c r="J17" s="543"/>
      <c r="K17" s="543"/>
      <c r="L17" s="543"/>
      <c r="M17" s="9"/>
      <c r="N17" s="703"/>
      <c r="O17" s="583" t="s">
        <v>679</v>
      </c>
      <c r="P17" s="548"/>
      <c r="Q17" s="644"/>
      <c r="R17" s="535"/>
      <c r="S17" s="644"/>
      <c r="T17" s="535"/>
      <c r="U17" s="644"/>
      <c r="V17" s="535">
        <f>F17/F1</f>
        <v>0.80448469530882905</v>
      </c>
      <c r="W17" s="644">
        <f>1/F17</f>
        <v>23.655631504323487</v>
      </c>
      <c r="X17" s="535"/>
      <c r="Y17" s="644"/>
      <c r="Z17" s="535"/>
      <c r="AA17" s="535"/>
      <c r="AB17" s="535"/>
      <c r="AC17" s="535"/>
      <c r="AD17" s="535"/>
      <c r="AE17" s="535"/>
      <c r="AF17" s="535"/>
      <c r="AG17" s="644"/>
    </row>
    <row r="18" spans="1:33" x14ac:dyDescent="0.25">
      <c r="A18" s="701"/>
      <c r="B18" s="539" t="s">
        <v>731</v>
      </c>
      <c r="C18" s="577"/>
      <c r="D18" s="543"/>
      <c r="E18" s="543"/>
      <c r="F18" s="543"/>
      <c r="G18" s="543">
        <v>5.2239892473118138E-2</v>
      </c>
      <c r="H18" s="543">
        <v>8.0176190476190248E-2</v>
      </c>
      <c r="I18" s="543">
        <v>0</v>
      </c>
      <c r="J18" s="543"/>
      <c r="K18" s="543"/>
      <c r="L18" s="543"/>
      <c r="M18" s="9"/>
      <c r="N18" s="703"/>
      <c r="O18" s="583" t="s">
        <v>731</v>
      </c>
      <c r="P18" s="548"/>
      <c r="Q18" s="644"/>
      <c r="R18" s="535"/>
      <c r="S18" s="644"/>
      <c r="T18" s="535"/>
      <c r="U18" s="644"/>
      <c r="V18" s="535"/>
      <c r="W18" s="644"/>
      <c r="X18" s="535">
        <f t="shared" ref="X18:X19" si="13">G18/$G$1</f>
        <v>1</v>
      </c>
      <c r="Y18" s="644">
        <f t="shared" ref="Y18:Y19" si="14">1/G18</f>
        <v>19.142459003233686</v>
      </c>
      <c r="Z18" s="535">
        <f t="shared" ref="Z18:Z19" si="15">H18/$H$1</f>
        <v>1</v>
      </c>
      <c r="AA18" s="644">
        <f t="shared" ref="AA18:AA19" si="16">1/H18</f>
        <v>12.472530735879349</v>
      </c>
      <c r="AB18" s="535">
        <f t="shared" ref="AB18:AB19" si="17">I18/$I$1</f>
        <v>0</v>
      </c>
      <c r="AC18" s="644"/>
      <c r="AD18" s="535"/>
      <c r="AE18" s="535"/>
      <c r="AF18" s="535"/>
      <c r="AG18" s="644"/>
    </row>
    <row r="19" spans="1:33" x14ac:dyDescent="0.25">
      <c r="A19" s="701"/>
      <c r="B19" s="539" t="s">
        <v>732</v>
      </c>
      <c r="C19" s="577"/>
      <c r="D19" s="543"/>
      <c r="E19" s="543"/>
      <c r="F19" s="543"/>
      <c r="G19" s="543">
        <v>2.5968749999999961E-2</v>
      </c>
      <c r="H19" s="543">
        <v>2.5281249999999998E-2</v>
      </c>
      <c r="I19" s="543">
        <v>3.0639083333333313E-2</v>
      </c>
      <c r="J19" s="543"/>
      <c r="K19" s="543"/>
      <c r="L19" s="543">
        <v>0.1339285714285714</v>
      </c>
      <c r="M19" s="654">
        <f>1/L19</f>
        <v>7.4666666666666686</v>
      </c>
      <c r="N19" s="703"/>
      <c r="O19" s="583" t="s">
        <v>732</v>
      </c>
      <c r="P19" s="548"/>
      <c r="Q19" s="644"/>
      <c r="R19" s="535"/>
      <c r="S19" s="644"/>
      <c r="T19" s="535"/>
      <c r="U19" s="644"/>
      <c r="V19" s="535"/>
      <c r="W19" s="644"/>
      <c r="X19" s="535">
        <f t="shared" si="13"/>
        <v>0.49710573224022403</v>
      </c>
      <c r="Y19" s="644">
        <f t="shared" si="14"/>
        <v>38.507821901323766</v>
      </c>
      <c r="Z19" s="535">
        <f t="shared" si="15"/>
        <v>0.31532116766644974</v>
      </c>
      <c r="AA19" s="644">
        <f t="shared" si="16"/>
        <v>39.555006180469718</v>
      </c>
      <c r="AB19" s="535">
        <f t="shared" si="17"/>
        <v>0.52860855720150501</v>
      </c>
      <c r="AC19" s="644">
        <f t="shared" ref="AC19" si="18">1/I19</f>
        <v>32.63805216104705</v>
      </c>
      <c r="AD19" s="535"/>
      <c r="AE19" s="535"/>
      <c r="AF19" s="535"/>
      <c r="AG19" s="644"/>
    </row>
    <row r="20" spans="1:33" x14ac:dyDescent="0.25">
      <c r="A20" s="701"/>
      <c r="B20" s="539" t="s">
        <v>698</v>
      </c>
      <c r="C20" s="577"/>
      <c r="D20" s="543"/>
      <c r="E20" s="543"/>
      <c r="F20" s="543"/>
      <c r="G20" s="543"/>
      <c r="H20" s="543"/>
      <c r="I20" s="543"/>
      <c r="J20" s="543"/>
      <c r="K20" s="543"/>
      <c r="L20" s="543"/>
      <c r="M20" s="9"/>
      <c r="N20" s="703"/>
      <c r="O20" s="583" t="s">
        <v>698</v>
      </c>
      <c r="P20" s="548"/>
      <c r="Q20" s="644"/>
      <c r="R20" s="535"/>
      <c r="S20" s="644"/>
      <c r="T20" s="535"/>
      <c r="U20" s="644"/>
      <c r="V20" s="535"/>
      <c r="W20" s="644"/>
      <c r="X20" s="535"/>
      <c r="Y20" s="644"/>
      <c r="Z20" s="535"/>
      <c r="AA20" s="644"/>
      <c r="AB20" s="535"/>
      <c r="AC20" s="644"/>
      <c r="AD20" s="535"/>
      <c r="AE20" s="646"/>
      <c r="AF20" s="548"/>
      <c r="AG20" s="646"/>
    </row>
    <row r="21" spans="1:33" x14ac:dyDescent="0.25">
      <c r="A21" s="701"/>
      <c r="B21" s="551" t="s">
        <v>0</v>
      </c>
      <c r="C21" s="577"/>
      <c r="D21" s="543"/>
      <c r="E21" s="543"/>
      <c r="F21" s="543"/>
      <c r="G21" s="543"/>
      <c r="H21" s="543"/>
      <c r="I21" s="543"/>
      <c r="J21" s="543"/>
      <c r="K21" s="543"/>
      <c r="L21" s="543"/>
      <c r="M21" s="9"/>
      <c r="N21" s="703"/>
      <c r="O21" s="583" t="s">
        <v>0</v>
      </c>
      <c r="P21" s="549"/>
      <c r="Q21" s="645"/>
      <c r="R21" s="536"/>
      <c r="S21" s="645"/>
      <c r="T21" s="536"/>
      <c r="U21" s="645"/>
      <c r="V21" s="536"/>
      <c r="W21" s="645"/>
      <c r="X21" s="536"/>
      <c r="Y21" s="645"/>
      <c r="Z21" s="536"/>
      <c r="AA21" s="536"/>
      <c r="AB21" s="536"/>
      <c r="AC21" s="535"/>
      <c r="AD21" s="535" t="e">
        <f>J21/$J$1</f>
        <v>#DIV/0!</v>
      </c>
      <c r="AE21" s="648" t="e">
        <f>1/J21</f>
        <v>#DIV/0!</v>
      </c>
      <c r="AF21" s="549">
        <f>K21/$K$1</f>
        <v>0</v>
      </c>
      <c r="AG21" s="648" t="e">
        <f>1/K21</f>
        <v>#DIV/0!</v>
      </c>
    </row>
    <row r="22" spans="1:33" x14ac:dyDescent="0.25">
      <c r="A22" s="702" t="s">
        <v>730</v>
      </c>
      <c r="B22" s="554" t="s">
        <v>680</v>
      </c>
      <c r="C22" s="582">
        <v>7.6541020779221203E-2</v>
      </c>
      <c r="D22" s="556">
        <v>9.516709370629349E-2</v>
      </c>
      <c r="E22" s="556">
        <v>0.10114897692307692</v>
      </c>
      <c r="F22" s="556"/>
      <c r="G22" s="556"/>
      <c r="H22" s="556"/>
      <c r="I22" s="556"/>
      <c r="J22" s="556">
        <v>0</v>
      </c>
      <c r="K22" s="556">
        <v>3.3705144855144913E-2</v>
      </c>
      <c r="L22" s="556">
        <v>5.9334415584415767E-2</v>
      </c>
      <c r="M22" s="9"/>
      <c r="N22" s="704" t="s">
        <v>730</v>
      </c>
      <c r="O22" s="584" t="s">
        <v>680</v>
      </c>
      <c r="P22" s="548">
        <f>C22/$C$1</f>
        <v>1</v>
      </c>
      <c r="Q22" s="643">
        <f>1/C22</f>
        <v>13.064889778311823</v>
      </c>
      <c r="R22" s="547">
        <f>D22/$D$1</f>
        <v>1</v>
      </c>
      <c r="S22" s="643">
        <f>1/D22</f>
        <v>10.507833759074531</v>
      </c>
      <c r="T22" s="547">
        <f>E22/$E$1</f>
        <v>1</v>
      </c>
      <c r="U22" s="650">
        <f>1/E22</f>
        <v>9.8864074597659339</v>
      </c>
      <c r="V22" s="638"/>
      <c r="W22" s="647"/>
      <c r="X22" s="548"/>
      <c r="Y22" s="644"/>
      <c r="Z22" s="535"/>
      <c r="AA22" s="535"/>
      <c r="AB22" s="548"/>
      <c r="AC22" s="546"/>
      <c r="AD22" s="546"/>
      <c r="AE22" s="535"/>
      <c r="AF22" s="535">
        <f>K22/K1</f>
        <v>0.93049972627372424</v>
      </c>
      <c r="AG22" s="644"/>
    </row>
    <row r="23" spans="1:33" x14ac:dyDescent="0.25">
      <c r="A23" s="701"/>
      <c r="B23" s="555" t="s">
        <v>679</v>
      </c>
      <c r="C23" s="577"/>
      <c r="D23" s="543"/>
      <c r="E23" s="543"/>
      <c r="F23" s="543">
        <v>4.3797642829840472E-2</v>
      </c>
      <c r="G23" s="543"/>
      <c r="H23" s="543"/>
      <c r="I23" s="543"/>
      <c r="J23" s="543"/>
      <c r="K23" s="543"/>
      <c r="L23" s="543"/>
      <c r="M23" s="9"/>
      <c r="N23" s="703"/>
      <c r="O23" s="583" t="s">
        <v>679</v>
      </c>
      <c r="P23" s="548"/>
      <c r="Q23" s="644"/>
      <c r="R23" s="535"/>
      <c r="S23" s="644"/>
      <c r="T23" s="535"/>
      <c r="U23" s="651"/>
      <c r="V23" s="639">
        <f>F23/F1</f>
        <v>0.83349513708837697</v>
      </c>
      <c r="W23" s="646">
        <f>1/F23</f>
        <v>22.832278985541066</v>
      </c>
      <c r="X23" s="548"/>
      <c r="Y23" s="644"/>
      <c r="Z23" s="535"/>
      <c r="AA23" s="535"/>
      <c r="AB23" s="548"/>
      <c r="AC23" s="548"/>
      <c r="AD23" s="548"/>
      <c r="AE23" s="535"/>
      <c r="AF23" s="535"/>
      <c r="AG23" s="644"/>
    </row>
    <row r="24" spans="1:33" x14ac:dyDescent="0.25">
      <c r="A24" s="701"/>
      <c r="B24" s="555" t="s">
        <v>731</v>
      </c>
      <c r="C24" s="577"/>
      <c r="D24" s="543"/>
      <c r="E24" s="543"/>
      <c r="F24" s="543"/>
      <c r="G24" s="543">
        <v>4.8379892473118219E-2</v>
      </c>
      <c r="H24" s="543">
        <v>7.5159999999999741E-2</v>
      </c>
      <c r="I24" s="543">
        <v>0</v>
      </c>
      <c r="J24" s="543"/>
      <c r="K24" s="543"/>
      <c r="L24" s="543"/>
      <c r="M24" s="9"/>
      <c r="N24" s="703"/>
      <c r="O24" s="583" t="s">
        <v>731</v>
      </c>
      <c r="P24" s="548"/>
      <c r="Q24" s="644"/>
      <c r="R24" s="535"/>
      <c r="S24" s="644"/>
      <c r="T24" s="535"/>
      <c r="U24" s="651"/>
      <c r="V24" s="639"/>
      <c r="W24" s="646"/>
      <c r="X24" s="548">
        <f t="shared" ref="X24:X25" si="19">G24/$G$1</f>
        <v>0.92611010824751949</v>
      </c>
      <c r="Y24" s="644">
        <f t="shared" ref="Y24:Y25" si="20">1/G24</f>
        <v>20.669744161908575</v>
      </c>
      <c r="Z24" s="535">
        <f t="shared" ref="Z24:Z25" si="21">H24/$H$1</f>
        <v>0.93743541010868858</v>
      </c>
      <c r="AA24" s="644">
        <f t="shared" ref="AA24:AA25" si="22">1/H24</f>
        <v>13.30494944119217</v>
      </c>
      <c r="AB24" s="535">
        <f t="shared" ref="AB24:AB25" si="23">I24/$I$1</f>
        <v>0</v>
      </c>
      <c r="AC24" s="646"/>
      <c r="AD24" s="548"/>
      <c r="AE24" s="535"/>
      <c r="AF24" s="535"/>
      <c r="AG24" s="644"/>
    </row>
    <row r="25" spans="1:33" x14ac:dyDescent="0.25">
      <c r="A25" s="701"/>
      <c r="B25" s="555" t="s">
        <v>732</v>
      </c>
      <c r="C25" s="577"/>
      <c r="D25" s="543"/>
      <c r="E25" s="543"/>
      <c r="F25" s="543"/>
      <c r="G25" s="543">
        <v>2.3874999999999962E-2</v>
      </c>
      <c r="H25" s="543">
        <v>2.31875E-2</v>
      </c>
      <c r="I25" s="543">
        <v>2.7005333333333312E-2</v>
      </c>
      <c r="J25" s="543"/>
      <c r="K25" s="543"/>
      <c r="L25" s="543">
        <v>0.16964285714285698</v>
      </c>
      <c r="M25" s="654">
        <f>1/L25</f>
        <v>5.894736842105269</v>
      </c>
      <c r="N25" s="703"/>
      <c r="O25" s="583" t="s">
        <v>732</v>
      </c>
      <c r="P25" s="548"/>
      <c r="Q25" s="644"/>
      <c r="R25" s="535"/>
      <c r="S25" s="644"/>
      <c r="T25" s="535"/>
      <c r="U25" s="651"/>
      <c r="V25" s="639"/>
      <c r="W25" s="646"/>
      <c r="X25" s="548">
        <f t="shared" si="19"/>
        <v>0.45702620870220356</v>
      </c>
      <c r="Y25" s="644">
        <f t="shared" si="20"/>
        <v>41.884816753926771</v>
      </c>
      <c r="Z25" s="535">
        <f t="shared" si="21"/>
        <v>0.2892068064382024</v>
      </c>
      <c r="AA25" s="644">
        <f t="shared" si="22"/>
        <v>43.126684636118597</v>
      </c>
      <c r="AB25" s="535">
        <f t="shared" si="23"/>
        <v>0.46591636357960148</v>
      </c>
      <c r="AC25" s="646">
        <f t="shared" ref="AC25" si="24">1/I25</f>
        <v>37.029722523945914</v>
      </c>
      <c r="AD25" s="548"/>
      <c r="AE25" s="535"/>
      <c r="AF25" s="535"/>
      <c r="AG25" s="644"/>
    </row>
    <row r="26" spans="1:33" x14ac:dyDescent="0.25">
      <c r="A26" s="701"/>
      <c r="B26" s="555" t="s">
        <v>698</v>
      </c>
      <c r="C26" s="577"/>
      <c r="D26" s="543"/>
      <c r="E26" s="543"/>
      <c r="F26" s="543"/>
      <c r="G26" s="543"/>
      <c r="H26" s="543"/>
      <c r="I26" s="543"/>
      <c r="J26" s="543"/>
      <c r="K26" s="543"/>
      <c r="L26" s="543"/>
      <c r="M26" s="9"/>
      <c r="N26" s="703"/>
      <c r="O26" s="583" t="s">
        <v>698</v>
      </c>
      <c r="P26" s="548"/>
      <c r="Q26" s="644"/>
      <c r="R26" s="535"/>
      <c r="S26" s="644"/>
      <c r="T26" s="535"/>
      <c r="U26" s="651"/>
      <c r="V26" s="639"/>
      <c r="W26" s="548"/>
      <c r="X26" s="548"/>
      <c r="Y26" s="644"/>
      <c r="Z26" s="535"/>
      <c r="AA26" s="644"/>
      <c r="AB26" s="535"/>
      <c r="AC26" s="646"/>
      <c r="AD26" s="548"/>
      <c r="AE26" s="646"/>
      <c r="AF26" s="548"/>
      <c r="AG26" s="646"/>
    </row>
    <row r="27" spans="1:33" x14ac:dyDescent="0.25">
      <c r="A27" s="701"/>
      <c r="B27" s="551" t="s">
        <v>0</v>
      </c>
      <c r="C27" s="578"/>
      <c r="D27" s="534"/>
      <c r="E27" s="534"/>
      <c r="F27" s="534"/>
      <c r="G27" s="534"/>
      <c r="H27" s="534"/>
      <c r="I27" s="534"/>
      <c r="J27" s="534"/>
      <c r="K27" s="534"/>
      <c r="L27" s="534"/>
      <c r="M27" s="9"/>
      <c r="N27" s="703"/>
      <c r="O27" s="583" t="s">
        <v>0</v>
      </c>
      <c r="P27" s="549"/>
      <c r="Q27" s="645"/>
      <c r="R27" s="536"/>
      <c r="S27" s="645"/>
      <c r="T27" s="536"/>
      <c r="U27" s="652"/>
      <c r="V27" s="640"/>
      <c r="W27" s="549"/>
      <c r="X27" s="549"/>
      <c r="Y27" s="645"/>
      <c r="Z27" s="536"/>
      <c r="AA27" s="536"/>
      <c r="AB27" s="549"/>
      <c r="AC27" s="549"/>
      <c r="AD27" s="549" t="e">
        <f>J27/$J$1</f>
        <v>#DIV/0!</v>
      </c>
      <c r="AE27" s="648" t="e">
        <f>1/J27</f>
        <v>#DIV/0!</v>
      </c>
      <c r="AF27" s="549">
        <f>K27/$K$1</f>
        <v>0</v>
      </c>
      <c r="AG27" s="648" t="e">
        <f>1/K27</f>
        <v>#DIV/0!</v>
      </c>
    </row>
    <row r="28" spans="1:33" x14ac:dyDescent="0.25">
      <c r="Q28" s="470"/>
      <c r="S28" s="470"/>
      <c r="U28" s="470"/>
      <c r="AD28" s="9"/>
      <c r="AE28" s="9"/>
      <c r="AF28" s="9"/>
      <c r="AG28" s="9"/>
    </row>
    <row r="29" spans="1:33" x14ac:dyDescent="0.25">
      <c r="Q29" s="470"/>
      <c r="S29" s="470"/>
      <c r="U29" s="470"/>
    </row>
    <row r="30" spans="1:33" x14ac:dyDescent="0.25">
      <c r="B30" s="537" t="s">
        <v>716</v>
      </c>
      <c r="H30" s="633"/>
      <c r="I30" s="633"/>
      <c r="Q30" s="470"/>
      <c r="S30" s="470"/>
      <c r="U30" s="470"/>
    </row>
    <row r="31" spans="1:33" x14ac:dyDescent="0.25">
      <c r="B31" s="538">
        <v>42724</v>
      </c>
      <c r="G31" s="633"/>
      <c r="H31" s="633"/>
      <c r="I31" s="633"/>
      <c r="Q31" s="470"/>
      <c r="S31" s="470"/>
    </row>
    <row r="32" spans="1:33" x14ac:dyDescent="0.25">
      <c r="G32" s="633"/>
      <c r="H32" s="633"/>
      <c r="I32" s="633"/>
      <c r="Q32" s="470"/>
    </row>
    <row r="33" spans="17:17" x14ac:dyDescent="0.25">
      <c r="Q33" s="470"/>
    </row>
    <row r="34" spans="17:17" x14ac:dyDescent="0.25">
      <c r="Q34" s="470"/>
    </row>
  </sheetData>
  <mergeCells count="8">
    <mergeCell ref="A4:A9"/>
    <mergeCell ref="A10:A15"/>
    <mergeCell ref="A16:A21"/>
    <mergeCell ref="A22:A27"/>
    <mergeCell ref="N4:N9"/>
    <mergeCell ref="N10:N15"/>
    <mergeCell ref="N16:N21"/>
    <mergeCell ref="N22:N27"/>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2:Y17"/>
  <sheetViews>
    <sheetView workbookViewId="0">
      <selection activeCell="B12" sqref="B12"/>
    </sheetView>
  </sheetViews>
  <sheetFormatPr defaultColWidth="11.42578125" defaultRowHeight="15" x14ac:dyDescent="0.25"/>
  <cols>
    <col min="1" max="1" width="5.5703125" customWidth="1"/>
    <col min="2" max="2" width="6" bestFit="1" customWidth="1"/>
    <col min="3" max="3" width="13.7109375" bestFit="1" customWidth="1"/>
    <col min="4" max="4" width="6" bestFit="1" customWidth="1"/>
    <col min="5" max="5" width="4.7109375" bestFit="1" customWidth="1"/>
    <col min="6" max="9" width="4.5703125" bestFit="1" customWidth="1"/>
    <col min="10" max="10" width="5.140625" bestFit="1" customWidth="1"/>
    <col min="11" max="11" width="4.5703125" bestFit="1" customWidth="1"/>
    <col min="12" max="12" width="5.5703125" customWidth="1"/>
    <col min="13" max="13" width="6" bestFit="1" customWidth="1"/>
    <col min="14" max="14" width="11.7109375" bestFit="1" customWidth="1"/>
    <col min="15" max="15" width="7.42578125" bestFit="1" customWidth="1"/>
    <col min="16" max="16" width="7.7109375" bestFit="1" customWidth="1"/>
    <col min="17" max="17" width="7.42578125" bestFit="1" customWidth="1"/>
    <col min="18" max="18" width="5.5703125" bestFit="1" customWidth="1"/>
    <col min="19" max="19" width="6.42578125" bestFit="1" customWidth="1"/>
    <col min="20" max="20" width="6.85546875" bestFit="1" customWidth="1"/>
    <col min="21" max="21" width="6.42578125" bestFit="1" customWidth="1"/>
    <col min="22" max="22" width="5.5703125" bestFit="1" customWidth="1"/>
    <col min="23" max="24" width="4.5703125" bestFit="1" customWidth="1"/>
  </cols>
  <sheetData>
    <row r="2" spans="2:25" x14ac:dyDescent="0.25">
      <c r="B2" s="492" t="s">
        <v>276</v>
      </c>
      <c r="C2" s="492" t="s">
        <v>179</v>
      </c>
      <c r="D2" s="492" t="s">
        <v>690</v>
      </c>
      <c r="E2" s="492" t="s">
        <v>1</v>
      </c>
      <c r="F2" s="492" t="s">
        <v>2</v>
      </c>
      <c r="G2" s="492" t="s">
        <v>697</v>
      </c>
      <c r="H2" s="492" t="s">
        <v>65</v>
      </c>
      <c r="I2" s="492" t="s">
        <v>578</v>
      </c>
      <c r="J2" s="492" t="s">
        <v>698</v>
      </c>
      <c r="K2" s="492" t="s">
        <v>0</v>
      </c>
      <c r="M2" s="594">
        <v>352</v>
      </c>
      <c r="N2" s="443" t="s">
        <v>807</v>
      </c>
      <c r="O2" s="48" t="s">
        <v>701</v>
      </c>
      <c r="P2" s="48" t="s">
        <v>808</v>
      </c>
      <c r="Q2" s="48" t="s">
        <v>701</v>
      </c>
      <c r="R2" s="48" t="s">
        <v>64</v>
      </c>
      <c r="S2" s="48" t="s">
        <v>703</v>
      </c>
      <c r="T2" s="48" t="s">
        <v>704</v>
      </c>
      <c r="U2" s="48" t="s">
        <v>703</v>
      </c>
      <c r="V2" s="48" t="s">
        <v>565</v>
      </c>
      <c r="W2" s="48" t="s">
        <v>809</v>
      </c>
      <c r="X2" s="48" t="s">
        <v>810</v>
      </c>
    </row>
    <row r="3" spans="2:25" x14ac:dyDescent="0.25">
      <c r="B3" t="s">
        <v>1</v>
      </c>
      <c r="C3" t="str">
        <f>Evaluacion!A3</f>
        <v>D. Gehmacher</v>
      </c>
      <c r="D3" s="635"/>
      <c r="E3" s="265">
        <f>Evaluacion!K3</f>
        <v>16.666666666666668</v>
      </c>
      <c r="F3" s="265">
        <f>Evaluacion!L3</f>
        <v>12.080559440559444</v>
      </c>
      <c r="G3" s="265">
        <f>Evaluacion!M3</f>
        <v>2.0699999999999985</v>
      </c>
      <c r="H3" s="265">
        <f>Evaluacion!N3</f>
        <v>2.149999999999999</v>
      </c>
      <c r="I3" s="265">
        <f>Evaluacion!O3</f>
        <v>1.0400000000000003</v>
      </c>
      <c r="J3" s="265">
        <f>Evaluacion!P3</f>
        <v>0.14055555555555557</v>
      </c>
      <c r="K3" s="265">
        <f>Evaluacion!Q3</f>
        <v>18.2</v>
      </c>
      <c r="M3" t="s">
        <v>1</v>
      </c>
      <c r="N3" s="595">
        <v>1</v>
      </c>
      <c r="O3" s="596">
        <f>Evaluacion!X3</f>
        <v>15.679159793725386</v>
      </c>
      <c r="P3" s="596">
        <f>Evaluacion!Y3</f>
        <v>23.109207608832374</v>
      </c>
      <c r="Q3" s="596">
        <f>Evaluacion!Z3</f>
        <v>15.679159793725386</v>
      </c>
      <c r="R3" s="596">
        <v>0</v>
      </c>
      <c r="S3" s="596">
        <v>0</v>
      </c>
      <c r="T3" s="596">
        <v>0</v>
      </c>
      <c r="U3" s="596">
        <v>0</v>
      </c>
      <c r="V3" s="596">
        <v>0</v>
      </c>
      <c r="W3" s="596">
        <f>Evaluacion!T3</f>
        <v>0.55302777777777778</v>
      </c>
      <c r="X3" s="596">
        <f>Evaluacion!U3</f>
        <v>1.0292223776223779</v>
      </c>
      <c r="Y3" s="600"/>
    </row>
    <row r="4" spans="2:25" x14ac:dyDescent="0.25">
      <c r="B4" t="s">
        <v>803</v>
      </c>
      <c r="C4" t="str">
        <f>Evaluacion!A6</f>
        <v>E. Toney</v>
      </c>
      <c r="D4" s="635"/>
      <c r="E4" s="265">
        <f>Evaluacion!K6</f>
        <v>0</v>
      </c>
      <c r="F4" s="265">
        <f>Evaluacion!L6</f>
        <v>12.200000000000005</v>
      </c>
      <c r="G4" s="265">
        <f>Evaluacion!M6</f>
        <v>13.261555555555553</v>
      </c>
      <c r="H4" s="265">
        <f>Evaluacion!N6</f>
        <v>9.8750000000000053</v>
      </c>
      <c r="I4" s="265">
        <f>Evaluacion!O6</f>
        <v>9.6</v>
      </c>
      <c r="J4" s="265">
        <f>Evaluacion!P6</f>
        <v>3.6816666666666658</v>
      </c>
      <c r="K4" s="265">
        <f>Evaluacion!Q6</f>
        <v>17.177777777777774</v>
      </c>
      <c r="M4" t="s">
        <v>803</v>
      </c>
      <c r="N4" s="595">
        <v>1</v>
      </c>
      <c r="O4" s="596">
        <f>Evaluacion!AI6</f>
        <v>14.021212205957147</v>
      </c>
      <c r="P4" s="596">
        <f>Evaluacion!AJ6</f>
        <v>6.3095454926807157</v>
      </c>
      <c r="Q4" s="596">
        <v>0</v>
      </c>
      <c r="R4" s="596">
        <f>Evaluacion!AK6</f>
        <v>2.7224346021199977</v>
      </c>
      <c r="S4" s="596">
        <f>Evaluacion!AL6</f>
        <v>7.5942834533726105</v>
      </c>
      <c r="T4" s="596">
        <v>0</v>
      </c>
      <c r="U4" s="596">
        <v>0</v>
      </c>
      <c r="V4" s="596">
        <f>Evaluacion!R6</f>
        <v>4.3000000000000007</v>
      </c>
      <c r="W4" s="596">
        <f>Evaluacion!T6</f>
        <v>0.69941666666666646</v>
      </c>
      <c r="X4" s="596">
        <f>Evaluacion!U6</f>
        <v>1.0033333333333334</v>
      </c>
    </row>
    <row r="5" spans="2:25" x14ac:dyDescent="0.25">
      <c r="B5" t="s">
        <v>804</v>
      </c>
      <c r="C5" t="str">
        <f>Evaluacion!A15</f>
        <v>E. Gross</v>
      </c>
      <c r="D5" s="635"/>
      <c r="E5" s="265">
        <f>Evaluacion!K15</f>
        <v>0</v>
      </c>
      <c r="F5" s="265">
        <f>Evaluacion!L15</f>
        <v>10.549999999999995</v>
      </c>
      <c r="G5" s="265">
        <f>Evaluacion!M15</f>
        <v>13</v>
      </c>
      <c r="H5" s="265">
        <f>Evaluacion!N15</f>
        <v>5.1399999999999979</v>
      </c>
      <c r="I5" s="265">
        <f>Evaluacion!O15</f>
        <v>9.24</v>
      </c>
      <c r="J5" s="265">
        <f>Evaluacion!P15</f>
        <v>2.98</v>
      </c>
      <c r="K5" s="265">
        <f>Evaluacion!Q15</f>
        <v>17.459999999999997</v>
      </c>
      <c r="M5" t="s">
        <v>804</v>
      </c>
      <c r="N5" s="595">
        <v>1</v>
      </c>
      <c r="O5" s="596">
        <f>(Evaluacion!AA15+Evaluacion!AC15)/2</f>
        <v>5.1945120292855664</v>
      </c>
      <c r="P5" s="596">
        <f>Evaluacion!AB15</f>
        <v>13.422511703580275</v>
      </c>
      <c r="Q5" s="596">
        <f>O5</f>
        <v>5.1945120292855664</v>
      </c>
      <c r="R5" s="596">
        <f>Evaluacion!AD15</f>
        <v>3.7776577854521065</v>
      </c>
      <c r="S5" s="596">
        <v>0</v>
      </c>
      <c r="T5" s="596">
        <v>0</v>
      </c>
      <c r="U5" s="596">
        <v>0</v>
      </c>
      <c r="V5" s="596">
        <f>Evaluacion!R15</f>
        <v>4.0037499999999993</v>
      </c>
      <c r="W5" s="596">
        <f>Evaluacion!T15</f>
        <v>0.67279999999999984</v>
      </c>
      <c r="X5" s="596">
        <f>Evaluacion!U15</f>
        <v>0.94579999999999964</v>
      </c>
    </row>
    <row r="6" spans="2:25" x14ac:dyDescent="0.25">
      <c r="B6" t="s">
        <v>803</v>
      </c>
      <c r="C6" t="str">
        <f>Evaluacion!A9</f>
        <v>B. Pinczehelyi</v>
      </c>
      <c r="D6" s="635" t="str">
        <f>Evaluacion!D9</f>
        <v>CAB</v>
      </c>
      <c r="E6" s="265">
        <f>Evaluacion!K9</f>
        <v>0</v>
      </c>
      <c r="F6" s="265">
        <f>Evaluacion!L9</f>
        <v>14.300000000000004</v>
      </c>
      <c r="G6" s="265">
        <f>Evaluacion!M9</f>
        <v>9.3793333333333351</v>
      </c>
      <c r="H6" s="265">
        <f>Evaluacion!N9</f>
        <v>14.333333333333329</v>
      </c>
      <c r="I6" s="265">
        <f>Evaluacion!O9</f>
        <v>9.4199999999999982</v>
      </c>
      <c r="J6" s="265">
        <f>Evaluacion!P9</f>
        <v>1.1428571428571428</v>
      </c>
      <c r="K6" s="265">
        <f>Evaluacion!Q9</f>
        <v>11</v>
      </c>
      <c r="M6" t="s">
        <v>803</v>
      </c>
      <c r="N6" s="595">
        <v>1</v>
      </c>
      <c r="O6" s="596">
        <v>0</v>
      </c>
      <c r="P6" s="596">
        <f>Evaluacion!AJ9</f>
        <v>6.9988742304260727</v>
      </c>
      <c r="Q6" s="596">
        <f>Evaluacion!AI9</f>
        <v>15.553053845391274</v>
      </c>
      <c r="R6" s="596">
        <f>Evaluacion!AK9</f>
        <v>2.0014660494713863</v>
      </c>
      <c r="S6" s="596">
        <v>0</v>
      </c>
      <c r="T6" s="596">
        <f>0</f>
        <v>0</v>
      </c>
      <c r="U6" s="596">
        <f>Evaluacion!AL9</f>
        <v>9.9600300664022434</v>
      </c>
      <c r="V6" s="596">
        <f>Evaluacion!R9</f>
        <v>4.5175000000000001</v>
      </c>
      <c r="W6" s="596">
        <f>Evaluacion!T9</f>
        <v>0.38714285714285712</v>
      </c>
      <c r="X6" s="596">
        <f>Evaluacion!U9</f>
        <v>0.90200000000000036</v>
      </c>
    </row>
    <row r="7" spans="2:25" x14ac:dyDescent="0.25">
      <c r="B7" t="s">
        <v>503</v>
      </c>
      <c r="C7" t="str">
        <f>Evaluacion!A13</f>
        <v>S. Buschelman</v>
      </c>
      <c r="D7" s="635" t="str">
        <f>Evaluacion!D13</f>
        <v>TEC</v>
      </c>
      <c r="E7" s="265">
        <f>Evaluacion!K13</f>
        <v>0</v>
      </c>
      <c r="F7" s="265">
        <f>Evaluacion!L13</f>
        <v>9.3036666666666648</v>
      </c>
      <c r="G7" s="265">
        <f>Evaluacion!M13</f>
        <v>14</v>
      </c>
      <c r="H7" s="265">
        <f>Evaluacion!N13</f>
        <v>12.945</v>
      </c>
      <c r="I7" s="265">
        <f>Evaluacion!O13</f>
        <v>10</v>
      </c>
      <c r="J7" s="265">
        <f>Evaluacion!P13</f>
        <v>4.95</v>
      </c>
      <c r="K7" s="265">
        <f>Evaluacion!Q13</f>
        <v>15.588888888888887</v>
      </c>
      <c r="M7" t="s">
        <v>503</v>
      </c>
      <c r="N7" s="595">
        <v>0.82499999999999996</v>
      </c>
      <c r="O7" s="596">
        <f>Evaluacion!BE13*N7</f>
        <v>2.9367997055386899</v>
      </c>
      <c r="P7" s="596">
        <f>Evaluacion!BF13*N7</f>
        <v>3.512049132396784</v>
      </c>
      <c r="Q7" s="596">
        <v>0</v>
      </c>
      <c r="R7" s="596">
        <f>Evaluacion!BG13*N7</f>
        <v>12.304548353280365</v>
      </c>
      <c r="S7" s="596">
        <f>Evaluacion!BH13*N7</f>
        <v>10.877185664944658</v>
      </c>
      <c r="T7" s="596">
        <f>Evaluacion!BI13*N7</f>
        <v>2.5706434201368538</v>
      </c>
      <c r="U7" s="596">
        <v>0</v>
      </c>
      <c r="V7" s="596">
        <v>0</v>
      </c>
      <c r="W7" s="596">
        <f>Evaluacion!T13*N7</f>
        <v>0.59001249999999983</v>
      </c>
      <c r="X7" s="596">
        <f>Evaluacion!U13*N7</f>
        <v>0.69284599999999985</v>
      </c>
    </row>
    <row r="8" spans="2:25" x14ac:dyDescent="0.25">
      <c r="B8" t="s">
        <v>805</v>
      </c>
      <c r="C8" t="str">
        <f>Evaluacion!A16</f>
        <v>L. Bauman</v>
      </c>
      <c r="D8" s="635"/>
      <c r="E8" s="265">
        <f>Evaluacion!K16</f>
        <v>0</v>
      </c>
      <c r="F8" s="265">
        <f>Evaluacion!L16</f>
        <v>5.4644444444444451</v>
      </c>
      <c r="G8" s="265">
        <f>Evaluacion!M16</f>
        <v>14.42664708994708</v>
      </c>
      <c r="H8" s="265">
        <f>Evaluacion!N16</f>
        <v>3.5124999999999993</v>
      </c>
      <c r="I8" s="265">
        <f>Evaluacion!O16</f>
        <v>9.1400000000000041</v>
      </c>
      <c r="J8" s="265">
        <f>Evaluacion!P16</f>
        <v>6.95</v>
      </c>
      <c r="K8" s="265">
        <f>Evaluacion!Q16</f>
        <v>16.669999999999998</v>
      </c>
      <c r="M8" t="s">
        <v>805</v>
      </c>
      <c r="N8" s="595">
        <v>0.82499999999999996</v>
      </c>
      <c r="O8" s="596">
        <f>((Evaluacion!AX16+Evaluacion!AZ16)/2)*N8</f>
        <v>0.96618321057253298</v>
      </c>
      <c r="P8" s="596">
        <f>Evaluacion!AY16*N8</f>
        <v>2.7264429222505342</v>
      </c>
      <c r="Q8" s="596">
        <f>O8</f>
        <v>0.96618321057253298</v>
      </c>
      <c r="R8" s="596">
        <f>Evaluacion!BA16*N8</f>
        <v>14.209924488166008</v>
      </c>
      <c r="S8" s="596">
        <f>((Evaluacion!BB16+Evaluacion!BD16)/2)*N8</f>
        <v>1.8687416112425976</v>
      </c>
      <c r="T8" s="596">
        <f>Evaluacion!BC16*N8</f>
        <v>5.0470732920667789</v>
      </c>
      <c r="U8" s="596">
        <f>S8</f>
        <v>1.8687416112425976</v>
      </c>
      <c r="V8" s="596">
        <v>0</v>
      </c>
      <c r="W8" s="596">
        <f>Evaluacion!T16*N8</f>
        <v>0.69926999999999984</v>
      </c>
      <c r="X8" s="596">
        <f>Evaluacion!U16*N8</f>
        <v>0.5929091666666666</v>
      </c>
    </row>
    <row r="9" spans="2:25" x14ac:dyDescent="0.25">
      <c r="B9" t="s">
        <v>503</v>
      </c>
      <c r="C9" t="str">
        <f>Evaluacion!A14</f>
        <v>C. Rojas</v>
      </c>
      <c r="D9" s="635" t="str">
        <f>Evaluacion!D14</f>
        <v>TEC</v>
      </c>
      <c r="E9" s="265">
        <f>Evaluacion!K14</f>
        <v>0</v>
      </c>
      <c r="F9" s="265">
        <f>Evaluacion!L14</f>
        <v>8.6275555555555581</v>
      </c>
      <c r="G9" s="265">
        <f>Evaluacion!M14</f>
        <v>14.333255555555548</v>
      </c>
      <c r="H9" s="265">
        <f>Evaluacion!N14</f>
        <v>9.99</v>
      </c>
      <c r="I9" s="265">
        <f>Evaluacion!O14</f>
        <v>10</v>
      </c>
      <c r="J9" s="265">
        <f>Evaluacion!P14</f>
        <v>3.99</v>
      </c>
      <c r="K9" s="265">
        <f>Evaluacion!Q14</f>
        <v>17.144444444444439</v>
      </c>
      <c r="M9" t="s">
        <v>503</v>
      </c>
      <c r="N9" s="595">
        <v>0.82499999999999996</v>
      </c>
      <c r="O9" s="596">
        <v>0</v>
      </c>
      <c r="P9" s="596">
        <f>Evaluacion!BF14*N9</f>
        <v>3.3288430446710033</v>
      </c>
      <c r="Q9" s="596">
        <f>Evaluacion!BE14*N9</f>
        <v>2.7836015114921322</v>
      </c>
      <c r="R9" s="596">
        <f>Evaluacion!BG14*N9</f>
        <v>12.57437506444009</v>
      </c>
      <c r="S9" s="596">
        <v>0</v>
      </c>
      <c r="T9" s="596">
        <f>Evaluacion!BI14*N9</f>
        <v>2.5781957315106658</v>
      </c>
      <c r="U9" s="596">
        <f>Evaluacion!BH14*N9</f>
        <v>9.5057043560704635</v>
      </c>
      <c r="V9" s="596">
        <v>0</v>
      </c>
      <c r="W9" s="596">
        <f>Evaluacion!T14*N9</f>
        <v>0.58891249999999984</v>
      </c>
      <c r="X9" s="596">
        <f>Evaluacion!U14*N9</f>
        <v>0.70903433333333321</v>
      </c>
    </row>
    <row r="10" spans="2:25" x14ac:dyDescent="0.25">
      <c r="B10" t="s">
        <v>806</v>
      </c>
      <c r="C10" t="str">
        <f>Evaluacion!A10</f>
        <v>E. Romweber</v>
      </c>
      <c r="D10" s="635" t="str">
        <f>Evaluacion!D10</f>
        <v>IMP</v>
      </c>
      <c r="E10" s="265">
        <f>Evaluacion!K10</f>
        <v>0</v>
      </c>
      <c r="F10" s="265">
        <f>Evaluacion!L10</f>
        <v>12.06111111111111</v>
      </c>
      <c r="G10" s="265">
        <f>Evaluacion!M10</f>
        <v>12.614111111111114</v>
      </c>
      <c r="H10" s="265">
        <f>Evaluacion!N10</f>
        <v>13.216666666666669</v>
      </c>
      <c r="I10" s="265">
        <f>Evaluacion!O10</f>
        <v>11</v>
      </c>
      <c r="J10" s="265">
        <f>Evaluacion!P10</f>
        <v>7.7700000000000005</v>
      </c>
      <c r="K10" s="265">
        <f>Evaluacion!Q10</f>
        <v>17.529999999999998</v>
      </c>
      <c r="M10" t="s">
        <v>806</v>
      </c>
      <c r="N10" s="595">
        <v>1</v>
      </c>
      <c r="O10" s="596">
        <f>Evaluacion!BT10</f>
        <v>4.2853560383990477</v>
      </c>
      <c r="P10" s="596">
        <f>Evaluacion!BU10</f>
        <v>3.6817847653850975</v>
      </c>
      <c r="Q10" s="596">
        <v>0</v>
      </c>
      <c r="R10" s="596">
        <f>Evaluacion!BV10</f>
        <v>7.1172382305336876</v>
      </c>
      <c r="S10" s="596">
        <f>Evaluacion!BW10</f>
        <v>17.458413151375318</v>
      </c>
      <c r="T10" s="596">
        <f>Evaluacion!BX10</f>
        <v>1.6974086564227555</v>
      </c>
      <c r="U10" s="596">
        <v>0</v>
      </c>
      <c r="V10" s="596">
        <v>0</v>
      </c>
      <c r="W10" s="596">
        <f>Evaluacion!T10*N10</f>
        <v>0.91439999999999999</v>
      </c>
      <c r="X10" s="596">
        <f>Evaluacion!U10*N10</f>
        <v>1.0083444444444445</v>
      </c>
    </row>
    <row r="11" spans="2:25" x14ac:dyDescent="0.25">
      <c r="B11" t="s">
        <v>806</v>
      </c>
      <c r="C11" t="str">
        <f>Evaluacion!A11</f>
        <v>K. Helms</v>
      </c>
      <c r="D11" s="635" t="str">
        <f>Evaluacion!D11</f>
        <v>TEC</v>
      </c>
      <c r="E11" s="265">
        <f>Evaluacion!K11</f>
        <v>0</v>
      </c>
      <c r="F11" s="265">
        <f>Evaluacion!L11</f>
        <v>7.2503030303030309</v>
      </c>
      <c r="G11" s="265">
        <f>Evaluacion!M11</f>
        <v>10.600000000000005</v>
      </c>
      <c r="H11" s="265">
        <f>Evaluacion!N11</f>
        <v>13.471666666666668</v>
      </c>
      <c r="I11" s="265">
        <f>Evaluacion!O11</f>
        <v>10.359999999999998</v>
      </c>
      <c r="J11" s="265">
        <f>Evaluacion!P11</f>
        <v>4.95</v>
      </c>
      <c r="K11" s="265">
        <f>Evaluacion!Q11</f>
        <v>18</v>
      </c>
      <c r="M11" t="s">
        <v>806</v>
      </c>
      <c r="N11" s="595">
        <v>1</v>
      </c>
      <c r="O11" s="596">
        <v>0</v>
      </c>
      <c r="P11" s="596">
        <f>Evaluacion!BU11</f>
        <v>2.4776754596738786</v>
      </c>
      <c r="Q11" s="596">
        <f>Evaluacion!BT11</f>
        <v>2.8838517645384485</v>
      </c>
      <c r="R11" s="596">
        <f>Evaluacion!BV11</f>
        <v>6.1443675890466105</v>
      </c>
      <c r="S11" s="596">
        <v>0</v>
      </c>
      <c r="T11" s="596">
        <f>Evaluacion!BX11</f>
        <v>1.6049566555486581</v>
      </c>
      <c r="U11" s="596">
        <f>Evaluacion!BW11</f>
        <v>17.38510788717284</v>
      </c>
      <c r="V11" s="596">
        <v>0</v>
      </c>
      <c r="W11" s="596">
        <f>Evaluacion!T11*N11</f>
        <v>0.78749999999999998</v>
      </c>
      <c r="X11" s="596">
        <f>Evaluacion!U11*N11</f>
        <v>0.8300121212121212</v>
      </c>
    </row>
    <row r="12" spans="2:25" x14ac:dyDescent="0.25">
      <c r="B12" t="s">
        <v>66</v>
      </c>
      <c r="C12" t="str">
        <f>Evaluacion!A19</f>
        <v>J. Limon</v>
      </c>
      <c r="D12" s="635" t="str">
        <f>Evaluacion!D19</f>
        <v>RAP</v>
      </c>
      <c r="E12" s="265">
        <f>Evaluacion!K19</f>
        <v>0</v>
      </c>
      <c r="F12" s="265">
        <f>Evaluacion!L19</f>
        <v>6.8376190476190493</v>
      </c>
      <c r="G12" s="265">
        <f>Evaluacion!M19</f>
        <v>8.9499999999999993</v>
      </c>
      <c r="H12" s="265">
        <f>Evaluacion!N19</f>
        <v>8.7399999999999967</v>
      </c>
      <c r="I12" s="265">
        <f>Evaluacion!O19</f>
        <v>10</v>
      </c>
      <c r="J12" s="265">
        <f>Evaluacion!P19</f>
        <v>8.5625000000000018</v>
      </c>
      <c r="K12" s="265">
        <f>Evaluacion!Q19</f>
        <v>18.999999999999993</v>
      </c>
      <c r="M12" t="s">
        <v>66</v>
      </c>
      <c r="N12" s="595">
        <v>0.94499999999999995</v>
      </c>
      <c r="O12" s="596">
        <v>0</v>
      </c>
      <c r="P12" s="596">
        <v>0</v>
      </c>
      <c r="Q12" s="596">
        <v>0</v>
      </c>
      <c r="R12" s="596">
        <f>N12*Evaluacion!CK19</f>
        <v>2.8064553323014292</v>
      </c>
      <c r="S12" s="596">
        <f>N12*Evaluacion!CH19</f>
        <v>6.8726699880951614</v>
      </c>
      <c r="T12" s="596">
        <f>N12*Evaluacion!CI19</f>
        <v>15.368102149682628</v>
      </c>
      <c r="U12" s="596">
        <f>S12</f>
        <v>6.8726699880951614</v>
      </c>
      <c r="V12" s="596">
        <v>0</v>
      </c>
      <c r="W12" s="596">
        <f>Evaluacion!T19*N12</f>
        <v>0.94322812499999986</v>
      </c>
      <c r="X12" s="596">
        <f>Evaluacion!U19*N12</f>
        <v>0.79711199999999982</v>
      </c>
    </row>
    <row r="13" spans="2:25" x14ac:dyDescent="0.25">
      <c r="B13" t="s">
        <v>602</v>
      </c>
      <c r="C13" t="str">
        <f>Evaluacion!A20</f>
        <v>L. Calosso</v>
      </c>
      <c r="D13" s="635" t="str">
        <f>Evaluacion!D20</f>
        <v>TEC</v>
      </c>
      <c r="E13" s="265">
        <f>Evaluacion!K20</f>
        <v>0</v>
      </c>
      <c r="F13" s="265">
        <f>Evaluacion!L20</f>
        <v>3.02</v>
      </c>
      <c r="G13" s="265">
        <f>Evaluacion!M20</f>
        <v>14.277609523809524</v>
      </c>
      <c r="H13" s="265">
        <f>Evaluacion!N20</f>
        <v>3.04</v>
      </c>
      <c r="I13" s="265">
        <f>Evaluacion!O20</f>
        <v>15.02</v>
      </c>
      <c r="J13" s="265">
        <f>Evaluacion!P20</f>
        <v>9.9499999999999993</v>
      </c>
      <c r="K13" s="265">
        <f>Evaluacion!Q20</f>
        <v>11</v>
      </c>
      <c r="M13" t="s">
        <v>602</v>
      </c>
      <c r="N13" s="595">
        <f>1-0.055</f>
        <v>0.94499999999999995</v>
      </c>
      <c r="O13" s="596">
        <v>0</v>
      </c>
      <c r="P13" s="596">
        <v>0</v>
      </c>
      <c r="Q13" s="596">
        <v>0</v>
      </c>
      <c r="R13" s="596">
        <f>N13*Evaluacion!CD20</f>
        <v>6.6073051300390837</v>
      </c>
      <c r="S13" s="596">
        <f>N13*Evaluacion!CE20</f>
        <v>7.8957603995258339</v>
      </c>
      <c r="T13" s="596">
        <f>N13*Evaluacion!CF20</f>
        <v>16.321408521990168</v>
      </c>
      <c r="U13" s="596">
        <f>S13</f>
        <v>7.8957603995258339</v>
      </c>
      <c r="V13" s="596">
        <v>0</v>
      </c>
      <c r="W13" s="596">
        <f>Evaluacion!T20*N13</f>
        <v>0.78198749999999984</v>
      </c>
      <c r="X13" s="596">
        <f>Evaluacion!U20*N13</f>
        <v>0.42600599999999994</v>
      </c>
    </row>
    <row r="14" spans="2:25" x14ac:dyDescent="0.25">
      <c r="M14" s="263"/>
      <c r="N14" s="443"/>
      <c r="O14" s="597">
        <f>SUM(O3:O13)</f>
        <v>43.083222983478365</v>
      </c>
      <c r="P14" s="597">
        <f t="shared" ref="P14:X14" si="0">SUM(P3:P13)</f>
        <v>65.566934359896734</v>
      </c>
      <c r="Q14" s="597">
        <f t="shared" si="0"/>
        <v>43.060362155005336</v>
      </c>
      <c r="R14" s="597">
        <f t="shared" si="0"/>
        <v>70.265772624850769</v>
      </c>
      <c r="S14" s="597">
        <f t="shared" si="0"/>
        <v>52.567054268556177</v>
      </c>
      <c r="T14" s="597">
        <f t="shared" si="0"/>
        <v>45.187788427358512</v>
      </c>
      <c r="U14" s="597">
        <f t="shared" si="0"/>
        <v>53.488014308509136</v>
      </c>
      <c r="V14" s="653">
        <f t="shared" si="0"/>
        <v>12.821250000000001</v>
      </c>
      <c r="W14" s="653">
        <f t="shared" si="0"/>
        <v>7.6176979265872999</v>
      </c>
      <c r="X14" s="653">
        <f t="shared" si="0"/>
        <v>8.936619776612277</v>
      </c>
    </row>
    <row r="15" spans="2:25" ht="15.75" x14ac:dyDescent="0.25">
      <c r="M15" s="263"/>
      <c r="N15" s="263" t="s">
        <v>811</v>
      </c>
      <c r="O15" s="599">
        <f>O14*0.34</f>
        <v>14.648295814382646</v>
      </c>
      <c r="P15" s="599">
        <f>P14*0.245</f>
        <v>16.063898918174701</v>
      </c>
      <c r="Q15" s="599">
        <f>Q14*0.34</f>
        <v>14.640523132701816</v>
      </c>
      <c r="R15" s="599">
        <f>R14*0.125</f>
        <v>8.7832215781063461</v>
      </c>
      <c r="S15" s="599">
        <f>S14*0.25</f>
        <v>13.141763567139044</v>
      </c>
      <c r="T15" s="599">
        <f>T14*0.19</f>
        <v>8.5856798011981166</v>
      </c>
      <c r="U15" s="599">
        <f>U14*0.25</f>
        <v>13.372003577127284</v>
      </c>
    </row>
    <row r="16" spans="2:25" ht="15.75" x14ac:dyDescent="0.25">
      <c r="M16" s="263"/>
      <c r="N16" s="263" t="s">
        <v>812</v>
      </c>
      <c r="O16" s="609">
        <f>O15*1.2/1.05</f>
        <v>16.740909502151595</v>
      </c>
      <c r="P16" s="609">
        <f t="shared" ref="P16:Q16" si="1">P15*1.2/1.05</f>
        <v>18.358741620771085</v>
      </c>
      <c r="Q16" s="609">
        <f t="shared" si="1"/>
        <v>16.732026437373502</v>
      </c>
      <c r="R16" s="609">
        <f>R15</f>
        <v>8.7832215781063461</v>
      </c>
      <c r="S16" s="609">
        <f>S15*0.925/1.05</f>
        <v>11.577267904384396</v>
      </c>
      <c r="T16" s="609">
        <f t="shared" ref="T16:U16" si="2">T15*0.925/1.05</f>
        <v>7.5635750629602461</v>
      </c>
      <c r="U16" s="609">
        <f t="shared" si="2"/>
        <v>11.780098389374036</v>
      </c>
    </row>
    <row r="17" spans="13:21" ht="15.75" x14ac:dyDescent="0.25">
      <c r="M17" s="263"/>
      <c r="N17" s="263" t="s">
        <v>813</v>
      </c>
      <c r="O17" s="609">
        <f>O15*0.925/1.05</f>
        <v>12.904451074575189</v>
      </c>
      <c r="P17" s="609">
        <f t="shared" ref="P17:Q17" si="3">P15*0.925/1.05</f>
        <v>14.15152999934438</v>
      </c>
      <c r="Q17" s="609">
        <f t="shared" si="3"/>
        <v>12.897603712142077</v>
      </c>
      <c r="R17" s="609">
        <f>R16</f>
        <v>8.7832215781063461</v>
      </c>
      <c r="S17" s="609">
        <f>S15*1.135/1.05</f>
        <v>14.205620617812205</v>
      </c>
      <c r="T17" s="609">
        <f t="shared" ref="T17:U17" si="4">T15*1.135/1.05</f>
        <v>9.2807110231998688</v>
      </c>
      <c r="U17" s="609">
        <f t="shared" si="4"/>
        <v>14.454499104799492</v>
      </c>
    </row>
  </sheetData>
  <conditionalFormatting sqref="E3:K13">
    <cfRule type="colorScale" priority="4">
      <colorScale>
        <cfvo type="min"/>
        <cfvo type="max"/>
        <color rgb="FFFCFCFF"/>
        <color rgb="FFF8696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A16"/>
  <sheetViews>
    <sheetView workbookViewId="0">
      <selection activeCell="Q12" sqref="Q12"/>
    </sheetView>
  </sheetViews>
  <sheetFormatPr defaultColWidth="11.42578125" defaultRowHeight="15" x14ac:dyDescent="0.25"/>
  <cols>
    <col min="1" max="1" width="6" bestFit="1" customWidth="1"/>
    <col min="2" max="2" width="13.7109375" bestFit="1" customWidth="1"/>
    <col min="3" max="3" width="4.5703125" bestFit="1" customWidth="1"/>
    <col min="4" max="7" width="5.5703125" bestFit="1" customWidth="1"/>
    <col min="8" max="8" width="4.5703125" bestFit="1" customWidth="1"/>
    <col min="9" max="9" width="5.140625" bestFit="1" customWidth="1"/>
    <col min="10" max="10" width="5.5703125" bestFit="1" customWidth="1"/>
    <col min="11" max="11" width="5.5703125" customWidth="1"/>
    <col min="12" max="12" width="6" bestFit="1" customWidth="1"/>
    <col min="13" max="13" width="13.7109375" bestFit="1" customWidth="1"/>
    <col min="14" max="14" width="7.42578125" bestFit="1" customWidth="1"/>
    <col min="15" max="15" width="7.7109375" bestFit="1" customWidth="1"/>
    <col min="16" max="16" width="7.42578125" bestFit="1" customWidth="1"/>
    <col min="17" max="20" width="7" bestFit="1" customWidth="1"/>
    <col min="21" max="23" width="6.5703125" bestFit="1" customWidth="1"/>
  </cols>
  <sheetData>
    <row r="1" spans="1:27" x14ac:dyDescent="0.25">
      <c r="A1" s="492" t="s">
        <v>276</v>
      </c>
      <c r="B1" s="492" t="s">
        <v>179</v>
      </c>
      <c r="C1" s="492" t="s">
        <v>690</v>
      </c>
      <c r="D1" s="492" t="s">
        <v>1</v>
      </c>
      <c r="E1" s="492" t="s">
        <v>2</v>
      </c>
      <c r="F1" s="492" t="s">
        <v>697</v>
      </c>
      <c r="G1" s="492" t="s">
        <v>65</v>
      </c>
      <c r="H1" s="492" t="s">
        <v>578</v>
      </c>
      <c r="I1" s="492" t="s">
        <v>698</v>
      </c>
      <c r="J1" s="492" t="s">
        <v>0</v>
      </c>
      <c r="L1" s="594">
        <v>541</v>
      </c>
      <c r="M1" s="443" t="s">
        <v>807</v>
      </c>
      <c r="N1" s="48" t="s">
        <v>701</v>
      </c>
      <c r="O1" s="48" t="s">
        <v>808</v>
      </c>
      <c r="P1" s="48" t="s">
        <v>701</v>
      </c>
      <c r="Q1" s="48" t="s">
        <v>64</v>
      </c>
      <c r="R1" s="48" t="s">
        <v>703</v>
      </c>
      <c r="S1" s="48" t="s">
        <v>704</v>
      </c>
      <c r="T1" s="48" t="s">
        <v>703</v>
      </c>
      <c r="U1" s="48" t="s">
        <v>565</v>
      </c>
      <c r="V1" s="48" t="s">
        <v>809</v>
      </c>
      <c r="W1" s="48" t="s">
        <v>810</v>
      </c>
    </row>
    <row r="2" spans="1:27" x14ac:dyDescent="0.25">
      <c r="A2" t="s">
        <v>1</v>
      </c>
      <c r="B2" t="str">
        <f>Evaluacion!A3</f>
        <v>D. Gehmacher</v>
      </c>
      <c r="C2">
        <f>Evaluacion!D3</f>
        <v>0</v>
      </c>
      <c r="D2" s="265">
        <f>Evaluacion!K3</f>
        <v>16.666666666666668</v>
      </c>
      <c r="E2" s="265">
        <f>Evaluacion!L3</f>
        <v>12.080559440559444</v>
      </c>
      <c r="F2" s="265">
        <f>Evaluacion!M3</f>
        <v>2.0699999999999985</v>
      </c>
      <c r="G2" s="265">
        <f>Evaluacion!N3</f>
        <v>2.149999999999999</v>
      </c>
      <c r="H2" s="265">
        <f>Evaluacion!O3</f>
        <v>1.0400000000000003</v>
      </c>
      <c r="I2" s="265">
        <f>Evaluacion!P3</f>
        <v>0.14055555555555557</v>
      </c>
      <c r="J2" s="265">
        <f>Evaluacion!Q3</f>
        <v>18.2</v>
      </c>
      <c r="L2" t="str">
        <f>A2</f>
        <v>POR</v>
      </c>
      <c r="M2" s="595">
        <v>1</v>
      </c>
      <c r="N2" s="596">
        <f>Evaluacion!X3</f>
        <v>15.679159793725386</v>
      </c>
      <c r="O2" s="596">
        <f>Evaluacion!Y3</f>
        <v>23.109207608832374</v>
      </c>
      <c r="P2" s="596">
        <f>Evaluacion!Z3</f>
        <v>15.679159793725386</v>
      </c>
      <c r="Q2" s="596">
        <v>0</v>
      </c>
      <c r="R2" s="596">
        <v>0</v>
      </c>
      <c r="S2" s="596">
        <v>0</v>
      </c>
      <c r="T2" s="596">
        <v>0</v>
      </c>
      <c r="U2" s="596">
        <v>0</v>
      </c>
      <c r="V2" s="596">
        <f>Evaluacion!T3</f>
        <v>0.55302777777777778</v>
      </c>
      <c r="W2" s="596">
        <f>Evaluacion!U3</f>
        <v>1.0292223776223779</v>
      </c>
      <c r="AA2" s="601"/>
    </row>
    <row r="3" spans="1:27" x14ac:dyDescent="0.25">
      <c r="A3" t="s">
        <v>803</v>
      </c>
      <c r="B3" t="str">
        <f>Evaluacion!A9</f>
        <v>B. Pinczehelyi</v>
      </c>
      <c r="C3" t="str">
        <f>Evaluacion!D9</f>
        <v>CAB</v>
      </c>
      <c r="D3" s="265">
        <f>Evaluacion!K9</f>
        <v>0</v>
      </c>
      <c r="E3" s="265">
        <f>Evaluacion!L9</f>
        <v>14.300000000000004</v>
      </c>
      <c r="F3" s="265">
        <f>Evaluacion!M9</f>
        <v>9.3793333333333351</v>
      </c>
      <c r="G3" s="265">
        <f>Evaluacion!N9</f>
        <v>14.333333333333329</v>
      </c>
      <c r="H3" s="265">
        <f>Evaluacion!O9</f>
        <v>9.4199999999999982</v>
      </c>
      <c r="I3" s="265">
        <f>Evaluacion!P9</f>
        <v>1.1428571428571428</v>
      </c>
      <c r="J3" s="265">
        <f>Evaluacion!Q9</f>
        <v>11</v>
      </c>
      <c r="L3" t="str">
        <f t="shared" ref="L3:L12" si="0">A3</f>
        <v>LATN</v>
      </c>
      <c r="M3" s="595">
        <v>1</v>
      </c>
      <c r="N3" s="596">
        <f>Evaluacion!AI9</f>
        <v>15.553053845391274</v>
      </c>
      <c r="O3" s="596">
        <f>Evaluacion!AJ9</f>
        <v>6.9988742304260727</v>
      </c>
      <c r="P3" s="596">
        <v>0</v>
      </c>
      <c r="Q3" s="596">
        <f>Evaluacion!AK9</f>
        <v>2.0014660494713863</v>
      </c>
      <c r="R3" s="596">
        <f>Evaluacion!AL9</f>
        <v>9.9600300664022434</v>
      </c>
      <c r="S3" s="596">
        <v>0</v>
      </c>
      <c r="T3" s="596">
        <v>0</v>
      </c>
      <c r="U3" s="596">
        <f>Evaluacion!R9</f>
        <v>4.5175000000000001</v>
      </c>
      <c r="V3" s="596">
        <f>Evaluacion!T9</f>
        <v>0.38714285714285712</v>
      </c>
      <c r="W3" s="596">
        <f>Evaluacion!U9</f>
        <v>0.90200000000000036</v>
      </c>
      <c r="AA3" s="602"/>
    </row>
    <row r="4" spans="1:27" x14ac:dyDescent="0.25">
      <c r="A4" t="s">
        <v>815</v>
      </c>
      <c r="B4" t="str">
        <f>Evaluacion!A7</f>
        <v>B. Bartolache</v>
      </c>
      <c r="C4">
        <f>Evaluacion!D7</f>
        <v>0</v>
      </c>
      <c r="D4" s="265">
        <f>Evaluacion!K7</f>
        <v>0</v>
      </c>
      <c r="E4" s="265">
        <f>Evaluacion!L7</f>
        <v>12</v>
      </c>
      <c r="F4" s="265">
        <f>Evaluacion!M7</f>
        <v>6.95</v>
      </c>
      <c r="G4" s="265">
        <f>Evaluacion!N7</f>
        <v>7.5000000000000018</v>
      </c>
      <c r="H4" s="265">
        <f>Evaluacion!O7</f>
        <v>8.9499999999999993</v>
      </c>
      <c r="I4" s="265">
        <f>Evaluacion!P7</f>
        <v>3.95</v>
      </c>
      <c r="J4" s="265">
        <f>Evaluacion!Q7</f>
        <v>16</v>
      </c>
      <c r="L4" t="str">
        <f t="shared" si="0"/>
        <v>DCHL</v>
      </c>
      <c r="M4" s="595">
        <v>0.9</v>
      </c>
      <c r="N4" s="596">
        <f>M4*Evaluacion!AM7</f>
        <v>10.081311765397537</v>
      </c>
      <c r="O4" s="596">
        <f>M4*Evaluacion!AN7</f>
        <v>9.4662715250682439</v>
      </c>
      <c r="P4" s="596">
        <v>0</v>
      </c>
      <c r="Q4" s="596">
        <f>M4*Evaluacion!AO7</f>
        <v>2.8340634811954759</v>
      </c>
      <c r="R4" s="596">
        <f>M4*Evaluacion!AP7</f>
        <v>1.8062467220616583</v>
      </c>
      <c r="S4" s="596">
        <v>0</v>
      </c>
      <c r="T4" s="596">
        <v>0</v>
      </c>
      <c r="U4" s="596">
        <f>Evaluacion!R7</f>
        <v>4.1124999999999998</v>
      </c>
      <c r="V4" s="596">
        <f>Evaluacion!T7*M4</f>
        <v>0.60975000000000001</v>
      </c>
      <c r="W4" s="596">
        <f>Evaluacion!U7*M4</f>
        <v>0.86400000000000021</v>
      </c>
      <c r="AA4" s="602"/>
    </row>
    <row r="5" spans="1:27" x14ac:dyDescent="0.25">
      <c r="A5" t="s">
        <v>814</v>
      </c>
      <c r="B5" t="str">
        <f>Evaluacion!A6</f>
        <v>E. Toney</v>
      </c>
      <c r="C5">
        <f>Evaluacion!D6</f>
        <v>0</v>
      </c>
      <c r="D5" s="265">
        <f>Evaluacion!K6</f>
        <v>0</v>
      </c>
      <c r="E5" s="265">
        <f>Evaluacion!L6</f>
        <v>12.200000000000005</v>
      </c>
      <c r="F5" s="265">
        <f>Evaluacion!M6</f>
        <v>13.261555555555553</v>
      </c>
      <c r="G5" s="265">
        <f>Evaluacion!N6</f>
        <v>9.8750000000000053</v>
      </c>
      <c r="H5" s="265">
        <f>Evaluacion!O6</f>
        <v>9.6</v>
      </c>
      <c r="I5" s="265">
        <f>Evaluacion!P6</f>
        <v>3.6816666666666658</v>
      </c>
      <c r="J5" s="265">
        <f>Evaluacion!Q6</f>
        <v>17.177777777777774</v>
      </c>
      <c r="L5" t="str">
        <f t="shared" si="0"/>
        <v>DCN</v>
      </c>
      <c r="M5" s="595">
        <v>0.9</v>
      </c>
      <c r="N5" s="596">
        <f>M5*(Evaluacion!AA6+Evaluacion!AC6)/2</f>
        <v>5.308248055798777</v>
      </c>
      <c r="O5" s="596">
        <f>M5*Evaluacion!AB6</f>
        <v>13.716403244958078</v>
      </c>
      <c r="P5" s="596">
        <f>N5</f>
        <v>5.308248055798777</v>
      </c>
      <c r="Q5" s="596">
        <f>M5*Evaluacion!AD6</f>
        <v>3.4918891723000209</v>
      </c>
      <c r="R5" s="596">
        <v>0</v>
      </c>
      <c r="S5" s="596">
        <f>0</f>
        <v>0</v>
      </c>
      <c r="T5" s="596">
        <v>0</v>
      </c>
      <c r="U5" s="596">
        <f>Evaluacion!R6</f>
        <v>4.3000000000000007</v>
      </c>
      <c r="V5" s="596">
        <f>Evaluacion!T6*M5</f>
        <v>0.62947499999999978</v>
      </c>
      <c r="W5" s="596">
        <f>Evaluacion!U6*M5</f>
        <v>0.90300000000000014</v>
      </c>
      <c r="AA5" s="602"/>
    </row>
    <row r="6" spans="1:27" x14ac:dyDescent="0.25">
      <c r="A6" t="s">
        <v>815</v>
      </c>
      <c r="B6" t="str">
        <f>Evaluacion!A5</f>
        <v>D. Toh</v>
      </c>
      <c r="C6" t="str">
        <f>Evaluacion!D5</f>
        <v>CAB</v>
      </c>
      <c r="D6" s="265">
        <f>Evaluacion!K5</f>
        <v>0</v>
      </c>
      <c r="E6" s="265">
        <f>Evaluacion!L5</f>
        <v>11.077333333333334</v>
      </c>
      <c r="F6" s="265">
        <f>Evaluacion!M5</f>
        <v>6.2194444444444406</v>
      </c>
      <c r="G6" s="265">
        <f>Evaluacion!N5</f>
        <v>5.95</v>
      </c>
      <c r="H6" s="265">
        <f>Evaluacion!O5</f>
        <v>7.7227777777777789</v>
      </c>
      <c r="I6" s="265">
        <f>Evaluacion!P5</f>
        <v>3.9933333333333318</v>
      </c>
      <c r="J6" s="265">
        <f>Evaluacion!Q5</f>
        <v>15.587777777777776</v>
      </c>
      <c r="L6" t="str">
        <f t="shared" si="0"/>
        <v>DCHL</v>
      </c>
      <c r="M6" s="595">
        <v>0.9</v>
      </c>
      <c r="N6" s="596">
        <v>0</v>
      </c>
      <c r="O6" s="596">
        <f>M6*Evaluacion!AN5</f>
        <v>8.7995444814381756</v>
      </c>
      <c r="P6" s="596">
        <f>M6*Evaluacion!AM5</f>
        <v>9.3712662980287913</v>
      </c>
      <c r="Q6" s="596">
        <f>M6*Evaluacion!AO5</f>
        <v>2.7535185689268005</v>
      </c>
      <c r="R6" s="596">
        <v>0</v>
      </c>
      <c r="S6" s="596">
        <v>0</v>
      </c>
      <c r="T6" s="596">
        <f>M6*Evaluacion!AP5</f>
        <v>1.6647725212629862</v>
      </c>
      <c r="U6" s="596">
        <f>Evaluacion!R5</f>
        <v>3.6903611111111116</v>
      </c>
      <c r="V6" s="596">
        <f>Evaluacion!T5*M6</f>
        <v>0.60056999999999983</v>
      </c>
      <c r="W6" s="596">
        <f>Evaluacion!U5*M6</f>
        <v>0.81965399999999988</v>
      </c>
      <c r="AA6" s="602"/>
    </row>
    <row r="7" spans="1:27" x14ac:dyDescent="0.25">
      <c r="A7" t="s">
        <v>803</v>
      </c>
      <c r="B7" t="str">
        <f>Evaluacion!A10</f>
        <v>E. Romweber</v>
      </c>
      <c r="C7" t="str">
        <f>Evaluacion!D10</f>
        <v>IMP</v>
      </c>
      <c r="D7" s="265">
        <f>Evaluacion!K10</f>
        <v>0</v>
      </c>
      <c r="E7" s="265">
        <f>Evaluacion!L10</f>
        <v>12.06111111111111</v>
      </c>
      <c r="F7" s="265">
        <f>Evaluacion!M10</f>
        <v>12.614111111111114</v>
      </c>
      <c r="G7" s="265">
        <f>Evaluacion!N10</f>
        <v>13.216666666666669</v>
      </c>
      <c r="H7" s="265">
        <f>Evaluacion!O10</f>
        <v>11</v>
      </c>
      <c r="I7" s="265">
        <f>Evaluacion!P10</f>
        <v>7.7700000000000005</v>
      </c>
      <c r="J7" s="265">
        <f>Evaluacion!Q10</f>
        <v>17.529999999999998</v>
      </c>
      <c r="L7" t="str">
        <f t="shared" si="0"/>
        <v>LATN</v>
      </c>
      <c r="M7" s="595">
        <v>1</v>
      </c>
      <c r="N7" s="596">
        <v>0</v>
      </c>
      <c r="O7" s="596">
        <f>Evaluacion!AJ10</f>
        <v>6.2469626756943866</v>
      </c>
      <c r="P7" s="596">
        <f>Evaluacion!AI10</f>
        <v>13.88213927932086</v>
      </c>
      <c r="Q7" s="596">
        <f>Evaluacion!AK10</f>
        <v>2.6122610648332438</v>
      </c>
      <c r="R7" s="596">
        <v>0</v>
      </c>
      <c r="S7" s="596">
        <v>0</v>
      </c>
      <c r="T7" s="596">
        <f>Evaluacion!AL10</f>
        <v>9.5519643799717393</v>
      </c>
      <c r="U7" s="596">
        <f>Evaluacion!R10</f>
        <v>4.6326388888888888</v>
      </c>
      <c r="V7" s="596">
        <f>Evaluacion!T10</f>
        <v>0.91439999999999999</v>
      </c>
      <c r="W7" s="596">
        <f>Evaluacion!U10</f>
        <v>1.0083444444444445</v>
      </c>
      <c r="AA7" s="602"/>
    </row>
    <row r="8" spans="1:27" x14ac:dyDescent="0.25">
      <c r="A8" t="s">
        <v>503</v>
      </c>
      <c r="B8" t="str">
        <f>Evaluacion!A14</f>
        <v>C. Rojas</v>
      </c>
      <c r="C8" t="str">
        <f>Evaluacion!D14</f>
        <v>TEC</v>
      </c>
      <c r="D8" s="265">
        <f>Evaluacion!K14</f>
        <v>0</v>
      </c>
      <c r="E8" s="265">
        <f>Evaluacion!L14</f>
        <v>8.6275555555555581</v>
      </c>
      <c r="F8" s="265">
        <f>Evaluacion!M14</f>
        <v>14.333255555555548</v>
      </c>
      <c r="G8" s="265">
        <f>Evaluacion!N14</f>
        <v>9.99</v>
      </c>
      <c r="H8" s="265">
        <f>Evaluacion!O14</f>
        <v>10</v>
      </c>
      <c r="I8" s="265">
        <f>Evaluacion!P14</f>
        <v>3.99</v>
      </c>
      <c r="J8" s="265">
        <f>Evaluacion!Q14</f>
        <v>17.144444444444439</v>
      </c>
      <c r="L8" t="str">
        <f t="shared" si="0"/>
        <v>IHL</v>
      </c>
      <c r="M8" s="595">
        <f>1-0.065</f>
        <v>0.93500000000000005</v>
      </c>
      <c r="N8" s="596">
        <f>M8*Evaluacion!BE14</f>
        <v>3.1547483796910836</v>
      </c>
      <c r="O8" s="596">
        <f>M8*Evaluacion!BF14</f>
        <v>3.7726887839604712</v>
      </c>
      <c r="P8" s="596">
        <v>0</v>
      </c>
      <c r="Q8" s="596">
        <f>Evaluacion!BG14*M8</f>
        <v>14.250958406365438</v>
      </c>
      <c r="R8" s="596">
        <f>Evaluacion!BH14*M8</f>
        <v>10.773131603546526</v>
      </c>
      <c r="S8" s="596">
        <f>Evaluacion!BI14*M8</f>
        <v>2.921955162378755</v>
      </c>
      <c r="T8" s="596">
        <v>0</v>
      </c>
      <c r="U8" s="596">
        <v>0</v>
      </c>
      <c r="V8" s="596">
        <f>Evaluacion!T14*M8</f>
        <v>0.66743416666666655</v>
      </c>
      <c r="W8" s="596">
        <f>Evaluacion!U14*M8</f>
        <v>0.80357224444444442</v>
      </c>
      <c r="AA8" s="602"/>
    </row>
    <row r="9" spans="1:27" x14ac:dyDescent="0.25">
      <c r="A9" t="s">
        <v>503</v>
      </c>
      <c r="B9" t="str">
        <f>Evaluacion!A13</f>
        <v>S. Buschelman</v>
      </c>
      <c r="C9" t="str">
        <f>Evaluacion!D13</f>
        <v>TEC</v>
      </c>
      <c r="D9" s="265">
        <f>Evaluacion!K13</f>
        <v>0</v>
      </c>
      <c r="E9" s="265">
        <f>Evaluacion!L13</f>
        <v>9.3036666666666648</v>
      </c>
      <c r="F9" s="265">
        <f>Evaluacion!M13</f>
        <v>14</v>
      </c>
      <c r="G9" s="265">
        <f>Evaluacion!N13</f>
        <v>12.945</v>
      </c>
      <c r="H9" s="265">
        <f>Evaluacion!O13</f>
        <v>10</v>
      </c>
      <c r="I9" s="265">
        <f>Evaluacion!P13</f>
        <v>4.95</v>
      </c>
      <c r="J9" s="265">
        <f>Evaluacion!Q13</f>
        <v>15.588888888888887</v>
      </c>
      <c r="L9" t="str">
        <f t="shared" si="0"/>
        <v>IHL</v>
      </c>
      <c r="M9" s="595">
        <f>1-0.065</f>
        <v>0.93500000000000005</v>
      </c>
      <c r="N9" s="596">
        <v>0</v>
      </c>
      <c r="O9" s="596">
        <f>M9*Evaluacion!BF13</f>
        <v>3.9803223500496889</v>
      </c>
      <c r="P9" s="596">
        <f>M9*Evaluacion!BE13</f>
        <v>3.3283729996105156</v>
      </c>
      <c r="Q9" s="596">
        <f>Evaluacion!BG13*M9</f>
        <v>13.945154800384415</v>
      </c>
      <c r="R9" s="596">
        <v>0</v>
      </c>
      <c r="S9" s="596">
        <f>Evaluacion!BI13*M9</f>
        <v>2.9133958761551013</v>
      </c>
      <c r="T9" s="596">
        <f>Evaluacion!BH13*M9</f>
        <v>12.327477086937281</v>
      </c>
      <c r="U9" s="596">
        <v>0</v>
      </c>
      <c r="V9" s="596">
        <f>Evaluacion!T13*M9</f>
        <v>0.66868083333333317</v>
      </c>
      <c r="W9" s="596">
        <f>Evaluacion!U13*M9</f>
        <v>0.78522546666666659</v>
      </c>
      <c r="AA9" s="602"/>
    </row>
    <row r="10" spans="1:27" x14ac:dyDescent="0.25">
      <c r="A10" t="s">
        <v>806</v>
      </c>
      <c r="B10" t="str">
        <f>Evaluacion!A11</f>
        <v>K. Helms</v>
      </c>
      <c r="C10" t="str">
        <f>Evaluacion!D11</f>
        <v>TEC</v>
      </c>
      <c r="D10" s="265">
        <f>Evaluacion!K11</f>
        <v>0</v>
      </c>
      <c r="E10" s="265">
        <f>Evaluacion!L11</f>
        <v>7.2503030303030309</v>
      </c>
      <c r="F10" s="265">
        <f>Evaluacion!M11</f>
        <v>10.600000000000005</v>
      </c>
      <c r="G10" s="265">
        <f>Evaluacion!N11</f>
        <v>13.471666666666668</v>
      </c>
      <c r="H10" s="265">
        <f>Evaluacion!O11</f>
        <v>10.359999999999998</v>
      </c>
      <c r="I10" s="265">
        <f>Evaluacion!P11</f>
        <v>4.95</v>
      </c>
      <c r="J10" s="265">
        <f>Evaluacion!Q11</f>
        <v>18</v>
      </c>
      <c r="L10" t="str">
        <f t="shared" si="0"/>
        <v>EXTN</v>
      </c>
      <c r="M10" s="595">
        <v>1</v>
      </c>
      <c r="N10" s="596">
        <f>Evaluacion!BT11</f>
        <v>2.8838517645384485</v>
      </c>
      <c r="O10" s="596">
        <f>Evaluacion!BU11</f>
        <v>2.4776754596738786</v>
      </c>
      <c r="P10" s="596">
        <v>0</v>
      </c>
      <c r="Q10" s="596">
        <f>Evaluacion!BV11</f>
        <v>6.1443675890466105</v>
      </c>
      <c r="R10" s="596">
        <f>Evaluacion!BW11</f>
        <v>17.38510788717284</v>
      </c>
      <c r="S10" s="596">
        <f>Evaluacion!BX11</f>
        <v>1.6049566555486581</v>
      </c>
      <c r="T10" s="596">
        <v>0</v>
      </c>
      <c r="U10" s="596">
        <v>0</v>
      </c>
      <c r="V10" s="596">
        <f>Evaluacion!T11</f>
        <v>0.78749999999999998</v>
      </c>
      <c r="W10" s="596">
        <f>Evaluacion!U11</f>
        <v>0.8300121212121212</v>
      </c>
      <c r="AA10" s="602"/>
    </row>
    <row r="11" spans="1:27" x14ac:dyDescent="0.25">
      <c r="A11" t="s">
        <v>806</v>
      </c>
      <c r="B11" t="str">
        <f>Evaluacion!A12</f>
        <v>S. Zobbe</v>
      </c>
      <c r="C11" t="str">
        <f>Evaluacion!D12</f>
        <v>CAB</v>
      </c>
      <c r="D11" s="265">
        <f>Evaluacion!K12</f>
        <v>0</v>
      </c>
      <c r="E11" s="265">
        <f>Evaluacion!L12</f>
        <v>8.3599999999999977</v>
      </c>
      <c r="F11" s="265">
        <f>Evaluacion!M12</f>
        <v>12.253412698412699</v>
      </c>
      <c r="G11" s="265">
        <f>Evaluacion!N12</f>
        <v>12.36</v>
      </c>
      <c r="H11" s="265">
        <f>Evaluacion!O12</f>
        <v>10.24</v>
      </c>
      <c r="I11" s="265">
        <f>Evaluacion!P12</f>
        <v>7.4766666666666666</v>
      </c>
      <c r="J11" s="265">
        <f>Evaluacion!Q12</f>
        <v>16</v>
      </c>
      <c r="L11" t="str">
        <f t="shared" si="0"/>
        <v>EXTN</v>
      </c>
      <c r="M11" s="595">
        <v>1</v>
      </c>
      <c r="N11" s="596">
        <v>0</v>
      </c>
      <c r="O11" s="596">
        <f>Evaluacion!BU12</f>
        <v>2.7380669186307527</v>
      </c>
      <c r="P11" s="596">
        <f>Evaluacion!BT12</f>
        <v>3.1869303479144824</v>
      </c>
      <c r="Q11" s="596">
        <f>Evaluacion!BV12</f>
        <v>6.8773242858802073</v>
      </c>
      <c r="R11" s="596">
        <v>0</v>
      </c>
      <c r="S11" s="596">
        <f>Evaluacion!BX12</f>
        <v>1.5852918735832835</v>
      </c>
      <c r="T11" s="596">
        <f>Evaluacion!BW12</f>
        <v>16.348236991159322</v>
      </c>
      <c r="U11" s="596">
        <v>0</v>
      </c>
      <c r="V11" s="596">
        <f>Evaluacion!T12</f>
        <v>0.85383333333333344</v>
      </c>
      <c r="W11" s="596">
        <f>Evaluacion!U12</f>
        <v>0.81439999999999979</v>
      </c>
      <c r="AA11" s="602"/>
    </row>
    <row r="12" spans="1:27" x14ac:dyDescent="0.25">
      <c r="A12" t="s">
        <v>602</v>
      </c>
      <c r="B12" t="str">
        <f>Evaluacion!A20</f>
        <v>L. Calosso</v>
      </c>
      <c r="C12" t="str">
        <f>Evaluacion!D20</f>
        <v>TEC</v>
      </c>
      <c r="D12" s="265">
        <f>Evaluacion!K20</f>
        <v>0</v>
      </c>
      <c r="E12" s="265">
        <f>Evaluacion!L20</f>
        <v>3.02</v>
      </c>
      <c r="F12" s="265">
        <f>Evaluacion!M20</f>
        <v>14.277609523809524</v>
      </c>
      <c r="G12" s="265">
        <f>Evaluacion!N20</f>
        <v>3.04</v>
      </c>
      <c r="H12" s="265">
        <f>Evaluacion!O20</f>
        <v>15.02</v>
      </c>
      <c r="I12" s="265">
        <f>Evaluacion!P20</f>
        <v>9.9499999999999993</v>
      </c>
      <c r="J12" s="265">
        <f>Evaluacion!Q20</f>
        <v>11</v>
      </c>
      <c r="L12" t="str">
        <f t="shared" si="0"/>
        <v>DD</v>
      </c>
      <c r="M12" s="595">
        <v>1</v>
      </c>
      <c r="N12" s="596">
        <v>0</v>
      </c>
      <c r="O12" s="596">
        <v>0</v>
      </c>
      <c r="P12" s="596">
        <v>0</v>
      </c>
      <c r="Q12" s="596">
        <f>M12*Evaluacion!CD20</f>
        <v>6.9918572804646395</v>
      </c>
      <c r="R12" s="596">
        <f>M12*Evaluacion!CE20</f>
        <v>8.3553020100802478</v>
      </c>
      <c r="S12" s="596">
        <f>M12*Evaluacion!CF20</f>
        <v>17.271331769301767</v>
      </c>
      <c r="T12" s="596">
        <f>R12</f>
        <v>8.3553020100802478</v>
      </c>
      <c r="U12" s="596">
        <v>0</v>
      </c>
      <c r="V12" s="596">
        <f>Evaluacion!T20*M12</f>
        <v>0.8274999999999999</v>
      </c>
      <c r="W12" s="596">
        <f>Evaluacion!U20*M12</f>
        <v>0.45079999999999998</v>
      </c>
      <c r="AA12" s="602"/>
    </row>
    <row r="13" spans="1:27" x14ac:dyDescent="0.25">
      <c r="L13" s="263"/>
      <c r="M13" s="443"/>
      <c r="N13" s="597">
        <f>SUM(N2:N12)</f>
        <v>52.660373604542507</v>
      </c>
      <c r="O13" s="597">
        <f t="shared" ref="O13:W13" si="1">SUM(O2:O12)</f>
        <v>81.306017278732128</v>
      </c>
      <c r="P13" s="597">
        <f t="shared" si="1"/>
        <v>50.756116774398812</v>
      </c>
      <c r="Q13" s="597">
        <f t="shared" si="1"/>
        <v>61.902860698868238</v>
      </c>
      <c r="R13" s="597">
        <f t="shared" si="1"/>
        <v>48.279818289263517</v>
      </c>
      <c r="S13" s="597">
        <f t="shared" si="1"/>
        <v>26.296931336967567</v>
      </c>
      <c r="T13" s="597">
        <f t="shared" si="1"/>
        <v>48.24775298941158</v>
      </c>
      <c r="U13" s="598">
        <f t="shared" si="1"/>
        <v>21.253</v>
      </c>
      <c r="V13" s="598">
        <f t="shared" si="1"/>
        <v>7.4993139682539667</v>
      </c>
      <c r="W13" s="598">
        <f t="shared" si="1"/>
        <v>9.2102306543900543</v>
      </c>
    </row>
    <row r="14" spans="1:27" ht="15.75" x14ac:dyDescent="0.25">
      <c r="L14" s="263"/>
      <c r="M14" s="263" t="s">
        <v>811</v>
      </c>
      <c r="N14" s="599">
        <f>N13*0.34</f>
        <v>17.904527025544454</v>
      </c>
      <c r="O14" s="599">
        <f>O13*0.245</f>
        <v>19.91997423328937</v>
      </c>
      <c r="P14" s="599">
        <f>P13*0.34</f>
        <v>17.257079703295599</v>
      </c>
      <c r="Q14" s="599">
        <f>Q13*0.125</f>
        <v>7.7378575873585298</v>
      </c>
      <c r="R14" s="599">
        <f>R13*0.25</f>
        <v>12.069954572315879</v>
      </c>
      <c r="S14" s="599">
        <f>S13*0.19</f>
        <v>4.9964169540238377</v>
      </c>
      <c r="T14" s="599">
        <f>T13*0.25</f>
        <v>12.061938247352895</v>
      </c>
    </row>
    <row r="15" spans="1:27" ht="15.75" x14ac:dyDescent="0.25">
      <c r="L15" s="263"/>
      <c r="M15" s="263" t="s">
        <v>812</v>
      </c>
      <c r="N15" s="609">
        <f>N14*1.2/1.05</f>
        <v>20.462316600622231</v>
      </c>
      <c r="O15" s="609">
        <f t="shared" ref="O15:P15" si="2">O14*1.2/1.05</f>
        <v>22.76568483804499</v>
      </c>
      <c r="P15" s="609">
        <f t="shared" si="2"/>
        <v>19.722376803766394</v>
      </c>
      <c r="Q15" s="609">
        <f>Q14</f>
        <v>7.7378575873585298</v>
      </c>
      <c r="R15" s="609">
        <f>R14*0.925/1.05</f>
        <v>10.633055218468751</v>
      </c>
      <c r="S15" s="609">
        <f t="shared" ref="S15:T15" si="3">S14*0.925/1.05</f>
        <v>4.4016054118781422</v>
      </c>
      <c r="T15" s="609">
        <f t="shared" si="3"/>
        <v>10.625993217906121</v>
      </c>
    </row>
    <row r="16" spans="1:27" ht="15.75" x14ac:dyDescent="0.25">
      <c r="L16" s="263"/>
      <c r="M16" s="263" t="s">
        <v>813</v>
      </c>
      <c r="N16" s="609">
        <f>N14*0.925/1.05</f>
        <v>15.77303571297964</v>
      </c>
      <c r="O16" s="609">
        <f t="shared" ref="O16:P16" si="4">O14*0.925/1.05</f>
        <v>17.548548729326349</v>
      </c>
      <c r="P16" s="609">
        <f t="shared" si="4"/>
        <v>15.202665452903265</v>
      </c>
      <c r="Q16" s="609">
        <f>Q15</f>
        <v>7.7378575873585298</v>
      </c>
      <c r="R16" s="609">
        <f>R14*1.135/1.05</f>
        <v>13.047046132931927</v>
      </c>
      <c r="S16" s="609">
        <f t="shared" ref="S16:T16" si="5">S14*1.135/1.05</f>
        <v>5.4008888026829105</v>
      </c>
      <c r="T16" s="609">
        <f t="shared" si="5"/>
        <v>13.0383808673767</v>
      </c>
    </row>
  </sheetData>
  <conditionalFormatting sqref="D2:J12">
    <cfRule type="colorScale" priority="3">
      <colorScale>
        <cfvo type="min"/>
        <cfvo type="max"/>
        <color rgb="FFFCFCFF"/>
        <color rgb="FFF8696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B12" sqref="B12"/>
    </sheetView>
  </sheetViews>
  <sheetFormatPr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42578125" style="610" bestFit="1" customWidth="1"/>
    <col min="13" max="13" width="6.5703125" style="616" customWidth="1"/>
    <col min="14" max="14" width="8.28515625" style="610" bestFit="1" customWidth="1"/>
    <col min="15" max="15" width="5.140625"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7.7109375" customWidth="1"/>
    <col min="27" max="27" width="12.42578125" customWidth="1"/>
    <col min="30" max="30" width="6" bestFit="1" customWidth="1"/>
    <col min="31" max="31" width="13.7109375" bestFit="1" customWidth="1"/>
    <col min="33" max="33" width="5.7109375" bestFit="1" customWidth="1"/>
    <col min="34" max="34" width="13.7109375" bestFit="1" customWidth="1"/>
  </cols>
  <sheetData>
    <row r="1" spans="1:34" x14ac:dyDescent="0.25">
      <c r="B1" t="s">
        <v>836</v>
      </c>
      <c r="AD1" t="s">
        <v>837</v>
      </c>
      <c r="AG1" t="s">
        <v>838</v>
      </c>
    </row>
    <row r="2" spans="1:34" x14ac:dyDescent="0.25">
      <c r="B2" s="290">
        <v>43060</v>
      </c>
      <c r="Y2" s="618">
        <f>SUM(Y4:Y12)</f>
        <v>0.23658764552873529</v>
      </c>
      <c r="Z2" s="618">
        <f>SUM(Z4:Z12)</f>
        <v>0.33824859010884656</v>
      </c>
      <c r="AA2" s="618"/>
      <c r="AD2" s="492" t="s">
        <v>276</v>
      </c>
      <c r="AE2" s="492" t="s">
        <v>179</v>
      </c>
      <c r="AG2" s="492" t="s">
        <v>276</v>
      </c>
      <c r="AH2" s="492" t="s">
        <v>179</v>
      </c>
    </row>
    <row r="3" spans="1:34" x14ac:dyDescent="0.25">
      <c r="A3" s="299" t="s">
        <v>868</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1">
        <v>1</v>
      </c>
      <c r="M3" s="611">
        <v>0.5</v>
      </c>
      <c r="N3" s="299" t="s">
        <v>841</v>
      </c>
      <c r="O3" s="615" t="s">
        <v>1</v>
      </c>
      <c r="P3" s="613" t="s">
        <v>804</v>
      </c>
      <c r="Q3" s="612" t="s">
        <v>834</v>
      </c>
      <c r="R3" s="612" t="s">
        <v>840</v>
      </c>
      <c r="S3" s="612" t="s">
        <v>835</v>
      </c>
      <c r="T3" s="612" t="s">
        <v>805</v>
      </c>
      <c r="U3" s="612" t="s">
        <v>503</v>
      </c>
      <c r="V3" s="612" t="s">
        <v>839</v>
      </c>
      <c r="W3" s="613" t="s">
        <v>602</v>
      </c>
      <c r="X3" s="613" t="s">
        <v>66</v>
      </c>
      <c r="Y3" s="612" t="s">
        <v>837</v>
      </c>
      <c r="Z3" s="615" t="s">
        <v>838</v>
      </c>
      <c r="AA3" s="615" t="s">
        <v>843</v>
      </c>
      <c r="AD3" t="s">
        <v>1</v>
      </c>
      <c r="AE3" t="s">
        <v>782</v>
      </c>
      <c r="AG3" t="s">
        <v>1</v>
      </c>
      <c r="AH3" t="s">
        <v>782</v>
      </c>
    </row>
    <row r="4" spans="1:34" x14ac:dyDescent="0.25">
      <c r="A4" s="287" t="str">
        <f>PLANTILLA!A17</f>
        <v>#12</v>
      </c>
      <c r="B4" s="169" t="str">
        <f>PLANTILLA!D17</f>
        <v>E. Gross</v>
      </c>
      <c r="C4" s="5">
        <f>PLANTILLA!E17</f>
        <v>32</v>
      </c>
      <c r="D4" s="5">
        <f ca="1">PLANTILLA!F17</f>
        <v>58</v>
      </c>
      <c r="E4" s="163">
        <f>PLANTILLA!X17</f>
        <v>0</v>
      </c>
      <c r="F4" s="163">
        <f>PLANTILLA!Y17</f>
        <v>10.549999999999995</v>
      </c>
      <c r="G4" s="163">
        <f>PLANTILLA!Z17</f>
        <v>13</v>
      </c>
      <c r="H4" s="163">
        <f>PLANTILLA!AA17</f>
        <v>5.1399999999999979</v>
      </c>
      <c r="I4" s="163">
        <f>PLANTILLA!AB17</f>
        <v>9.24</v>
      </c>
      <c r="J4" s="163">
        <f>PLANTILLA!AC17</f>
        <v>2.98</v>
      </c>
      <c r="K4" s="163">
        <f>PLANTILLA!AD17</f>
        <v>17.459999999999997</v>
      </c>
      <c r="L4" s="333">
        <f>1/13</f>
        <v>7.6923076923076927E-2</v>
      </c>
      <c r="M4" s="333"/>
      <c r="N4" s="333">
        <f t="shared" ref="N4:N23" si="0">L4/6</f>
        <v>1.2820512820512822E-2</v>
      </c>
      <c r="O4" s="159">
        <f t="shared" ref="O4:O23" si="1">L4*(0.245*0.425+0.34*0.276)/(0.245+0.34)</f>
        <v>2.6030900723208419E-2</v>
      </c>
      <c r="P4" s="159">
        <f t="shared" ref="P4:P23" si="2">L4*(0.245*1+0.34*0.516+0.34*0.258)/(0.245+0.34)</f>
        <v>6.6819197896120994E-2</v>
      </c>
      <c r="Q4" s="159">
        <f t="shared" ref="Q4:Q23" si="3">L4*(0.245*0.725+0.34*0.378+0.34*0.189)/(0.245+0.34)</f>
        <v>4.8705456936226174E-2</v>
      </c>
      <c r="R4" s="159">
        <f t="shared" ref="R4:R23" si="4">L4*(0.245*0.708+0.34*0.754)/(0.245+0.34)</f>
        <v>5.6518080210387907E-2</v>
      </c>
      <c r="S4" s="159">
        <f t="shared" ref="S4:S23" si="5">L4*(0.245*0.414+0.34*0.919)/(0.245+0.34)</f>
        <v>5.4423405654174889E-2</v>
      </c>
      <c r="T4" s="159">
        <f t="shared" ref="T4:T10" si="6">L4*(0.245*0.4+0.34*0.189+0.34*0.095)</f>
        <v>1.4966153846153848E-2</v>
      </c>
      <c r="U4" s="159">
        <f t="shared" ref="U4:U10" si="7">L4*(0.245*0.348+0.34*0.291)</f>
        <v>1.4169230769230767E-2</v>
      </c>
      <c r="V4" s="159">
        <f t="shared" ref="V4:V10" si="8">L4*(0.245*0.201+0.34*0.349)</f>
        <v>1.2915769230769231E-2</v>
      </c>
      <c r="W4" s="159">
        <v>0</v>
      </c>
      <c r="X4" s="159">
        <v>0</v>
      </c>
      <c r="Y4" s="405">
        <f>P4</f>
        <v>6.6819197896120994E-2</v>
      </c>
      <c r="Z4" s="405">
        <f>P4</f>
        <v>6.6819197896120994E-2</v>
      </c>
      <c r="AA4" s="405">
        <f t="shared" ref="AA4:AA23" si="9">MAX(Z4,Y4)</f>
        <v>6.6819197896120994E-2</v>
      </c>
      <c r="AD4" t="s">
        <v>803</v>
      </c>
      <c r="AE4" s="634" t="s">
        <v>856</v>
      </c>
      <c r="AG4" t="s">
        <v>803</v>
      </c>
      <c r="AH4" s="634" t="str">
        <f>AE4</f>
        <v>B. Pinczehelyi</v>
      </c>
    </row>
    <row r="5" spans="1:34" x14ac:dyDescent="0.25">
      <c r="A5" s="287" t="str">
        <f>PLANTILLA!A10</f>
        <v>#3</v>
      </c>
      <c r="B5" s="169" t="str">
        <f>PLANTILLA!D10</f>
        <v>B. Bartolache</v>
      </c>
      <c r="C5" s="5">
        <f>PLANTILLA!E10</f>
        <v>32</v>
      </c>
      <c r="D5" s="5">
        <f ca="1">PLANTILLA!F10</f>
        <v>94</v>
      </c>
      <c r="E5" s="163">
        <f>PLANTILLA!X10</f>
        <v>0</v>
      </c>
      <c r="F5" s="163">
        <f>PLANTILLA!Y10</f>
        <v>12</v>
      </c>
      <c r="G5" s="163">
        <f>PLANTILLA!Z10</f>
        <v>6.95</v>
      </c>
      <c r="H5" s="163">
        <f>PLANTILLA!AA10</f>
        <v>7.5000000000000018</v>
      </c>
      <c r="I5" s="163">
        <f>PLANTILLA!AB10</f>
        <v>8.9499999999999993</v>
      </c>
      <c r="J5" s="163">
        <f>PLANTILLA!AC10</f>
        <v>3.95</v>
      </c>
      <c r="K5" s="163">
        <f>PLANTILLA!AD10</f>
        <v>16</v>
      </c>
      <c r="L5" s="333">
        <f>1/15</f>
        <v>6.6666666666666666E-2</v>
      </c>
      <c r="M5" s="333"/>
      <c r="N5" s="333">
        <f t="shared" si="0"/>
        <v>1.1111111111111112E-2</v>
      </c>
      <c r="O5" s="159">
        <f t="shared" si="1"/>
        <v>2.256011396011396E-2</v>
      </c>
      <c r="P5" s="159">
        <f t="shared" si="2"/>
        <v>5.7909971509971521E-2</v>
      </c>
      <c r="Q5" s="159">
        <f t="shared" si="3"/>
        <v>4.2211396011396014E-2</v>
      </c>
      <c r="R5" s="159">
        <f t="shared" si="4"/>
        <v>4.8982336182336182E-2</v>
      </c>
      <c r="S5" s="159">
        <f t="shared" si="5"/>
        <v>4.7166951566951568E-2</v>
      </c>
      <c r="T5" s="159">
        <f t="shared" si="6"/>
        <v>1.2970666666666667E-2</v>
      </c>
      <c r="U5" s="159">
        <f t="shared" si="7"/>
        <v>1.2279999999999998E-2</v>
      </c>
      <c r="V5" s="159">
        <f t="shared" si="8"/>
        <v>1.1193666666666666E-2</v>
      </c>
      <c r="W5" s="159">
        <v>0</v>
      </c>
      <c r="X5" s="159">
        <v>0</v>
      </c>
      <c r="Y5" s="405"/>
      <c r="Z5" s="405">
        <f>R5</f>
        <v>4.8982336182336182E-2</v>
      </c>
      <c r="AA5" s="405">
        <f t="shared" si="9"/>
        <v>4.8982336182336182E-2</v>
      </c>
      <c r="AD5" t="s">
        <v>804</v>
      </c>
      <c r="AE5" t="s">
        <v>272</v>
      </c>
      <c r="AG5" t="s">
        <v>815</v>
      </c>
      <c r="AH5" t="s">
        <v>273</v>
      </c>
    </row>
    <row r="6" spans="1:34" x14ac:dyDescent="0.25">
      <c r="A6" s="287" t="str">
        <f>PLANTILLA!A8</f>
        <v>#8</v>
      </c>
      <c r="B6" s="169" t="str">
        <f>PLANTILLA!D8</f>
        <v>D. Toh</v>
      </c>
      <c r="C6" s="5">
        <f>PLANTILLA!E8</f>
        <v>33</v>
      </c>
      <c r="D6" s="5">
        <f ca="1">PLANTILLA!F8</f>
        <v>43</v>
      </c>
      <c r="E6" s="163">
        <f>PLANTILLA!X8</f>
        <v>0</v>
      </c>
      <c r="F6" s="163">
        <f>PLANTILLA!Y8</f>
        <v>11.077333333333334</v>
      </c>
      <c r="G6" s="163">
        <f>PLANTILLA!Z8</f>
        <v>6.2194444444444406</v>
      </c>
      <c r="H6" s="163">
        <f>PLANTILLA!AA8</f>
        <v>5.95</v>
      </c>
      <c r="I6" s="163">
        <f>PLANTILLA!AB8</f>
        <v>7.7227777777777789</v>
      </c>
      <c r="J6" s="163">
        <f>PLANTILLA!AC8</f>
        <v>3.9933333333333318</v>
      </c>
      <c r="K6" s="163">
        <f>PLANTILLA!AD8</f>
        <v>15.587777777777776</v>
      </c>
      <c r="L6" s="333">
        <f>1/15</f>
        <v>6.6666666666666666E-2</v>
      </c>
      <c r="M6" s="333"/>
      <c r="N6" s="333">
        <f t="shared" si="0"/>
        <v>1.1111111111111112E-2</v>
      </c>
      <c r="O6" s="159">
        <f t="shared" si="1"/>
        <v>2.256011396011396E-2</v>
      </c>
      <c r="P6" s="159">
        <f t="shared" si="2"/>
        <v>5.7909971509971521E-2</v>
      </c>
      <c r="Q6" s="159">
        <f t="shared" si="3"/>
        <v>4.2211396011396014E-2</v>
      </c>
      <c r="R6" s="159">
        <f t="shared" si="4"/>
        <v>4.8982336182336182E-2</v>
      </c>
      <c r="S6" s="159">
        <f t="shared" si="5"/>
        <v>4.7166951566951568E-2</v>
      </c>
      <c r="T6" s="159">
        <f t="shared" si="6"/>
        <v>1.2970666666666667E-2</v>
      </c>
      <c r="U6" s="159">
        <f t="shared" si="7"/>
        <v>1.2279999999999998E-2</v>
      </c>
      <c r="V6" s="159">
        <f t="shared" si="8"/>
        <v>1.1193666666666666E-2</v>
      </c>
      <c r="W6" s="159">
        <v>0</v>
      </c>
      <c r="X6" s="159">
        <v>0</v>
      </c>
      <c r="Y6" s="405"/>
      <c r="Z6" s="405">
        <f>R6</f>
        <v>4.8982336182336182E-2</v>
      </c>
      <c r="AA6" s="405">
        <f t="shared" si="9"/>
        <v>4.8982336182336182E-2</v>
      </c>
      <c r="AD6" t="s">
        <v>803</v>
      </c>
      <c r="AE6" t="s">
        <v>269</v>
      </c>
      <c r="AG6" t="s">
        <v>814</v>
      </c>
      <c r="AH6" t="s">
        <v>269</v>
      </c>
    </row>
    <row r="7" spans="1:34" x14ac:dyDescent="0.25">
      <c r="A7" s="287" t="str">
        <f>PLANTILLA!A9</f>
        <v>#2</v>
      </c>
      <c r="B7" s="169" t="str">
        <f>PLANTILLA!D9</f>
        <v>E. Toney</v>
      </c>
      <c r="C7" s="5">
        <f>PLANTILLA!E9</f>
        <v>32</v>
      </c>
      <c r="D7" s="5">
        <f ca="1">PLANTILLA!F9</f>
        <v>109</v>
      </c>
      <c r="E7" s="163">
        <f>PLANTILLA!X9</f>
        <v>0</v>
      </c>
      <c r="F7" s="163">
        <f>PLANTILLA!Y9</f>
        <v>12.200000000000005</v>
      </c>
      <c r="G7" s="163">
        <f>PLANTILLA!Z9</f>
        <v>13.261555555555553</v>
      </c>
      <c r="H7" s="163">
        <f>PLANTILLA!AA9</f>
        <v>9.8750000000000053</v>
      </c>
      <c r="I7" s="163">
        <f>PLANTILLA!AB9</f>
        <v>9.6</v>
      </c>
      <c r="J7" s="163">
        <f>PLANTILLA!AC9</f>
        <v>3.6816666666666658</v>
      </c>
      <c r="K7" s="163">
        <f>PLANTILLA!AD9</f>
        <v>17.177777777777774</v>
      </c>
      <c r="L7" s="333">
        <f>1/18</f>
        <v>5.5555555555555552E-2</v>
      </c>
      <c r="M7" s="333"/>
      <c r="N7" s="333">
        <f t="shared" si="0"/>
        <v>9.2592592592592587E-3</v>
      </c>
      <c r="O7" s="159">
        <f t="shared" si="1"/>
        <v>1.8800094966761632E-2</v>
      </c>
      <c r="P7" s="159">
        <f t="shared" si="2"/>
        <v>4.8258309591642928E-2</v>
      </c>
      <c r="Q7" s="159">
        <f t="shared" si="3"/>
        <v>3.5176163342830011E-2</v>
      </c>
      <c r="R7" s="159">
        <f t="shared" si="4"/>
        <v>4.0818613485280153E-2</v>
      </c>
      <c r="S7" s="159">
        <f t="shared" si="5"/>
        <v>3.930579297245964E-2</v>
      </c>
      <c r="T7" s="159">
        <f t="shared" si="6"/>
        <v>1.0808888888888889E-2</v>
      </c>
      <c r="U7" s="159">
        <f t="shared" si="7"/>
        <v>1.0233333333333332E-2</v>
      </c>
      <c r="V7" s="159">
        <f t="shared" si="8"/>
        <v>9.3280555555555547E-3</v>
      </c>
      <c r="W7" s="159">
        <v>0</v>
      </c>
      <c r="X7" s="159">
        <v>0</v>
      </c>
      <c r="Y7" s="405">
        <f>S7</f>
        <v>3.930579297245964E-2</v>
      </c>
      <c r="Z7" s="405">
        <f>R7</f>
        <v>4.0818613485280153E-2</v>
      </c>
      <c r="AA7" s="405">
        <f t="shared" si="9"/>
        <v>4.0818613485280153E-2</v>
      </c>
      <c r="AD7" t="s">
        <v>503</v>
      </c>
      <c r="AE7" t="s">
        <v>618</v>
      </c>
      <c r="AG7" t="s">
        <v>815</v>
      </c>
      <c r="AH7" t="s">
        <v>275</v>
      </c>
    </row>
    <row r="8" spans="1:34" x14ac:dyDescent="0.25">
      <c r="A8" s="287" t="str">
        <f>PLANTILLA!A12</f>
        <v>#7</v>
      </c>
      <c r="B8" s="169" t="str">
        <f>PLANTILLA!D12</f>
        <v>E. Romweber</v>
      </c>
      <c r="C8" s="5">
        <f>PLANTILLA!E12</f>
        <v>32</v>
      </c>
      <c r="D8" s="5">
        <f ca="1">PLANTILLA!F12</f>
        <v>71</v>
      </c>
      <c r="E8" s="163">
        <f>PLANTILLA!X12</f>
        <v>0</v>
      </c>
      <c r="F8" s="163">
        <f>PLANTILLA!Y12</f>
        <v>12.06111111111111</v>
      </c>
      <c r="G8" s="163">
        <f>PLANTILLA!Z12</f>
        <v>12.614111111111114</v>
      </c>
      <c r="H8" s="163">
        <f>PLANTILLA!AA12</f>
        <v>13.216666666666669</v>
      </c>
      <c r="I8" s="163">
        <f>PLANTILLA!AB12</f>
        <v>11</v>
      </c>
      <c r="J8" s="163">
        <f>PLANTILLA!AC12</f>
        <v>7.7700000000000005</v>
      </c>
      <c r="K8" s="163">
        <f>PLANTILLA!AD12</f>
        <v>17.529999999999998</v>
      </c>
      <c r="L8" s="333">
        <f>1/18</f>
        <v>5.5555555555555552E-2</v>
      </c>
      <c r="M8" s="333"/>
      <c r="N8" s="333">
        <f t="shared" si="0"/>
        <v>9.2592592592592587E-3</v>
      </c>
      <c r="O8" s="159">
        <f t="shared" si="1"/>
        <v>1.8800094966761632E-2</v>
      </c>
      <c r="P8" s="159">
        <f t="shared" si="2"/>
        <v>4.8258309591642928E-2</v>
      </c>
      <c r="Q8" s="159">
        <f t="shared" si="3"/>
        <v>3.5176163342830011E-2</v>
      </c>
      <c r="R8" s="159">
        <f t="shared" si="4"/>
        <v>4.0818613485280153E-2</v>
      </c>
      <c r="S8" s="159">
        <f t="shared" si="5"/>
        <v>3.930579297245964E-2</v>
      </c>
      <c r="T8" s="159">
        <f t="shared" si="6"/>
        <v>1.0808888888888889E-2</v>
      </c>
      <c r="U8" s="159">
        <f t="shared" si="7"/>
        <v>1.0233333333333332E-2</v>
      </c>
      <c r="V8" s="159">
        <f t="shared" si="8"/>
        <v>9.3280555555555547E-3</v>
      </c>
      <c r="W8" s="159">
        <v>0</v>
      </c>
      <c r="X8" s="159">
        <v>0</v>
      </c>
      <c r="Y8" s="405">
        <f>V8</f>
        <v>9.3280555555555547E-3</v>
      </c>
      <c r="Z8" s="405">
        <f>S8</f>
        <v>3.930579297245964E-2</v>
      </c>
      <c r="AA8" s="405">
        <f t="shared" si="9"/>
        <v>3.930579297245964E-2</v>
      </c>
      <c r="AD8" t="s">
        <v>805</v>
      </c>
      <c r="AE8" t="s">
        <v>400</v>
      </c>
      <c r="AG8" t="s">
        <v>803</v>
      </c>
      <c r="AH8" t="s">
        <v>816</v>
      </c>
    </row>
    <row r="9" spans="1:34" x14ac:dyDescent="0.25">
      <c r="A9" s="287" t="str">
        <f>PLANTILLA!A20</f>
        <v>#19</v>
      </c>
      <c r="B9" s="169" t="str">
        <f>PLANTILLA!D20</f>
        <v>G. Kerschl</v>
      </c>
      <c r="C9" s="5">
        <f>PLANTILLA!E20</f>
        <v>30</v>
      </c>
      <c r="D9" s="5">
        <f ca="1">PLANTILLA!F20</f>
        <v>60</v>
      </c>
      <c r="E9" s="163">
        <f>PLANTILLA!X20</f>
        <v>0</v>
      </c>
      <c r="F9" s="163">
        <f>PLANTILLA!Y20</f>
        <v>3</v>
      </c>
      <c r="G9" s="163">
        <f>PLANTILLA!Z20</f>
        <v>15.07</v>
      </c>
      <c r="H9" s="163">
        <f>PLANTILLA!AA20</f>
        <v>12.02</v>
      </c>
      <c r="I9" s="163">
        <f>PLANTILLA!AB20</f>
        <v>13</v>
      </c>
      <c r="J9" s="163">
        <f>PLANTILLA!AC20</f>
        <v>7.95</v>
      </c>
      <c r="K9" s="163">
        <f>PLANTILLA!AD20</f>
        <v>5</v>
      </c>
      <c r="L9" s="333">
        <f>1/5</f>
        <v>0.2</v>
      </c>
      <c r="M9" s="333"/>
      <c r="N9" s="333">
        <f t="shared" si="0"/>
        <v>3.3333333333333333E-2</v>
      </c>
      <c r="O9" s="159">
        <f t="shared" si="1"/>
        <v>6.7680341880341888E-2</v>
      </c>
      <c r="P9" s="159">
        <f t="shared" si="2"/>
        <v>0.17372991452991457</v>
      </c>
      <c r="Q9" s="159">
        <f t="shared" si="3"/>
        <v>0.12663418803418802</v>
      </c>
      <c r="R9" s="159">
        <f t="shared" si="4"/>
        <v>0.14694700854700857</v>
      </c>
      <c r="S9" s="159">
        <f t="shared" si="5"/>
        <v>0.14150085470085472</v>
      </c>
      <c r="T9" s="159">
        <f t="shared" si="6"/>
        <v>3.8912000000000002E-2</v>
      </c>
      <c r="U9" s="159">
        <f t="shared" si="7"/>
        <v>3.6839999999999998E-2</v>
      </c>
      <c r="V9" s="159">
        <f t="shared" si="8"/>
        <v>3.3581E-2</v>
      </c>
      <c r="W9" s="159">
        <v>0</v>
      </c>
      <c r="X9" s="159">
        <v>0</v>
      </c>
      <c r="Y9" s="405">
        <f>U9</f>
        <v>3.6839999999999998E-2</v>
      </c>
      <c r="Z9" s="405">
        <f>U9</f>
        <v>3.6839999999999998E-2</v>
      </c>
      <c r="AA9" s="405">
        <f t="shared" si="9"/>
        <v>3.6839999999999998E-2</v>
      </c>
      <c r="AD9" t="s">
        <v>503</v>
      </c>
      <c r="AE9" t="s">
        <v>285</v>
      </c>
      <c r="AG9" t="s">
        <v>503</v>
      </c>
      <c r="AH9" t="s">
        <v>285</v>
      </c>
    </row>
    <row r="10" spans="1:34" x14ac:dyDescent="0.25">
      <c r="A10" s="287" t="str">
        <f>PLANTILLA!A7</f>
        <v>#17</v>
      </c>
      <c r="B10" s="169" t="str">
        <f>PLANTILLA!D7</f>
        <v>B. Pinczehelyi</v>
      </c>
      <c r="C10" s="5">
        <f>PLANTILLA!E7</f>
        <v>31</v>
      </c>
      <c r="D10" s="5">
        <f ca="1">PLANTILLA!F7</f>
        <v>110</v>
      </c>
      <c r="E10" s="163">
        <f>PLANTILLA!X7</f>
        <v>0</v>
      </c>
      <c r="F10" s="163">
        <f>PLANTILLA!Y7</f>
        <v>14.300000000000004</v>
      </c>
      <c r="G10" s="163">
        <f>PLANTILLA!Z7</f>
        <v>9.3793333333333351</v>
      </c>
      <c r="H10" s="163">
        <f>PLANTILLA!AA7</f>
        <v>14.333333333333329</v>
      </c>
      <c r="I10" s="163">
        <f>PLANTILLA!AB7</f>
        <v>9.4199999999999982</v>
      </c>
      <c r="J10" s="163">
        <f>PLANTILLA!AC7</f>
        <v>1.1428571428571428</v>
      </c>
      <c r="K10" s="163">
        <f>PLANTILLA!AD7</f>
        <v>11</v>
      </c>
      <c r="L10" s="333">
        <f>1/25</f>
        <v>0.04</v>
      </c>
      <c r="M10" s="333"/>
      <c r="N10" s="333">
        <f t="shared" si="0"/>
        <v>6.6666666666666671E-3</v>
      </c>
      <c r="O10" s="159">
        <f t="shared" si="1"/>
        <v>1.3536068376068376E-2</v>
      </c>
      <c r="P10" s="159">
        <f t="shared" si="2"/>
        <v>3.4745982905982908E-2</v>
      </c>
      <c r="Q10" s="159">
        <f t="shared" si="3"/>
        <v>2.5326837606837609E-2</v>
      </c>
      <c r="R10" s="159">
        <f t="shared" si="4"/>
        <v>2.9389401709401713E-2</v>
      </c>
      <c r="S10" s="159">
        <f t="shared" si="5"/>
        <v>2.8300170940170941E-2</v>
      </c>
      <c r="T10" s="159">
        <f t="shared" si="6"/>
        <v>7.7824000000000009E-3</v>
      </c>
      <c r="U10" s="159">
        <f t="shared" si="7"/>
        <v>7.3679999999999995E-3</v>
      </c>
      <c r="V10" s="159">
        <f t="shared" si="8"/>
        <v>6.7162000000000003E-3</v>
      </c>
      <c r="W10" s="159">
        <v>0</v>
      </c>
      <c r="X10" s="159">
        <v>0</v>
      </c>
      <c r="Y10" s="405">
        <f>S10</f>
        <v>2.8300170940170941E-2</v>
      </c>
      <c r="Z10" s="405">
        <f>S10</f>
        <v>2.8300170940170941E-2</v>
      </c>
      <c r="AA10" s="405">
        <f t="shared" si="9"/>
        <v>2.8300170940170941E-2</v>
      </c>
      <c r="AD10" t="s">
        <v>806</v>
      </c>
      <c r="AE10" t="s">
        <v>816</v>
      </c>
      <c r="AG10" t="s">
        <v>503</v>
      </c>
      <c r="AH10" t="s">
        <v>618</v>
      </c>
    </row>
    <row r="11" spans="1:34" x14ac:dyDescent="0.25">
      <c r="A11" s="287" t="str">
        <f>PLANTILLA!A5</f>
        <v>#1</v>
      </c>
      <c r="B11" s="169" t="str">
        <f>PLANTILLA!D5</f>
        <v>D. Gehmacher</v>
      </c>
      <c r="C11" s="5">
        <f>PLANTILLA!E5</f>
        <v>31</v>
      </c>
      <c r="D11" s="5">
        <f ca="1">PLANTILLA!F5</f>
        <v>98</v>
      </c>
      <c r="E11" s="163">
        <f>PLANTILLA!X5</f>
        <v>16.666666666666668</v>
      </c>
      <c r="F11" s="163">
        <f>PLANTILLA!Y5</f>
        <v>12.080559440559444</v>
      </c>
      <c r="G11" s="163">
        <f>PLANTILLA!Z5</f>
        <v>2.0699999999999985</v>
      </c>
      <c r="H11" s="163">
        <f>PLANTILLA!AA5</f>
        <v>2.149999999999999</v>
      </c>
      <c r="I11" s="163">
        <f>PLANTILLA!AB5</f>
        <v>1.0400000000000003</v>
      </c>
      <c r="J11" s="163">
        <f>PLANTILLA!AC5</f>
        <v>0.14055555555555557</v>
      </c>
      <c r="K11" s="163">
        <f>PLANTILLA!AD5</f>
        <v>18.2</v>
      </c>
      <c r="L11" s="333">
        <f>1/12</f>
        <v>8.3333333333333329E-2</v>
      </c>
      <c r="M11" s="333"/>
      <c r="N11" s="333">
        <f t="shared" si="0"/>
        <v>1.3888888888888888E-2</v>
      </c>
      <c r="O11" s="159">
        <f t="shared" si="1"/>
        <v>2.8200142450142449E-2</v>
      </c>
      <c r="P11" s="159">
        <f t="shared" si="2"/>
        <v>7.2387464387464406E-2</v>
      </c>
      <c r="Q11" s="159">
        <f t="shared" si="3"/>
        <v>5.2764245014245009E-2</v>
      </c>
      <c r="R11" s="159">
        <f t="shared" si="4"/>
        <v>6.1227920227920223E-2</v>
      </c>
      <c r="S11" s="159">
        <f t="shared" si="5"/>
        <v>5.8958689458689456E-2</v>
      </c>
      <c r="T11" s="159">
        <f>L11*(0.245*0.4+0.34*0.189+0.34*0.095)/(0.34+0.245)</f>
        <v>2.7715099715099716E-2</v>
      </c>
      <c r="U11" s="159">
        <f>L11*(0.245*0.348+0.34*0.291)/(0.34+0.245)</f>
        <v>2.6239316239316236E-2</v>
      </c>
      <c r="V11" s="159">
        <f>L11*(0.245*0.201+0.34*0.349)/(0.34+0.245)</f>
        <v>2.3918091168091168E-2</v>
      </c>
      <c r="W11" s="159">
        <v>0</v>
      </c>
      <c r="X11" s="159">
        <v>0</v>
      </c>
      <c r="Y11" s="405">
        <f>O11</f>
        <v>2.8200142450142449E-2</v>
      </c>
      <c r="Z11" s="405">
        <f>O11</f>
        <v>2.8200142450142449E-2</v>
      </c>
      <c r="AA11" s="405">
        <f t="shared" si="9"/>
        <v>2.8200142450142449E-2</v>
      </c>
      <c r="AD11" t="s">
        <v>806</v>
      </c>
      <c r="AE11" t="s">
        <v>298</v>
      </c>
      <c r="AG11" t="s">
        <v>806</v>
      </c>
      <c r="AH11" t="s">
        <v>298</v>
      </c>
    </row>
    <row r="12" spans="1:34" x14ac:dyDescent="0.25">
      <c r="A12" s="287" t="str">
        <f>PLANTILLA!A18</f>
        <v>#5</v>
      </c>
      <c r="B12" s="169" t="str">
        <f>PLANTILLA!D18</f>
        <v>L. Bauman</v>
      </c>
      <c r="C12" s="5">
        <f>PLANTILLA!E18</f>
        <v>32</v>
      </c>
      <c r="D12" s="5">
        <f ca="1">PLANTILLA!F18</f>
        <v>33</v>
      </c>
      <c r="E12" s="163">
        <f>PLANTILLA!X18</f>
        <v>0</v>
      </c>
      <c r="F12" s="163">
        <f>PLANTILLA!Y18</f>
        <v>5.4644444444444451</v>
      </c>
      <c r="G12" s="163">
        <f>PLANTILLA!Z18</f>
        <v>14.42664708994708</v>
      </c>
      <c r="H12" s="163">
        <f>PLANTILLA!AA18</f>
        <v>3.5124999999999993</v>
      </c>
      <c r="I12" s="163">
        <f>PLANTILLA!AB18</f>
        <v>9.1400000000000041</v>
      </c>
      <c r="J12" s="163">
        <f>PLANTILLA!AC18</f>
        <v>6.95</v>
      </c>
      <c r="K12" s="163">
        <f>PLANTILLA!AD18</f>
        <v>16.669999999999998</v>
      </c>
      <c r="L12" s="333">
        <f>1/7</f>
        <v>0.14285714285714285</v>
      </c>
      <c r="M12" s="333"/>
      <c r="N12" s="333">
        <f t="shared" si="0"/>
        <v>2.3809523809523808E-2</v>
      </c>
      <c r="O12" s="159">
        <f t="shared" si="1"/>
        <v>4.8343101343101345E-2</v>
      </c>
      <c r="P12" s="159">
        <f t="shared" si="2"/>
        <v>0.12409279609279611</v>
      </c>
      <c r="Q12" s="159">
        <f t="shared" si="3"/>
        <v>9.0452991452991446E-2</v>
      </c>
      <c r="R12" s="159">
        <f t="shared" si="4"/>
        <v>0.10496214896214895</v>
      </c>
      <c r="S12" s="159">
        <f t="shared" si="5"/>
        <v>0.10107203907203907</v>
      </c>
      <c r="T12" s="159">
        <f t="shared" ref="T12:T23" si="10">L12*(0.245*0.4+0.34*0.189+0.34*0.095)</f>
        <v>2.7794285714285716E-2</v>
      </c>
      <c r="U12" s="159">
        <f t="shared" ref="U12:U23" si="11">L12*(0.245*0.348+0.34*0.291)</f>
        <v>2.631428571428571E-2</v>
      </c>
      <c r="V12" s="159">
        <f t="shared" ref="V12:V23" si="12">L12*(0.245*0.201+0.34*0.349)</f>
        <v>2.3986428571428568E-2</v>
      </c>
      <c r="W12" s="159">
        <v>0</v>
      </c>
      <c r="X12" s="159">
        <v>0</v>
      </c>
      <c r="Y12" s="405">
        <f>T12</f>
        <v>2.7794285714285716E-2</v>
      </c>
      <c r="Z12" s="405">
        <f>W12</f>
        <v>0</v>
      </c>
      <c r="AA12" s="405">
        <f t="shared" si="9"/>
        <v>2.7794285714285716E-2</v>
      </c>
      <c r="AD12" t="s">
        <v>66</v>
      </c>
      <c r="AE12" t="s">
        <v>287</v>
      </c>
      <c r="AG12" t="s">
        <v>806</v>
      </c>
      <c r="AH12" t="s">
        <v>507</v>
      </c>
    </row>
    <row r="13" spans="1:34" x14ac:dyDescent="0.25">
      <c r="A13" s="287" t="str">
        <f>PLANTILLA!A13</f>
        <v>#11</v>
      </c>
      <c r="B13" s="169" t="str">
        <f>PLANTILLA!D13</f>
        <v>K. Helms</v>
      </c>
      <c r="C13" s="5">
        <f>PLANTILLA!E13</f>
        <v>32</v>
      </c>
      <c r="D13" s="5">
        <f ca="1">PLANTILLA!F13</f>
        <v>18</v>
      </c>
      <c r="E13" s="163">
        <f>PLANTILLA!X13</f>
        <v>0</v>
      </c>
      <c r="F13" s="163">
        <f>PLANTILLA!Y13</f>
        <v>7.2503030303030309</v>
      </c>
      <c r="G13" s="163">
        <f>PLANTILLA!Z13</f>
        <v>10.600000000000005</v>
      </c>
      <c r="H13" s="163">
        <f>PLANTILLA!AA13</f>
        <v>13.471666666666668</v>
      </c>
      <c r="I13" s="163">
        <f>PLANTILLA!AB13</f>
        <v>10.359999999999998</v>
      </c>
      <c r="J13" s="163">
        <f>PLANTILLA!AC13</f>
        <v>4.95</v>
      </c>
      <c r="K13" s="163">
        <f>PLANTILLA!AD13</f>
        <v>18</v>
      </c>
      <c r="L13" s="333">
        <f>1/8</f>
        <v>0.125</v>
      </c>
      <c r="M13" s="333"/>
      <c r="N13" s="333">
        <f t="shared" si="0"/>
        <v>2.0833333333333332E-2</v>
      </c>
      <c r="O13" s="159">
        <f t="shared" si="1"/>
        <v>4.230021367521368E-2</v>
      </c>
      <c r="P13" s="159">
        <f t="shared" si="2"/>
        <v>0.1085811965811966</v>
      </c>
      <c r="Q13" s="159">
        <f t="shared" si="3"/>
        <v>7.9146367521367528E-2</v>
      </c>
      <c r="R13" s="159">
        <f t="shared" si="4"/>
        <v>9.1841880341880344E-2</v>
      </c>
      <c r="S13" s="159">
        <f t="shared" si="5"/>
        <v>8.8438034188034184E-2</v>
      </c>
      <c r="T13" s="159">
        <f t="shared" si="10"/>
        <v>2.4320000000000001E-2</v>
      </c>
      <c r="U13" s="159">
        <f t="shared" si="11"/>
        <v>2.3024999999999997E-2</v>
      </c>
      <c r="V13" s="159">
        <f t="shared" si="12"/>
        <v>2.0988125E-2</v>
      </c>
      <c r="W13" s="159">
        <v>0</v>
      </c>
      <c r="X13" s="159">
        <v>0</v>
      </c>
      <c r="Y13" s="405">
        <f>V13</f>
        <v>2.0988125E-2</v>
      </c>
      <c r="Z13" s="405">
        <f>V13</f>
        <v>2.0988125E-2</v>
      </c>
      <c r="AA13" s="405">
        <f t="shared" si="9"/>
        <v>2.0988125E-2</v>
      </c>
      <c r="AD13" t="s">
        <v>66</v>
      </c>
      <c r="AE13" t="s">
        <v>507</v>
      </c>
      <c r="AG13" t="s">
        <v>66</v>
      </c>
      <c r="AH13" t="s">
        <v>287</v>
      </c>
    </row>
    <row r="14" spans="1:34" x14ac:dyDescent="0.25">
      <c r="A14" s="287" t="str">
        <f>PLANTILLA!A14</f>
        <v>#10</v>
      </c>
      <c r="B14" s="219" t="str">
        <f>PLANTILLA!D14</f>
        <v>S. Zobbe</v>
      </c>
      <c r="C14" s="5">
        <f>PLANTILLA!E14</f>
        <v>29</v>
      </c>
      <c r="D14" s="5">
        <f ca="1">PLANTILLA!F14</f>
        <v>33</v>
      </c>
      <c r="E14" s="163">
        <f>PLANTILLA!X14</f>
        <v>0</v>
      </c>
      <c r="F14" s="163">
        <f>PLANTILLA!Y14</f>
        <v>8.3599999999999977</v>
      </c>
      <c r="G14" s="163">
        <f>PLANTILLA!Z14</f>
        <v>12.253412698412699</v>
      </c>
      <c r="H14" s="163">
        <f>PLANTILLA!AA14</f>
        <v>12.36</v>
      </c>
      <c r="I14" s="163">
        <f>PLANTILLA!AB14</f>
        <v>10.24</v>
      </c>
      <c r="J14" s="163">
        <f>PLANTILLA!AC14</f>
        <v>7.4766666666666666</v>
      </c>
      <c r="K14" s="163">
        <f>PLANTILLA!AD14</f>
        <v>16</v>
      </c>
      <c r="L14" s="333">
        <f>1/9</f>
        <v>0.1111111111111111</v>
      </c>
      <c r="M14" s="333"/>
      <c r="N14" s="333">
        <f t="shared" si="0"/>
        <v>1.8518518518518517E-2</v>
      </c>
      <c r="O14" s="159">
        <f t="shared" si="1"/>
        <v>3.7600189933523265E-2</v>
      </c>
      <c r="P14" s="159">
        <f t="shared" si="2"/>
        <v>9.6516619183285857E-2</v>
      </c>
      <c r="Q14" s="159">
        <f t="shared" si="3"/>
        <v>7.0352326685660022E-2</v>
      </c>
      <c r="R14" s="159">
        <f t="shared" si="4"/>
        <v>8.1637226970560306E-2</v>
      </c>
      <c r="S14" s="159">
        <f t="shared" si="5"/>
        <v>7.8611585944919279E-2</v>
      </c>
      <c r="T14" s="159">
        <f t="shared" si="10"/>
        <v>2.1617777777777777E-2</v>
      </c>
      <c r="U14" s="159">
        <f t="shared" si="11"/>
        <v>2.0466666666666664E-2</v>
      </c>
      <c r="V14" s="159">
        <f t="shared" si="12"/>
        <v>1.8656111111111109E-2</v>
      </c>
      <c r="W14" s="159">
        <v>0</v>
      </c>
      <c r="X14" s="159">
        <v>0</v>
      </c>
      <c r="Y14" s="405">
        <f>V14</f>
        <v>1.8656111111111109E-2</v>
      </c>
      <c r="Z14" s="405">
        <f>V14</f>
        <v>1.8656111111111109E-2</v>
      </c>
      <c r="AA14" s="405">
        <f t="shared" si="9"/>
        <v>1.8656111111111109E-2</v>
      </c>
    </row>
    <row r="15" spans="1:34" x14ac:dyDescent="0.25">
      <c r="A15" s="287" t="str">
        <f>PLANTILLA!A15</f>
        <v>#6</v>
      </c>
      <c r="B15" s="219" t="str">
        <f>PLANTILLA!D15</f>
        <v>S. Buschelman</v>
      </c>
      <c r="C15" s="5">
        <f>PLANTILLA!E15</f>
        <v>31</v>
      </c>
      <c r="D15" s="5">
        <f ca="1">PLANTILLA!F15</f>
        <v>30</v>
      </c>
      <c r="E15" s="163">
        <f>PLANTILLA!X15</f>
        <v>0</v>
      </c>
      <c r="F15" s="163">
        <f>PLANTILLA!Y15</f>
        <v>9.3036666666666648</v>
      </c>
      <c r="G15" s="163">
        <f>PLANTILLA!Z15</f>
        <v>14</v>
      </c>
      <c r="H15" s="163">
        <f>PLANTILLA!AA15</f>
        <v>12.945</v>
      </c>
      <c r="I15" s="163">
        <f>PLANTILLA!AB15</f>
        <v>10</v>
      </c>
      <c r="J15" s="163">
        <f>PLANTILLA!AC15</f>
        <v>4.95</v>
      </c>
      <c r="K15" s="163">
        <f>PLANTILLA!AD15</f>
        <v>15.588888888888887</v>
      </c>
      <c r="L15" s="333">
        <f>1/10</f>
        <v>0.1</v>
      </c>
      <c r="M15" s="333"/>
      <c r="N15" s="333">
        <f t="shared" si="0"/>
        <v>1.6666666666666666E-2</v>
      </c>
      <c r="O15" s="159">
        <f t="shared" si="1"/>
        <v>3.3840170940170944E-2</v>
      </c>
      <c r="P15" s="159">
        <f t="shared" si="2"/>
        <v>8.6864957264957285E-2</v>
      </c>
      <c r="Q15" s="159">
        <f t="shared" si="3"/>
        <v>6.3317094017094011E-2</v>
      </c>
      <c r="R15" s="159">
        <f t="shared" si="4"/>
        <v>7.3473504273504284E-2</v>
      </c>
      <c r="S15" s="159">
        <f t="shared" si="5"/>
        <v>7.0750427350427358E-2</v>
      </c>
      <c r="T15" s="159">
        <f t="shared" si="10"/>
        <v>1.9456000000000001E-2</v>
      </c>
      <c r="U15" s="159">
        <f t="shared" si="11"/>
        <v>1.8419999999999999E-2</v>
      </c>
      <c r="V15" s="159">
        <f t="shared" si="12"/>
        <v>1.67905E-2</v>
      </c>
      <c r="W15" s="159">
        <v>0</v>
      </c>
      <c r="X15" s="159">
        <v>0</v>
      </c>
      <c r="Y15" s="405">
        <f>U15</f>
        <v>1.8419999999999999E-2</v>
      </c>
      <c r="Z15" s="405">
        <f>U15</f>
        <v>1.8419999999999999E-2</v>
      </c>
      <c r="AA15" s="405">
        <f t="shared" si="9"/>
        <v>1.8419999999999999E-2</v>
      </c>
    </row>
    <row r="16" spans="1:34" x14ac:dyDescent="0.25">
      <c r="A16" s="287" t="str">
        <f>PLANTILLA!A16</f>
        <v>#4</v>
      </c>
      <c r="B16" s="219" t="str">
        <f>PLANTILLA!D16</f>
        <v>C. Rojas</v>
      </c>
      <c r="C16" s="5">
        <f>PLANTILLA!E16</f>
        <v>33</v>
      </c>
      <c r="D16" s="5">
        <f ca="1">PLANTILLA!F16</f>
        <v>64</v>
      </c>
      <c r="E16" s="163">
        <f>PLANTILLA!X16</f>
        <v>0</v>
      </c>
      <c r="F16" s="163">
        <f>PLANTILLA!Y16</f>
        <v>8.6275555555555581</v>
      </c>
      <c r="G16" s="163">
        <f>PLANTILLA!Z16</f>
        <v>14.333255555555548</v>
      </c>
      <c r="H16" s="163">
        <f>PLANTILLA!AA16</f>
        <v>9.99</v>
      </c>
      <c r="I16" s="163">
        <f>PLANTILLA!AB16</f>
        <v>10</v>
      </c>
      <c r="J16" s="163">
        <f>PLANTILLA!AC16</f>
        <v>3.99</v>
      </c>
      <c r="K16" s="163">
        <f>PLANTILLA!AD16</f>
        <v>17.144444444444439</v>
      </c>
      <c r="L16" s="333">
        <f>1/11</f>
        <v>9.0909090909090912E-2</v>
      </c>
      <c r="M16" s="333"/>
      <c r="N16" s="333">
        <f t="shared" si="0"/>
        <v>1.5151515151515152E-2</v>
      </c>
      <c r="O16" s="159">
        <f t="shared" si="1"/>
        <v>3.0763791763791768E-2</v>
      </c>
      <c r="P16" s="159">
        <f t="shared" si="2"/>
        <v>7.8968142968142974E-2</v>
      </c>
      <c r="Q16" s="159">
        <f t="shared" si="3"/>
        <v>5.7560994560994561E-2</v>
      </c>
      <c r="R16" s="159">
        <f t="shared" si="4"/>
        <v>6.6794094794094788E-2</v>
      </c>
      <c r="S16" s="159">
        <f t="shared" si="5"/>
        <v>6.4318570318570328E-2</v>
      </c>
      <c r="T16" s="159">
        <f t="shared" si="10"/>
        <v>1.7687272727272729E-2</v>
      </c>
      <c r="U16" s="159">
        <f t="shared" si="11"/>
        <v>1.6745454545454543E-2</v>
      </c>
      <c r="V16" s="159">
        <f t="shared" si="12"/>
        <v>1.5264090909090909E-2</v>
      </c>
      <c r="W16" s="159">
        <v>0</v>
      </c>
      <c r="X16" s="159">
        <v>0</v>
      </c>
      <c r="Y16" s="405">
        <f>U16</f>
        <v>1.6745454545454543E-2</v>
      </c>
      <c r="Z16" s="405">
        <f>U16</f>
        <v>1.6745454545454543E-2</v>
      </c>
      <c r="AA16" s="405">
        <f t="shared" si="9"/>
        <v>1.6745454545454543E-2</v>
      </c>
    </row>
    <row r="17" spans="1:27" x14ac:dyDescent="0.25">
      <c r="A17" s="287" t="str">
        <f>PLANTILLA!A21</f>
        <v>#9</v>
      </c>
      <c r="B17" s="287" t="str">
        <f>PLANTILLA!D21</f>
        <v>J. Limon</v>
      </c>
      <c r="C17" s="5">
        <f>PLANTILLA!E21</f>
        <v>31</v>
      </c>
      <c r="D17" s="5">
        <f ca="1">PLANTILLA!F21</f>
        <v>70</v>
      </c>
      <c r="E17" s="163">
        <f>PLANTILLA!X21</f>
        <v>0</v>
      </c>
      <c r="F17" s="163">
        <f>PLANTILLA!Y21</f>
        <v>6.8376190476190493</v>
      </c>
      <c r="G17" s="163">
        <f>PLANTILLA!Z21</f>
        <v>8.9499999999999993</v>
      </c>
      <c r="H17" s="163">
        <f>PLANTILLA!AA21</f>
        <v>8.7399999999999967</v>
      </c>
      <c r="I17" s="163">
        <f>PLANTILLA!AB21</f>
        <v>10</v>
      </c>
      <c r="J17" s="163">
        <f>PLANTILLA!AC21</f>
        <v>8.5625000000000018</v>
      </c>
      <c r="K17" s="163">
        <f>PLANTILLA!AD21</f>
        <v>18.999999999999993</v>
      </c>
      <c r="L17" s="333">
        <f>1/8</f>
        <v>0.125</v>
      </c>
      <c r="M17" s="333"/>
      <c r="N17" s="333">
        <f t="shared" si="0"/>
        <v>2.0833333333333332E-2</v>
      </c>
      <c r="O17" s="159">
        <f t="shared" si="1"/>
        <v>4.230021367521368E-2</v>
      </c>
      <c r="P17" s="159">
        <f t="shared" si="2"/>
        <v>0.1085811965811966</v>
      </c>
      <c r="Q17" s="159">
        <f t="shared" si="3"/>
        <v>7.9146367521367528E-2</v>
      </c>
      <c r="R17" s="159">
        <f t="shared" si="4"/>
        <v>9.1841880341880344E-2</v>
      </c>
      <c r="S17" s="159">
        <f t="shared" si="5"/>
        <v>8.8438034188034184E-2</v>
      </c>
      <c r="T17" s="159">
        <f t="shared" si="10"/>
        <v>2.4320000000000001E-2</v>
      </c>
      <c r="U17" s="159">
        <f t="shared" si="11"/>
        <v>2.3024999999999997E-2</v>
      </c>
      <c r="V17" s="159">
        <f t="shared" si="12"/>
        <v>2.0988125E-2</v>
      </c>
      <c r="W17" s="159">
        <v>0</v>
      </c>
      <c r="X17" s="159">
        <v>0</v>
      </c>
      <c r="Y17" s="405">
        <v>0</v>
      </c>
      <c r="Z17" s="405">
        <v>0</v>
      </c>
      <c r="AA17" s="405">
        <f t="shared" si="9"/>
        <v>0</v>
      </c>
    </row>
    <row r="18" spans="1:27" x14ac:dyDescent="0.25">
      <c r="A18" s="287" t="str">
        <f>PLANTILLA!A23</f>
        <v>#15</v>
      </c>
      <c r="B18" s="287" t="str">
        <f>PLANTILLA!D23</f>
        <v>P .Trivadi</v>
      </c>
      <c r="C18" s="5">
        <f>PLANTILLA!E23</f>
        <v>28</v>
      </c>
      <c r="D18" s="5">
        <f ca="1">PLANTILLA!F23</f>
        <v>101</v>
      </c>
      <c r="E18" s="163">
        <f>PLANTILLA!X23</f>
        <v>0</v>
      </c>
      <c r="F18" s="163">
        <f>PLANTILLA!Y23</f>
        <v>4.0199999999999996</v>
      </c>
      <c r="G18" s="163">
        <f>PLANTILLA!Z23</f>
        <v>5.5738722222222199</v>
      </c>
      <c r="H18" s="163">
        <f>PLANTILLA!AA23</f>
        <v>5.5099999999999989</v>
      </c>
      <c r="I18" s="163">
        <f>PLANTILLA!AB23</f>
        <v>11</v>
      </c>
      <c r="J18" s="163">
        <f>PLANTILLA!AC23</f>
        <v>8.384500000000001</v>
      </c>
      <c r="K18" s="163">
        <f>PLANTILLA!AD23</f>
        <v>13.566666666666668</v>
      </c>
      <c r="L18" s="333">
        <f>1/6</f>
        <v>0.16666666666666666</v>
      </c>
      <c r="M18" s="333"/>
      <c r="N18" s="333">
        <f t="shared" si="0"/>
        <v>2.7777777777777776E-2</v>
      </c>
      <c r="O18" s="159">
        <f t="shared" si="1"/>
        <v>5.6400284900284897E-2</v>
      </c>
      <c r="P18" s="159">
        <f t="shared" si="2"/>
        <v>0.14477492877492881</v>
      </c>
      <c r="Q18" s="159">
        <f t="shared" si="3"/>
        <v>0.10552849002849002</v>
      </c>
      <c r="R18" s="159">
        <f t="shared" si="4"/>
        <v>0.12245584045584045</v>
      </c>
      <c r="S18" s="159">
        <f t="shared" si="5"/>
        <v>0.11791737891737891</v>
      </c>
      <c r="T18" s="159">
        <f t="shared" si="10"/>
        <v>3.2426666666666666E-2</v>
      </c>
      <c r="U18" s="159">
        <f t="shared" si="11"/>
        <v>3.0699999999999995E-2</v>
      </c>
      <c r="V18" s="159">
        <f t="shared" si="12"/>
        <v>2.7984166666666664E-2</v>
      </c>
      <c r="W18" s="159">
        <v>0</v>
      </c>
      <c r="X18" s="159">
        <v>0</v>
      </c>
      <c r="Y18" s="405">
        <v>0</v>
      </c>
      <c r="Z18" s="405">
        <v>0</v>
      </c>
      <c r="AA18" s="405">
        <f t="shared" si="9"/>
        <v>0</v>
      </c>
    </row>
    <row r="19" spans="1:27" x14ac:dyDescent="0.25">
      <c r="A19" s="287" t="str">
        <f>PLANTILLA!A22</f>
        <v>#18</v>
      </c>
      <c r="B19" s="287" t="str">
        <f>PLANTILLA!D22</f>
        <v>L. Calosso</v>
      </c>
      <c r="C19" s="5">
        <f>PLANTILLA!E22</f>
        <v>32</v>
      </c>
      <c r="D19" s="5">
        <f ca="1">PLANTILLA!F22</f>
        <v>27</v>
      </c>
      <c r="E19" s="163">
        <f>PLANTILLA!X22</f>
        <v>0</v>
      </c>
      <c r="F19" s="163">
        <f>PLANTILLA!Y22</f>
        <v>3.02</v>
      </c>
      <c r="G19" s="163">
        <f>PLANTILLA!Z22</f>
        <v>14.277609523809524</v>
      </c>
      <c r="H19" s="163">
        <f>PLANTILLA!AA22</f>
        <v>3.04</v>
      </c>
      <c r="I19" s="163">
        <f>PLANTILLA!AB22</f>
        <v>15.02</v>
      </c>
      <c r="J19" s="163">
        <f>PLANTILLA!AC22</f>
        <v>9.9499999999999993</v>
      </c>
      <c r="K19" s="163">
        <f>PLANTILLA!AD22</f>
        <v>11</v>
      </c>
      <c r="L19" s="333">
        <f>1/5</f>
        <v>0.2</v>
      </c>
      <c r="M19" s="333"/>
      <c r="N19" s="333">
        <f t="shared" si="0"/>
        <v>3.3333333333333333E-2</v>
      </c>
      <c r="O19" s="159">
        <f t="shared" si="1"/>
        <v>6.7680341880341888E-2</v>
      </c>
      <c r="P19" s="159">
        <f t="shared" si="2"/>
        <v>0.17372991452991457</v>
      </c>
      <c r="Q19" s="159">
        <f t="shared" si="3"/>
        <v>0.12663418803418802</v>
      </c>
      <c r="R19" s="159">
        <f t="shared" si="4"/>
        <v>0.14694700854700857</v>
      </c>
      <c r="S19" s="159">
        <f t="shared" si="5"/>
        <v>0.14150085470085472</v>
      </c>
      <c r="T19" s="159">
        <f t="shared" si="10"/>
        <v>3.8912000000000002E-2</v>
      </c>
      <c r="U19" s="159">
        <f t="shared" si="11"/>
        <v>3.6839999999999998E-2</v>
      </c>
      <c r="V19" s="159">
        <f t="shared" si="12"/>
        <v>3.3581E-2</v>
      </c>
      <c r="W19" s="159">
        <v>0</v>
      </c>
      <c r="X19" s="159">
        <v>0</v>
      </c>
      <c r="Y19" s="405">
        <v>0</v>
      </c>
      <c r="Z19" s="405">
        <v>0</v>
      </c>
      <c r="AA19" s="405">
        <f t="shared" si="9"/>
        <v>0</v>
      </c>
    </row>
    <row r="20" spans="1:27" x14ac:dyDescent="0.25">
      <c r="A20" s="287" t="str">
        <f>PLANTILLA!A11</f>
        <v>#13</v>
      </c>
      <c r="B20" s="287" t="str">
        <f>PLANTILLA!D11</f>
        <v>F. Lasprilla</v>
      </c>
      <c r="C20" s="5">
        <f>PLANTILLA!E11</f>
        <v>29</v>
      </c>
      <c r="D20" s="5">
        <f ca="1">PLANTILLA!F11</f>
        <v>5</v>
      </c>
      <c r="E20" s="163">
        <f>PLANTILLA!X11</f>
        <v>0</v>
      </c>
      <c r="F20" s="163">
        <f>PLANTILLA!Y11</f>
        <v>9.6046666666666667</v>
      </c>
      <c r="G20" s="163">
        <f>PLANTILLA!Z11</f>
        <v>7.7607222222222223</v>
      </c>
      <c r="H20" s="163">
        <f>PLANTILLA!AA11</f>
        <v>6.1599999999999984</v>
      </c>
      <c r="I20" s="163">
        <f>PLANTILLA!AB11</f>
        <v>8.8633333333333315</v>
      </c>
      <c r="J20" s="163">
        <f>PLANTILLA!AC11</f>
        <v>3.2566666666666673</v>
      </c>
      <c r="K20" s="163">
        <f>PLANTILLA!AD11</f>
        <v>13.33611111111111</v>
      </c>
      <c r="L20" s="333"/>
      <c r="M20" s="333"/>
      <c r="N20" s="333">
        <f t="shared" si="0"/>
        <v>0</v>
      </c>
      <c r="O20" s="159">
        <f t="shared" si="1"/>
        <v>0</v>
      </c>
      <c r="P20" s="159">
        <f t="shared" si="2"/>
        <v>0</v>
      </c>
      <c r="Q20" s="159">
        <f t="shared" si="3"/>
        <v>0</v>
      </c>
      <c r="R20" s="159">
        <f t="shared" si="4"/>
        <v>0</v>
      </c>
      <c r="S20" s="159">
        <f t="shared" si="5"/>
        <v>0</v>
      </c>
      <c r="T20" s="159">
        <f t="shared" si="10"/>
        <v>0</v>
      </c>
      <c r="U20" s="159">
        <f t="shared" si="11"/>
        <v>0</v>
      </c>
      <c r="V20" s="159">
        <f t="shared" si="12"/>
        <v>0</v>
      </c>
      <c r="W20" s="159">
        <v>0</v>
      </c>
      <c r="X20" s="159">
        <v>0</v>
      </c>
      <c r="Y20" s="405"/>
      <c r="Z20" s="405"/>
      <c r="AA20" s="405">
        <f t="shared" si="9"/>
        <v>0</v>
      </c>
    </row>
    <row r="21" spans="1:27" x14ac:dyDescent="0.25">
      <c r="A21" s="287" t="str">
        <f>PLANTILLA!A19</f>
        <v>#14</v>
      </c>
      <c r="B21" s="287" t="str">
        <f>PLANTILLA!D19</f>
        <v>W. Gelifini</v>
      </c>
      <c r="C21" s="5">
        <f>PLANTILLA!E19</f>
        <v>30</v>
      </c>
      <c r="D21" s="5">
        <f ca="1">PLANTILLA!F19</f>
        <v>95</v>
      </c>
      <c r="E21" s="163">
        <f>PLANTILLA!X19</f>
        <v>0</v>
      </c>
      <c r="F21" s="163">
        <f>PLANTILLA!Y19</f>
        <v>5.6515555555555519</v>
      </c>
      <c r="G21" s="163">
        <f>PLANTILLA!Z19</f>
        <v>10</v>
      </c>
      <c r="H21" s="163">
        <f>PLANTILLA!AA19</f>
        <v>6.95</v>
      </c>
      <c r="I21" s="163">
        <f>PLANTILLA!AB19</f>
        <v>9.2666666666666639</v>
      </c>
      <c r="J21" s="163">
        <f>PLANTILLA!AC19</f>
        <v>3.5417777777777766</v>
      </c>
      <c r="K21" s="163">
        <f>PLANTILLA!AD19</f>
        <v>12.847222222222223</v>
      </c>
      <c r="L21" s="333"/>
      <c r="M21" s="333"/>
      <c r="N21" s="333">
        <f t="shared" si="0"/>
        <v>0</v>
      </c>
      <c r="O21" s="159">
        <f t="shared" si="1"/>
        <v>0</v>
      </c>
      <c r="P21" s="159">
        <f t="shared" si="2"/>
        <v>0</v>
      </c>
      <c r="Q21" s="159">
        <f t="shared" si="3"/>
        <v>0</v>
      </c>
      <c r="R21" s="159">
        <f t="shared" si="4"/>
        <v>0</v>
      </c>
      <c r="S21" s="159">
        <f t="shared" si="5"/>
        <v>0</v>
      </c>
      <c r="T21" s="159">
        <f t="shared" si="10"/>
        <v>0</v>
      </c>
      <c r="U21" s="159">
        <f t="shared" si="11"/>
        <v>0</v>
      </c>
      <c r="V21" s="159">
        <f t="shared" si="12"/>
        <v>0</v>
      </c>
      <c r="W21" s="159">
        <v>0</v>
      </c>
      <c r="X21" s="159">
        <v>0</v>
      </c>
      <c r="Y21" s="405"/>
      <c r="Z21" s="405"/>
      <c r="AA21" s="405">
        <f t="shared" si="9"/>
        <v>0</v>
      </c>
    </row>
    <row r="22" spans="1:27" x14ac:dyDescent="0.25">
      <c r="A22" s="287" t="str">
        <f>PLANTILLA!A6</f>
        <v>#16</v>
      </c>
      <c r="B22" s="287" t="str">
        <f>PLANTILLA!D6</f>
        <v>T. Hammond</v>
      </c>
      <c r="C22" s="5">
        <f>PLANTILLA!E6</f>
        <v>35</v>
      </c>
      <c r="D22" s="5">
        <f ca="1">PLANTILLA!F6</f>
        <v>107</v>
      </c>
      <c r="E22" s="163">
        <f>PLANTILLA!X6</f>
        <v>9.9499999999999993</v>
      </c>
      <c r="F22" s="163">
        <f>PLANTILLA!Y6</f>
        <v>9.9499999999999993</v>
      </c>
      <c r="G22" s="163">
        <f>PLANTILLA!Z6</f>
        <v>3.99</v>
      </c>
      <c r="H22" s="163">
        <f>PLANTILLA!AA6</f>
        <v>4.95</v>
      </c>
      <c r="I22" s="163">
        <f>PLANTILLA!AB6</f>
        <v>5.95</v>
      </c>
      <c r="J22" s="163">
        <f>PLANTILLA!AC6</f>
        <v>2.95</v>
      </c>
      <c r="K22" s="163">
        <f>PLANTILLA!AD6</f>
        <v>15.778888888888888</v>
      </c>
      <c r="L22" s="333"/>
      <c r="M22" s="333"/>
      <c r="N22" s="333">
        <f t="shared" si="0"/>
        <v>0</v>
      </c>
      <c r="O22" s="159">
        <f t="shared" si="1"/>
        <v>0</v>
      </c>
      <c r="P22" s="159">
        <f t="shared" si="2"/>
        <v>0</v>
      </c>
      <c r="Q22" s="159">
        <f t="shared" si="3"/>
        <v>0</v>
      </c>
      <c r="R22" s="159">
        <f t="shared" si="4"/>
        <v>0</v>
      </c>
      <c r="S22" s="159">
        <f t="shared" si="5"/>
        <v>0</v>
      </c>
      <c r="T22" s="159">
        <f t="shared" si="10"/>
        <v>0</v>
      </c>
      <c r="U22" s="159">
        <f t="shared" si="11"/>
        <v>0</v>
      </c>
      <c r="V22" s="159">
        <f t="shared" si="12"/>
        <v>0</v>
      </c>
      <c r="W22" s="159">
        <v>0</v>
      </c>
      <c r="X22" s="159">
        <v>0</v>
      </c>
      <c r="Y22" s="405"/>
      <c r="Z22" s="405"/>
      <c r="AA22" s="405">
        <f t="shared" si="9"/>
        <v>0</v>
      </c>
    </row>
    <row r="23" spans="1:27" x14ac:dyDescent="0.25">
      <c r="A23" s="287" t="e">
        <f>PLANTILLA!#REF!</f>
        <v>#REF!</v>
      </c>
      <c r="B23" s="287" t="e">
        <f>PLANTILLA!#REF!</f>
        <v>#REF!</v>
      </c>
      <c r="C23" s="5" t="e">
        <f>PLANTILLA!#REF!</f>
        <v>#REF!</v>
      </c>
      <c r="D23" s="5"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s="333"/>
      <c r="M23" s="333"/>
      <c r="N23" s="333">
        <f t="shared" si="0"/>
        <v>0</v>
      </c>
      <c r="O23" s="159">
        <f t="shared" si="1"/>
        <v>0</v>
      </c>
      <c r="P23" s="159">
        <f t="shared" si="2"/>
        <v>0</v>
      </c>
      <c r="Q23" s="159">
        <f t="shared" si="3"/>
        <v>0</v>
      </c>
      <c r="R23" s="159">
        <f t="shared" si="4"/>
        <v>0</v>
      </c>
      <c r="S23" s="159">
        <f t="shared" si="5"/>
        <v>0</v>
      </c>
      <c r="T23" s="159">
        <f t="shared" si="10"/>
        <v>0</v>
      </c>
      <c r="U23" s="159">
        <f t="shared" si="11"/>
        <v>0</v>
      </c>
      <c r="V23" s="159">
        <f t="shared" si="12"/>
        <v>0</v>
      </c>
      <c r="W23" s="159">
        <v>0</v>
      </c>
      <c r="X23" s="159">
        <v>0</v>
      </c>
      <c r="Y23" s="405"/>
      <c r="Z23" s="405"/>
      <c r="AA23" s="405">
        <f t="shared" si="9"/>
        <v>0</v>
      </c>
    </row>
    <row r="26" spans="1:27" x14ac:dyDescent="0.25">
      <c r="B26" s="290"/>
    </row>
  </sheetData>
  <sortState ref="A4:AA23">
    <sortCondition descending="1" ref="AA4:AA23"/>
    <sortCondition descending="1" ref="Y4:Y23"/>
  </sortState>
  <conditionalFormatting sqref="E4:K23">
    <cfRule type="colorScale" priority="2953">
      <colorScale>
        <cfvo type="min"/>
        <cfvo type="max"/>
        <color rgb="FFFCFCFF"/>
        <color rgb="FFF8696B"/>
      </colorScale>
    </cfRule>
  </conditionalFormatting>
  <conditionalFormatting sqref="L4:X23">
    <cfRule type="colorScale" priority="2955">
      <colorScale>
        <cfvo type="min"/>
        <cfvo type="max"/>
        <color rgb="FFFFEF9C"/>
        <color rgb="FF63BE7B"/>
      </colorScale>
    </cfRule>
  </conditionalFormatting>
  <conditionalFormatting sqref="Y4:AA23">
    <cfRule type="dataBar" priority="2957">
      <dataBar>
        <cfvo type="min"/>
        <cfvo type="max"/>
        <color rgb="FF008AEF"/>
      </dataBar>
      <extLst>
        <ext xmlns:x14="http://schemas.microsoft.com/office/spreadsheetml/2009/9/main" uri="{B025F937-C7B1-47D3-B67F-A62EFF666E3E}">
          <x14:id>{C1395A6A-CF46-4568-9C70-66A36F9BBE01}</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C1395A6A-CF46-4568-9C70-66A36F9BBE01}">
            <x14:dataBar minLength="0" maxLength="100" border="1" negativeBarBorderColorSameAsPositive="0">
              <x14:cfvo type="autoMin"/>
              <x14:cfvo type="autoMax"/>
              <x14:borderColor rgb="FF008AEF"/>
              <x14:negativeFillColor rgb="FFFF0000"/>
              <x14:negativeBorderColor rgb="FFFF0000"/>
              <x14:axisColor rgb="FF000000"/>
            </x14:dataBar>
          </x14:cfRule>
          <xm:sqref>Y4:AA23</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zoomScaleNormal="100" workbookViewId="0">
      <selection activeCell="P12" sqref="P12"/>
    </sheetView>
  </sheetViews>
  <sheetFormatPr defaultColWidth="11.42578125" defaultRowHeight="15" x14ac:dyDescent="0.25"/>
  <cols>
    <col min="1" max="1" width="4" bestFit="1" customWidth="1"/>
    <col min="2" max="2" width="13.7109375" bestFit="1" customWidth="1"/>
    <col min="3" max="3" width="5.5703125" bestFit="1" customWidth="1"/>
    <col min="4" max="4" width="5" bestFit="1" customWidth="1"/>
    <col min="5" max="9" width="6" bestFit="1" customWidth="1"/>
    <col min="10" max="10" width="5.5703125" bestFit="1" customWidth="1"/>
    <col min="11" max="11" width="6" bestFit="1" customWidth="1"/>
    <col min="12" max="13" width="6.5703125" style="610" bestFit="1" customWidth="1"/>
    <col min="14" max="14" width="8.28515625" style="610" bestFit="1" customWidth="1"/>
    <col min="15" max="15" width="4.5703125" style="616"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7109375" bestFit="1" customWidth="1"/>
    <col min="25" max="26" width="6.42578125" bestFit="1" customWidth="1"/>
    <col min="27" max="27" width="11.85546875" customWidth="1"/>
    <col min="30" max="30" width="6" bestFit="1" customWidth="1"/>
    <col min="31" max="31" width="13.7109375" bestFit="1" customWidth="1"/>
    <col min="33" max="33" width="5.7109375" bestFit="1" customWidth="1"/>
    <col min="34" max="34" width="13.7109375" bestFit="1" customWidth="1"/>
  </cols>
  <sheetData>
    <row r="1" spans="1:34" x14ac:dyDescent="0.25">
      <c r="B1" t="s">
        <v>836</v>
      </c>
      <c r="AD1" t="s">
        <v>837</v>
      </c>
      <c r="AG1" t="s">
        <v>838</v>
      </c>
    </row>
    <row r="2" spans="1:34" x14ac:dyDescent="0.25">
      <c r="B2" s="290">
        <v>42584</v>
      </c>
      <c r="Y2" s="618">
        <f>SUM(Y4:Y22)</f>
        <v>0.38669362836502424</v>
      </c>
      <c r="Z2" s="618">
        <f>SUM(Z4:Z22)</f>
        <v>0.36442744206594319</v>
      </c>
      <c r="AA2" s="618"/>
      <c r="AD2" s="492" t="s">
        <v>276</v>
      </c>
      <c r="AE2" s="492" t="s">
        <v>179</v>
      </c>
      <c r="AG2" s="492" t="s">
        <v>276</v>
      </c>
      <c r="AH2" s="492" t="s">
        <v>179</v>
      </c>
    </row>
    <row r="3" spans="1:34" x14ac:dyDescent="0.25">
      <c r="A3" s="299" t="s">
        <v>868</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1">
        <v>1</v>
      </c>
      <c r="M3" s="611">
        <v>0.5</v>
      </c>
      <c r="N3" s="299" t="s">
        <v>833</v>
      </c>
      <c r="O3" s="613" t="s">
        <v>1</v>
      </c>
      <c r="P3" s="613" t="s">
        <v>804</v>
      </c>
      <c r="Q3" s="612" t="s">
        <v>834</v>
      </c>
      <c r="R3" s="612" t="s">
        <v>840</v>
      </c>
      <c r="S3" s="612" t="s">
        <v>835</v>
      </c>
      <c r="T3" s="612" t="s">
        <v>805</v>
      </c>
      <c r="U3" s="612" t="s">
        <v>503</v>
      </c>
      <c r="V3" s="612" t="s">
        <v>839</v>
      </c>
      <c r="W3" s="613" t="s">
        <v>602</v>
      </c>
      <c r="X3" s="617" t="s">
        <v>66</v>
      </c>
      <c r="Y3" s="615" t="s">
        <v>837</v>
      </c>
      <c r="Z3" s="615" t="s">
        <v>838</v>
      </c>
      <c r="AA3" s="615" t="s">
        <v>843</v>
      </c>
      <c r="AD3" t="s">
        <v>1</v>
      </c>
      <c r="AE3" t="s">
        <v>782</v>
      </c>
      <c r="AG3" t="s">
        <v>1</v>
      </c>
      <c r="AH3" t="s">
        <v>782</v>
      </c>
    </row>
    <row r="4" spans="1:34" x14ac:dyDescent="0.25">
      <c r="A4" s="287" t="str">
        <f>PLANTILLA!A15</f>
        <v>#6</v>
      </c>
      <c r="B4" s="169" t="str">
        <f>PLANTILLA!D15</f>
        <v>S. Buschelman</v>
      </c>
      <c r="C4" s="287">
        <f>PLANTILLA!E15</f>
        <v>31</v>
      </c>
      <c r="D4" s="287">
        <f ca="1">PLANTILLA!F15</f>
        <v>30</v>
      </c>
      <c r="E4" s="163">
        <f>PLANTILLA!X15</f>
        <v>0</v>
      </c>
      <c r="F4" s="163">
        <f>PLANTILLA!Y15</f>
        <v>9.3036666666666648</v>
      </c>
      <c r="G4" s="163">
        <f>PLANTILLA!Z15</f>
        <v>14</v>
      </c>
      <c r="H4" s="163">
        <f>PLANTILLA!AA15</f>
        <v>12.945</v>
      </c>
      <c r="I4" s="163">
        <f>PLANTILLA!AB15</f>
        <v>10</v>
      </c>
      <c r="J4" s="163">
        <f>PLANTILLA!AC15</f>
        <v>4.95</v>
      </c>
      <c r="K4" s="163">
        <f>PLANTILLA!AD15</f>
        <v>15.588888888888887</v>
      </c>
      <c r="L4" s="614">
        <f>1/16</f>
        <v>6.25E-2</v>
      </c>
      <c r="M4" s="333">
        <f t="shared" ref="M4:M23" si="0">L4*0.5</f>
        <v>3.125E-2</v>
      </c>
      <c r="N4" s="333">
        <f t="shared" ref="N4:N23" si="1">L4*0.125</f>
        <v>7.8125E-3</v>
      </c>
      <c r="O4" s="159">
        <v>0</v>
      </c>
      <c r="P4" s="159">
        <f t="shared" ref="P4:P23" si="2">L4*0.236</f>
        <v>1.4749999999999999E-2</v>
      </c>
      <c r="Q4" s="159">
        <f t="shared" ref="Q4:Q23" si="3">L4*0.363</f>
        <v>2.2687499999999999E-2</v>
      </c>
      <c r="R4" s="159">
        <f t="shared" ref="R4:R23" si="4">L4*0.165</f>
        <v>1.03125E-2</v>
      </c>
      <c r="S4" s="159">
        <f t="shared" ref="S4:S23" si="5">L4*0.167</f>
        <v>1.0437500000000001E-2</v>
      </c>
      <c r="T4" s="159">
        <f t="shared" ref="T4:T23" si="6">L4*1</f>
        <v>6.25E-2</v>
      </c>
      <c r="U4" s="159">
        <f t="shared" ref="U4:U23" si="7">L4*0.881</f>
        <v>5.50625E-2</v>
      </c>
      <c r="V4" s="159">
        <f t="shared" ref="V4:V23" si="8">L4*0.455</f>
        <v>2.8437500000000001E-2</v>
      </c>
      <c r="W4" s="159">
        <f t="shared" ref="W4:W23" si="9">L4*0.406</f>
        <v>2.5375000000000002E-2</v>
      </c>
      <c r="X4" s="159">
        <f t="shared" ref="X4:X23" si="10">L4*0.25</f>
        <v>1.5625E-2</v>
      </c>
      <c r="Y4" s="405">
        <f>U4</f>
        <v>5.50625E-2</v>
      </c>
      <c r="Z4" s="405">
        <f>U4</f>
        <v>5.50625E-2</v>
      </c>
      <c r="AA4" s="405">
        <f t="shared" ref="AA4:AA23" si="11">MAX(Z4,Y4)</f>
        <v>5.50625E-2</v>
      </c>
      <c r="AD4" t="s">
        <v>803</v>
      </c>
      <c r="AE4" s="634" t="s">
        <v>856</v>
      </c>
      <c r="AG4" t="s">
        <v>803</v>
      </c>
      <c r="AH4" s="634" t="str">
        <f>AE4</f>
        <v>B. Pinczehelyi</v>
      </c>
    </row>
    <row r="5" spans="1:34" x14ac:dyDescent="0.25">
      <c r="A5" s="287" t="str">
        <f>PLANTILLA!A18</f>
        <v>#5</v>
      </c>
      <c r="B5" s="169" t="str">
        <f>PLANTILLA!D18</f>
        <v>L. Bauman</v>
      </c>
      <c r="C5" s="287">
        <f>PLANTILLA!E18</f>
        <v>32</v>
      </c>
      <c r="D5" s="287">
        <f ca="1">PLANTILLA!F18</f>
        <v>33</v>
      </c>
      <c r="E5" s="163">
        <f>PLANTILLA!X18</f>
        <v>0</v>
      </c>
      <c r="F5" s="163">
        <f>PLANTILLA!Y18</f>
        <v>5.4644444444444451</v>
      </c>
      <c r="G5" s="163">
        <f>PLANTILLA!Z18</f>
        <v>14.42664708994708</v>
      </c>
      <c r="H5" s="163">
        <f>PLANTILLA!AA18</f>
        <v>3.5124999999999993</v>
      </c>
      <c r="I5" s="163">
        <f>PLANTILLA!AB18</f>
        <v>9.1400000000000041</v>
      </c>
      <c r="J5" s="163">
        <f>PLANTILLA!AC18</f>
        <v>6.95</v>
      </c>
      <c r="K5" s="163">
        <f>PLANTILLA!AD18</f>
        <v>16.669999999999998</v>
      </c>
      <c r="L5" s="614">
        <f>1/21</f>
        <v>4.7619047619047616E-2</v>
      </c>
      <c r="M5" s="333">
        <f t="shared" si="0"/>
        <v>2.3809523809523808E-2</v>
      </c>
      <c r="N5" s="333">
        <f t="shared" si="1"/>
        <v>5.9523809523809521E-3</v>
      </c>
      <c r="O5" s="159">
        <v>0</v>
      </c>
      <c r="P5" s="159">
        <f t="shared" si="2"/>
        <v>1.1238095238095236E-2</v>
      </c>
      <c r="Q5" s="159">
        <f t="shared" si="3"/>
        <v>1.7285714285714283E-2</v>
      </c>
      <c r="R5" s="159">
        <f t="shared" si="4"/>
        <v>7.8571428571428577E-3</v>
      </c>
      <c r="S5" s="159">
        <f t="shared" si="5"/>
        <v>7.9523809523809521E-3</v>
      </c>
      <c r="T5" s="159">
        <f t="shared" si="6"/>
        <v>4.7619047619047616E-2</v>
      </c>
      <c r="U5" s="159">
        <f t="shared" si="7"/>
        <v>4.1952380952380949E-2</v>
      </c>
      <c r="V5" s="159">
        <f t="shared" si="8"/>
        <v>2.1666666666666667E-2</v>
      </c>
      <c r="W5" s="159">
        <f t="shared" si="9"/>
        <v>1.9333333333333334E-2</v>
      </c>
      <c r="X5" s="159">
        <f t="shared" si="10"/>
        <v>1.1904761904761904E-2</v>
      </c>
      <c r="Y5" s="405">
        <f>T5</f>
        <v>4.7619047619047616E-2</v>
      </c>
      <c r="Z5" s="405">
        <f>W5</f>
        <v>1.9333333333333334E-2</v>
      </c>
      <c r="AA5" s="405">
        <f t="shared" si="11"/>
        <v>4.7619047619047616E-2</v>
      </c>
      <c r="AD5" t="s">
        <v>804</v>
      </c>
      <c r="AE5" t="s">
        <v>272</v>
      </c>
      <c r="AG5" t="s">
        <v>815</v>
      </c>
      <c r="AH5" t="s">
        <v>273</v>
      </c>
    </row>
    <row r="6" spans="1:34" x14ac:dyDescent="0.25">
      <c r="A6" s="287" t="str">
        <f>PLANTILLA!A21</f>
        <v>#9</v>
      </c>
      <c r="B6" s="169" t="str">
        <f>PLANTILLA!D21</f>
        <v>J. Limon</v>
      </c>
      <c r="C6" s="287">
        <f>PLANTILLA!E21</f>
        <v>31</v>
      </c>
      <c r="D6" s="287">
        <f ca="1">PLANTILLA!F21</f>
        <v>70</v>
      </c>
      <c r="E6" s="163">
        <f>PLANTILLA!X21</f>
        <v>0</v>
      </c>
      <c r="F6" s="163">
        <f>PLANTILLA!Y21</f>
        <v>6.8376190476190493</v>
      </c>
      <c r="G6" s="163">
        <f>PLANTILLA!Z21</f>
        <v>8.9499999999999993</v>
      </c>
      <c r="H6" s="163">
        <f>PLANTILLA!AA21</f>
        <v>8.7399999999999967</v>
      </c>
      <c r="I6" s="163">
        <f>PLANTILLA!AB21</f>
        <v>10</v>
      </c>
      <c r="J6" s="163">
        <f>PLANTILLA!AC21</f>
        <v>8.5625000000000018</v>
      </c>
      <c r="K6" s="163">
        <f>PLANTILLA!AD21</f>
        <v>18.999999999999993</v>
      </c>
      <c r="L6" s="333">
        <f>1/9</f>
        <v>0.1111111111111111</v>
      </c>
      <c r="M6" s="333">
        <f t="shared" si="0"/>
        <v>5.5555555555555552E-2</v>
      </c>
      <c r="N6" s="333">
        <f t="shared" si="1"/>
        <v>1.3888888888888888E-2</v>
      </c>
      <c r="O6" s="159">
        <v>0</v>
      </c>
      <c r="P6" s="159">
        <f t="shared" si="2"/>
        <v>2.622222222222222E-2</v>
      </c>
      <c r="Q6" s="159">
        <f t="shared" si="3"/>
        <v>4.0333333333333332E-2</v>
      </c>
      <c r="R6" s="159">
        <f t="shared" si="4"/>
        <v>1.8333333333333333E-2</v>
      </c>
      <c r="S6" s="159">
        <f t="shared" si="5"/>
        <v>1.8555555555555554E-2</v>
      </c>
      <c r="T6" s="159">
        <f t="shared" si="6"/>
        <v>0.1111111111111111</v>
      </c>
      <c r="U6" s="159">
        <f t="shared" si="7"/>
        <v>9.7888888888888886E-2</v>
      </c>
      <c r="V6" s="159">
        <f t="shared" si="8"/>
        <v>5.0555555555555555E-2</v>
      </c>
      <c r="W6" s="159">
        <f t="shared" si="9"/>
        <v>4.5111111111111109E-2</v>
      </c>
      <c r="X6" s="159">
        <f t="shared" si="10"/>
        <v>2.7777777777777776E-2</v>
      </c>
      <c r="Y6" s="405">
        <f>W6</f>
        <v>4.5111111111111109E-2</v>
      </c>
      <c r="Z6" s="405"/>
      <c r="AA6" s="405">
        <f t="shared" si="11"/>
        <v>4.5111111111111109E-2</v>
      </c>
      <c r="AD6" t="s">
        <v>803</v>
      </c>
      <c r="AE6" t="s">
        <v>269</v>
      </c>
      <c r="AG6" t="s">
        <v>814</v>
      </c>
      <c r="AH6" t="s">
        <v>269</v>
      </c>
    </row>
    <row r="7" spans="1:34" x14ac:dyDescent="0.25">
      <c r="A7" s="287" t="str">
        <f>PLANTILLA!A20</f>
        <v>#19</v>
      </c>
      <c r="B7" s="169" t="str">
        <f>PLANTILLA!D20</f>
        <v>G. Kerschl</v>
      </c>
      <c r="C7" s="287">
        <f>PLANTILLA!E20</f>
        <v>30</v>
      </c>
      <c r="D7" s="287">
        <f ca="1">PLANTILLA!F20</f>
        <v>60</v>
      </c>
      <c r="E7" s="163">
        <f>PLANTILLA!X20</f>
        <v>0</v>
      </c>
      <c r="F7" s="163">
        <f>PLANTILLA!Y20</f>
        <v>3</v>
      </c>
      <c r="G7" s="163">
        <f>PLANTILLA!Z20</f>
        <v>15.07</v>
      </c>
      <c r="H7" s="163">
        <f>PLANTILLA!AA20</f>
        <v>12.02</v>
      </c>
      <c r="I7" s="163">
        <f>PLANTILLA!AB20</f>
        <v>13</v>
      </c>
      <c r="J7" s="163">
        <f>PLANTILLA!AC20</f>
        <v>7.95</v>
      </c>
      <c r="K7" s="163">
        <f>PLANTILLA!AD20</f>
        <v>5</v>
      </c>
      <c r="L7">
        <f>1/20</f>
        <v>0.05</v>
      </c>
      <c r="M7" s="333">
        <f t="shared" si="0"/>
        <v>2.5000000000000001E-2</v>
      </c>
      <c r="N7" s="333">
        <f t="shared" si="1"/>
        <v>6.2500000000000003E-3</v>
      </c>
      <c r="O7" s="159">
        <v>0</v>
      </c>
      <c r="P7" s="159">
        <f t="shared" si="2"/>
        <v>1.18E-2</v>
      </c>
      <c r="Q7" s="159">
        <f t="shared" si="3"/>
        <v>1.8149999999999999E-2</v>
      </c>
      <c r="R7" s="159">
        <f t="shared" si="4"/>
        <v>8.2500000000000004E-3</v>
      </c>
      <c r="S7" s="159">
        <f t="shared" si="5"/>
        <v>8.3500000000000015E-3</v>
      </c>
      <c r="T7" s="159">
        <f t="shared" si="6"/>
        <v>0.05</v>
      </c>
      <c r="U7" s="159">
        <f t="shared" si="7"/>
        <v>4.4050000000000006E-2</v>
      </c>
      <c r="V7" s="159">
        <f t="shared" si="8"/>
        <v>2.2750000000000003E-2</v>
      </c>
      <c r="W7" s="159">
        <f t="shared" si="9"/>
        <v>2.0300000000000002E-2</v>
      </c>
      <c r="X7" s="159">
        <f t="shared" si="10"/>
        <v>1.2500000000000001E-2</v>
      </c>
      <c r="Y7" s="405">
        <f>U7</f>
        <v>4.4050000000000006E-2</v>
      </c>
      <c r="Z7" s="405">
        <f>U7</f>
        <v>4.4050000000000006E-2</v>
      </c>
      <c r="AA7" s="405">
        <f t="shared" si="11"/>
        <v>4.4050000000000006E-2</v>
      </c>
      <c r="AD7" t="s">
        <v>503</v>
      </c>
      <c r="AE7" t="s">
        <v>618</v>
      </c>
      <c r="AG7" t="s">
        <v>815</v>
      </c>
      <c r="AH7" t="s">
        <v>275</v>
      </c>
    </row>
    <row r="8" spans="1:34" x14ac:dyDescent="0.25">
      <c r="A8" s="287" t="str">
        <f>PLANTILLA!A13</f>
        <v>#11</v>
      </c>
      <c r="B8" s="169" t="str">
        <f>PLANTILLA!D13</f>
        <v>K. Helms</v>
      </c>
      <c r="C8" s="287">
        <f>PLANTILLA!E13</f>
        <v>32</v>
      </c>
      <c r="D8" s="287">
        <f ca="1">PLANTILLA!F13</f>
        <v>18</v>
      </c>
      <c r="E8" s="163">
        <f>PLANTILLA!X13</f>
        <v>0</v>
      </c>
      <c r="F8" s="163">
        <f>PLANTILLA!Y13</f>
        <v>7.2503030303030309</v>
      </c>
      <c r="G8" s="163">
        <f>PLANTILLA!Z13</f>
        <v>10.600000000000005</v>
      </c>
      <c r="H8" s="163">
        <f>PLANTILLA!AA13</f>
        <v>13.471666666666668</v>
      </c>
      <c r="I8" s="163">
        <f>PLANTILLA!AB13</f>
        <v>10.359999999999998</v>
      </c>
      <c r="J8" s="163">
        <f>PLANTILLA!AC13</f>
        <v>4.95</v>
      </c>
      <c r="K8" s="163">
        <f>PLANTILLA!AD13</f>
        <v>18</v>
      </c>
      <c r="L8" s="614">
        <f>1/12</f>
        <v>8.3333333333333329E-2</v>
      </c>
      <c r="M8" s="333">
        <f t="shared" si="0"/>
        <v>4.1666666666666664E-2</v>
      </c>
      <c r="N8" s="333">
        <f t="shared" si="1"/>
        <v>1.0416666666666666E-2</v>
      </c>
      <c r="O8" s="159">
        <v>0</v>
      </c>
      <c r="P8" s="159">
        <f t="shared" si="2"/>
        <v>1.9666666666666666E-2</v>
      </c>
      <c r="Q8" s="159">
        <f t="shared" si="3"/>
        <v>3.0249999999999999E-2</v>
      </c>
      <c r="R8" s="159">
        <f t="shared" si="4"/>
        <v>1.375E-2</v>
      </c>
      <c r="S8" s="159">
        <f t="shared" si="5"/>
        <v>1.3916666666666667E-2</v>
      </c>
      <c r="T8" s="159">
        <f t="shared" si="6"/>
        <v>8.3333333333333329E-2</v>
      </c>
      <c r="U8" s="159">
        <f t="shared" si="7"/>
        <v>7.3416666666666658E-2</v>
      </c>
      <c r="V8" s="159">
        <f t="shared" si="8"/>
        <v>3.7916666666666668E-2</v>
      </c>
      <c r="W8" s="159">
        <f t="shared" si="9"/>
        <v>3.3833333333333333E-2</v>
      </c>
      <c r="X8" s="159">
        <f t="shared" si="10"/>
        <v>2.0833333333333332E-2</v>
      </c>
      <c r="Y8" s="405">
        <f>V8</f>
        <v>3.7916666666666668E-2</v>
      </c>
      <c r="Z8" s="405">
        <f>V8</f>
        <v>3.7916666666666668E-2</v>
      </c>
      <c r="AA8" s="405">
        <f t="shared" si="11"/>
        <v>3.7916666666666668E-2</v>
      </c>
      <c r="AD8" t="s">
        <v>805</v>
      </c>
      <c r="AE8" t="s">
        <v>400</v>
      </c>
      <c r="AG8" t="s">
        <v>803</v>
      </c>
      <c r="AH8" t="s">
        <v>816</v>
      </c>
    </row>
    <row r="9" spans="1:34" x14ac:dyDescent="0.25">
      <c r="A9" s="287" t="str">
        <f>PLANTILLA!A16</f>
        <v>#4</v>
      </c>
      <c r="B9" s="169" t="str">
        <f>PLANTILLA!D16</f>
        <v>C. Rojas</v>
      </c>
      <c r="C9" s="287">
        <f>PLANTILLA!E16</f>
        <v>33</v>
      </c>
      <c r="D9" s="287">
        <f ca="1">PLANTILLA!F16</f>
        <v>64</v>
      </c>
      <c r="E9" s="163">
        <f>PLANTILLA!X16</f>
        <v>0</v>
      </c>
      <c r="F9" s="163">
        <f>PLANTILLA!Y16</f>
        <v>8.6275555555555581</v>
      </c>
      <c r="G9" s="163">
        <f>PLANTILLA!Z16</f>
        <v>14.333255555555548</v>
      </c>
      <c r="H9" s="163">
        <f>PLANTILLA!AA16</f>
        <v>9.99</v>
      </c>
      <c r="I9" s="163">
        <f>PLANTILLA!AB16</f>
        <v>10</v>
      </c>
      <c r="J9" s="163">
        <f>PLANTILLA!AC16</f>
        <v>3.99</v>
      </c>
      <c r="K9" s="163">
        <f>PLANTILLA!AD16</f>
        <v>17.144444444444439</v>
      </c>
      <c r="L9" s="614">
        <f>1/26</f>
        <v>3.8461538461538464E-2</v>
      </c>
      <c r="M9" s="333">
        <f t="shared" si="0"/>
        <v>1.9230769230769232E-2</v>
      </c>
      <c r="N9" s="333">
        <f t="shared" si="1"/>
        <v>4.807692307692308E-3</v>
      </c>
      <c r="O9" s="159">
        <v>0</v>
      </c>
      <c r="P9" s="159">
        <f t="shared" si="2"/>
        <v>9.0769230769230762E-3</v>
      </c>
      <c r="Q9" s="159">
        <f t="shared" si="3"/>
        <v>1.3961538461538463E-2</v>
      </c>
      <c r="R9" s="159">
        <f t="shared" si="4"/>
        <v>6.3461538461538469E-3</v>
      </c>
      <c r="S9" s="159">
        <f t="shared" si="5"/>
        <v>6.4230769230769237E-3</v>
      </c>
      <c r="T9" s="159">
        <f t="shared" si="6"/>
        <v>3.8461538461538464E-2</v>
      </c>
      <c r="U9" s="159">
        <f t="shared" si="7"/>
        <v>3.3884615384615388E-2</v>
      </c>
      <c r="V9" s="159">
        <f t="shared" si="8"/>
        <v>1.7500000000000002E-2</v>
      </c>
      <c r="W9" s="159">
        <f t="shared" si="9"/>
        <v>1.5615384615384618E-2</v>
      </c>
      <c r="X9" s="159">
        <f t="shared" si="10"/>
        <v>9.6153846153846159E-3</v>
      </c>
      <c r="Y9" s="405">
        <f>U9</f>
        <v>3.3884615384615388E-2</v>
      </c>
      <c r="Z9" s="405">
        <f>U9</f>
        <v>3.3884615384615388E-2</v>
      </c>
      <c r="AA9" s="405">
        <f t="shared" si="11"/>
        <v>3.3884615384615388E-2</v>
      </c>
      <c r="AD9" t="s">
        <v>503</v>
      </c>
      <c r="AE9" t="s">
        <v>285</v>
      </c>
      <c r="AG9" t="s">
        <v>503</v>
      </c>
      <c r="AH9" t="s">
        <v>285</v>
      </c>
    </row>
    <row r="10" spans="1:34" x14ac:dyDescent="0.25">
      <c r="A10" s="287" t="str">
        <f>PLANTILLA!A14</f>
        <v>#10</v>
      </c>
      <c r="B10" s="670" t="str">
        <f>PLANTILLA!D14</f>
        <v>S. Zobbe</v>
      </c>
      <c r="C10" s="287">
        <f>PLANTILLA!E14</f>
        <v>29</v>
      </c>
      <c r="D10" s="287">
        <f ca="1">PLANTILLA!F14</f>
        <v>33</v>
      </c>
      <c r="E10" s="163">
        <f>PLANTILLA!X14</f>
        <v>0</v>
      </c>
      <c r="F10" s="163">
        <f>PLANTILLA!Y14</f>
        <v>8.3599999999999977</v>
      </c>
      <c r="G10" s="163">
        <f>PLANTILLA!Z14</f>
        <v>12.253412698412699</v>
      </c>
      <c r="H10" s="163">
        <f>PLANTILLA!AA14</f>
        <v>12.36</v>
      </c>
      <c r="I10" s="163">
        <f>PLANTILLA!AB14</f>
        <v>10.24</v>
      </c>
      <c r="J10" s="163">
        <f>PLANTILLA!AC14</f>
        <v>7.4766666666666666</v>
      </c>
      <c r="K10" s="163">
        <f>PLANTILLA!AD14</f>
        <v>16</v>
      </c>
      <c r="L10" s="614">
        <f>1/14</f>
        <v>7.1428571428571425E-2</v>
      </c>
      <c r="M10" s="333">
        <f t="shared" si="0"/>
        <v>3.5714285714285712E-2</v>
      </c>
      <c r="N10" s="333">
        <f t="shared" si="1"/>
        <v>8.9285714285714281E-3</v>
      </c>
      <c r="O10" s="159">
        <v>0</v>
      </c>
      <c r="P10" s="159">
        <f t="shared" si="2"/>
        <v>1.6857142857142855E-2</v>
      </c>
      <c r="Q10" s="159">
        <f t="shared" si="3"/>
        <v>2.5928571428571426E-2</v>
      </c>
      <c r="R10" s="159">
        <f t="shared" si="4"/>
        <v>1.1785714285714285E-2</v>
      </c>
      <c r="S10" s="159">
        <f t="shared" si="5"/>
        <v>1.1928571428571429E-2</v>
      </c>
      <c r="T10" s="159">
        <f t="shared" si="6"/>
        <v>7.1428571428571425E-2</v>
      </c>
      <c r="U10" s="159">
        <f t="shared" si="7"/>
        <v>6.2928571428571431E-2</v>
      </c>
      <c r="V10" s="159">
        <f t="shared" si="8"/>
        <v>3.2500000000000001E-2</v>
      </c>
      <c r="W10" s="159">
        <f t="shared" si="9"/>
        <v>2.9000000000000001E-2</v>
      </c>
      <c r="X10" s="159">
        <f t="shared" si="10"/>
        <v>1.7857142857142856E-2</v>
      </c>
      <c r="Y10" s="405">
        <f>V10</f>
        <v>3.2500000000000001E-2</v>
      </c>
      <c r="Z10" s="405">
        <f>V10</f>
        <v>3.2500000000000001E-2</v>
      </c>
      <c r="AA10" s="405">
        <f t="shared" si="11"/>
        <v>3.2500000000000001E-2</v>
      </c>
      <c r="AD10" t="s">
        <v>806</v>
      </c>
      <c r="AE10" t="s">
        <v>816</v>
      </c>
      <c r="AG10" t="s">
        <v>503</v>
      </c>
      <c r="AH10" t="s">
        <v>618</v>
      </c>
    </row>
    <row r="11" spans="1:34" x14ac:dyDescent="0.25">
      <c r="A11" s="287" t="str">
        <f>PLANTILLA!A12</f>
        <v>#7</v>
      </c>
      <c r="B11" s="670" t="str">
        <f>PLANTILLA!D12</f>
        <v>E. Romweber</v>
      </c>
      <c r="C11" s="287">
        <f>PLANTILLA!E12</f>
        <v>32</v>
      </c>
      <c r="D11" s="287">
        <f ca="1">PLANTILLA!F12</f>
        <v>71</v>
      </c>
      <c r="E11" s="163">
        <f>PLANTILLA!X12</f>
        <v>0</v>
      </c>
      <c r="F11" s="163">
        <f>PLANTILLA!Y12</f>
        <v>12.06111111111111</v>
      </c>
      <c r="G11" s="163">
        <f>PLANTILLA!Z12</f>
        <v>12.614111111111114</v>
      </c>
      <c r="H11" s="163">
        <f>PLANTILLA!AA12</f>
        <v>13.216666666666669</v>
      </c>
      <c r="I11" s="163">
        <f>PLANTILLA!AB12</f>
        <v>11</v>
      </c>
      <c r="J11" s="163">
        <f>PLANTILLA!AC12</f>
        <v>7.7700000000000005</v>
      </c>
      <c r="K11" s="163">
        <f>PLANTILLA!AD12</f>
        <v>17.529999999999998</v>
      </c>
      <c r="L11" s="614">
        <f>1/16</f>
        <v>6.25E-2</v>
      </c>
      <c r="M11" s="333">
        <f t="shared" si="0"/>
        <v>3.125E-2</v>
      </c>
      <c r="N11" s="333">
        <f t="shared" si="1"/>
        <v>7.8125E-3</v>
      </c>
      <c r="O11" s="159">
        <v>0</v>
      </c>
      <c r="P11" s="159">
        <f t="shared" si="2"/>
        <v>1.4749999999999999E-2</v>
      </c>
      <c r="Q11" s="159">
        <f t="shared" si="3"/>
        <v>2.2687499999999999E-2</v>
      </c>
      <c r="R11" s="159">
        <f t="shared" si="4"/>
        <v>1.03125E-2</v>
      </c>
      <c r="S11" s="159">
        <f t="shared" si="5"/>
        <v>1.0437500000000001E-2</v>
      </c>
      <c r="T11" s="159">
        <f t="shared" si="6"/>
        <v>6.25E-2</v>
      </c>
      <c r="U11" s="159">
        <f t="shared" si="7"/>
        <v>5.50625E-2</v>
      </c>
      <c r="V11" s="159">
        <f t="shared" si="8"/>
        <v>2.8437500000000001E-2</v>
      </c>
      <c r="W11" s="159">
        <f t="shared" si="9"/>
        <v>2.5375000000000002E-2</v>
      </c>
      <c r="X11" s="159">
        <f t="shared" si="10"/>
        <v>1.5625E-2</v>
      </c>
      <c r="Y11" s="405">
        <f>V11</f>
        <v>2.8437500000000001E-2</v>
      </c>
      <c r="Z11" s="405">
        <f>V11</f>
        <v>2.8437500000000001E-2</v>
      </c>
      <c r="AA11" s="405">
        <f t="shared" si="11"/>
        <v>2.8437500000000001E-2</v>
      </c>
      <c r="AD11" t="s">
        <v>806</v>
      </c>
      <c r="AE11" t="s">
        <v>298</v>
      </c>
      <c r="AG11" t="s">
        <v>806</v>
      </c>
      <c r="AH11" t="s">
        <v>298</v>
      </c>
    </row>
    <row r="12" spans="1:34" x14ac:dyDescent="0.25">
      <c r="A12" s="287" t="str">
        <f>PLANTILLA!A8</f>
        <v>#8</v>
      </c>
      <c r="B12" s="219" t="str">
        <f>PLANTILLA!D8</f>
        <v>D. Toh</v>
      </c>
      <c r="C12" s="287">
        <f>PLANTILLA!E8</f>
        <v>33</v>
      </c>
      <c r="D12" s="287">
        <f ca="1">PLANTILLA!F8</f>
        <v>43</v>
      </c>
      <c r="E12" s="163">
        <f>PLANTILLA!X8</f>
        <v>0</v>
      </c>
      <c r="F12" s="163">
        <f>PLANTILLA!Y8</f>
        <v>11.077333333333334</v>
      </c>
      <c r="G12" s="163">
        <f>PLANTILLA!Z8</f>
        <v>6.2194444444444406</v>
      </c>
      <c r="H12" s="163">
        <f>PLANTILLA!AA8</f>
        <v>5.95</v>
      </c>
      <c r="I12" s="163">
        <f>PLANTILLA!AB8</f>
        <v>7.7227777777777789</v>
      </c>
      <c r="J12" s="163">
        <f>PLANTILLA!AC8</f>
        <v>3.9933333333333318</v>
      </c>
      <c r="K12" s="163">
        <f>PLANTILLA!AD8</f>
        <v>15.587777777777776</v>
      </c>
      <c r="L12" s="614">
        <f>1/7</f>
        <v>0.14285714285714285</v>
      </c>
      <c r="M12" s="333">
        <f t="shared" si="0"/>
        <v>7.1428571428571425E-2</v>
      </c>
      <c r="N12" s="333">
        <f t="shared" si="1"/>
        <v>1.7857142857142856E-2</v>
      </c>
      <c r="O12" s="159">
        <v>0</v>
      </c>
      <c r="P12" s="159">
        <f t="shared" si="2"/>
        <v>3.3714285714285711E-2</v>
      </c>
      <c r="Q12" s="159">
        <f t="shared" si="3"/>
        <v>5.1857142857142852E-2</v>
      </c>
      <c r="R12" s="159">
        <f t="shared" si="4"/>
        <v>2.357142857142857E-2</v>
      </c>
      <c r="S12" s="159">
        <f t="shared" si="5"/>
        <v>2.3857142857142858E-2</v>
      </c>
      <c r="T12" s="159">
        <f t="shared" si="6"/>
        <v>0.14285714285714285</v>
      </c>
      <c r="U12" s="159">
        <f t="shared" si="7"/>
        <v>0.12585714285714286</v>
      </c>
      <c r="V12" s="159">
        <f t="shared" si="8"/>
        <v>6.5000000000000002E-2</v>
      </c>
      <c r="W12" s="159">
        <f t="shared" si="9"/>
        <v>5.8000000000000003E-2</v>
      </c>
      <c r="X12" s="159">
        <f t="shared" si="10"/>
        <v>3.5714285714285712E-2</v>
      </c>
      <c r="Y12" s="405"/>
      <c r="Z12" s="405">
        <f>R12</f>
        <v>2.357142857142857E-2</v>
      </c>
      <c r="AA12" s="405">
        <f t="shared" si="11"/>
        <v>2.357142857142857E-2</v>
      </c>
      <c r="AD12" t="s">
        <v>66</v>
      </c>
      <c r="AE12" t="s">
        <v>287</v>
      </c>
      <c r="AG12" t="s">
        <v>806</v>
      </c>
      <c r="AH12" t="s">
        <v>507</v>
      </c>
    </row>
    <row r="13" spans="1:34" x14ac:dyDescent="0.25">
      <c r="A13" s="287" t="str">
        <f>PLANTILLA!A10</f>
        <v>#3</v>
      </c>
      <c r="B13" s="219" t="str">
        <f>PLANTILLA!D10</f>
        <v>B. Bartolache</v>
      </c>
      <c r="C13" s="287">
        <f>PLANTILLA!E10</f>
        <v>32</v>
      </c>
      <c r="D13" s="287">
        <f ca="1">PLANTILLA!F10</f>
        <v>94</v>
      </c>
      <c r="E13" s="163">
        <f>PLANTILLA!X10</f>
        <v>0</v>
      </c>
      <c r="F13" s="163">
        <f>PLANTILLA!Y10</f>
        <v>12</v>
      </c>
      <c r="G13" s="163">
        <f>PLANTILLA!Z10</f>
        <v>6.95</v>
      </c>
      <c r="H13" s="163">
        <f>PLANTILLA!AA10</f>
        <v>7.5000000000000018</v>
      </c>
      <c r="I13" s="163">
        <f>PLANTILLA!AB10</f>
        <v>8.9499999999999993</v>
      </c>
      <c r="J13" s="163">
        <f>PLANTILLA!AC10</f>
        <v>3.95</v>
      </c>
      <c r="K13" s="163">
        <f>PLANTILLA!AD10</f>
        <v>16</v>
      </c>
      <c r="L13" s="614">
        <f>1/8</f>
        <v>0.125</v>
      </c>
      <c r="M13" s="333">
        <f t="shared" si="0"/>
        <v>6.25E-2</v>
      </c>
      <c r="N13" s="333">
        <f t="shared" si="1"/>
        <v>1.5625E-2</v>
      </c>
      <c r="O13" s="159">
        <v>0</v>
      </c>
      <c r="P13" s="159">
        <f t="shared" si="2"/>
        <v>2.9499999999999998E-2</v>
      </c>
      <c r="Q13" s="159">
        <f t="shared" si="3"/>
        <v>4.5374999999999999E-2</v>
      </c>
      <c r="R13" s="159">
        <f t="shared" si="4"/>
        <v>2.0625000000000001E-2</v>
      </c>
      <c r="S13" s="159">
        <f t="shared" si="5"/>
        <v>2.0875000000000001E-2</v>
      </c>
      <c r="T13" s="159">
        <f t="shared" si="6"/>
        <v>0.125</v>
      </c>
      <c r="U13" s="159">
        <f t="shared" si="7"/>
        <v>0.110125</v>
      </c>
      <c r="V13" s="159">
        <f t="shared" si="8"/>
        <v>5.6875000000000002E-2</v>
      </c>
      <c r="W13" s="159">
        <f t="shared" si="9"/>
        <v>5.0750000000000003E-2</v>
      </c>
      <c r="X13" s="159">
        <f t="shared" si="10"/>
        <v>3.125E-2</v>
      </c>
      <c r="Y13" s="405"/>
      <c r="Z13" s="405">
        <f>S13</f>
        <v>2.0875000000000001E-2</v>
      </c>
      <c r="AA13" s="405">
        <f t="shared" si="11"/>
        <v>2.0875000000000001E-2</v>
      </c>
      <c r="AD13" t="s">
        <v>66</v>
      </c>
      <c r="AE13" t="s">
        <v>507</v>
      </c>
      <c r="AG13" t="s">
        <v>66</v>
      </c>
      <c r="AH13" t="s">
        <v>287</v>
      </c>
    </row>
    <row r="14" spans="1:34" x14ac:dyDescent="0.25">
      <c r="A14" s="287" t="str">
        <f>PLANTILLA!A9</f>
        <v>#2</v>
      </c>
      <c r="B14" s="670" t="str">
        <f>PLANTILLA!D9</f>
        <v>E. Toney</v>
      </c>
      <c r="C14" s="287">
        <f>PLANTILLA!E9</f>
        <v>32</v>
      </c>
      <c r="D14" s="287">
        <f ca="1">PLANTILLA!F9</f>
        <v>109</v>
      </c>
      <c r="E14" s="163">
        <f>PLANTILLA!X9</f>
        <v>0</v>
      </c>
      <c r="F14" s="163">
        <f>PLANTILLA!Y9</f>
        <v>12.200000000000005</v>
      </c>
      <c r="G14" s="163">
        <f>PLANTILLA!Z9</f>
        <v>13.261555555555553</v>
      </c>
      <c r="H14" s="163">
        <f>PLANTILLA!AA9</f>
        <v>9.8750000000000053</v>
      </c>
      <c r="I14" s="163">
        <f>PLANTILLA!AB9</f>
        <v>9.6</v>
      </c>
      <c r="J14" s="163">
        <f>PLANTILLA!AC9</f>
        <v>3.6816666666666658</v>
      </c>
      <c r="K14" s="163">
        <f>PLANTILLA!AD9</f>
        <v>17.177777777777774</v>
      </c>
      <c r="L14" s="614">
        <f>1/19</f>
        <v>5.2631578947368418E-2</v>
      </c>
      <c r="M14" s="333">
        <f t="shared" si="0"/>
        <v>2.6315789473684209E-2</v>
      </c>
      <c r="N14" s="333">
        <f t="shared" si="1"/>
        <v>6.5789473684210523E-3</v>
      </c>
      <c r="O14" s="159">
        <v>0</v>
      </c>
      <c r="P14" s="159">
        <f t="shared" si="2"/>
        <v>1.2421052631578946E-2</v>
      </c>
      <c r="Q14" s="159">
        <f t="shared" si="3"/>
        <v>1.9105263157894736E-2</v>
      </c>
      <c r="R14" s="159">
        <f t="shared" si="4"/>
        <v>8.6842105263157891E-3</v>
      </c>
      <c r="S14" s="159">
        <f t="shared" si="5"/>
        <v>8.7894736842105258E-3</v>
      </c>
      <c r="T14" s="159">
        <f t="shared" si="6"/>
        <v>5.2631578947368418E-2</v>
      </c>
      <c r="U14" s="159">
        <f t="shared" si="7"/>
        <v>4.636842105263158E-2</v>
      </c>
      <c r="V14" s="159">
        <f t="shared" si="8"/>
        <v>2.394736842105263E-2</v>
      </c>
      <c r="W14" s="159">
        <f t="shared" si="9"/>
        <v>2.1368421052631578E-2</v>
      </c>
      <c r="X14" s="159">
        <f t="shared" si="10"/>
        <v>1.3157894736842105E-2</v>
      </c>
      <c r="Y14" s="405">
        <f>P14</f>
        <v>1.2421052631578946E-2</v>
      </c>
      <c r="Z14" s="405">
        <f>Q14</f>
        <v>1.9105263157894736E-2</v>
      </c>
      <c r="AA14" s="405">
        <f t="shared" si="11"/>
        <v>1.9105263157894736E-2</v>
      </c>
    </row>
    <row r="15" spans="1:34" x14ac:dyDescent="0.25">
      <c r="A15" s="287" t="str">
        <f>PLANTILLA!A22</f>
        <v>#18</v>
      </c>
      <c r="B15" s="670" t="str">
        <f>PLANTILLA!D22</f>
        <v>L. Calosso</v>
      </c>
      <c r="C15" s="287">
        <f>PLANTILLA!E22</f>
        <v>32</v>
      </c>
      <c r="D15" s="287">
        <f ca="1">PLANTILLA!F22</f>
        <v>27</v>
      </c>
      <c r="E15" s="163">
        <f>PLANTILLA!X22</f>
        <v>0</v>
      </c>
      <c r="F15" s="163">
        <f>PLANTILLA!Y22</f>
        <v>3.02</v>
      </c>
      <c r="G15" s="163">
        <f>PLANTILLA!Z22</f>
        <v>14.277609523809524</v>
      </c>
      <c r="H15" s="163">
        <f>PLANTILLA!AA22</f>
        <v>3.04</v>
      </c>
      <c r="I15" s="163">
        <f>PLANTILLA!AB22</f>
        <v>15.02</v>
      </c>
      <c r="J15" s="163">
        <f>PLANTILLA!AC22</f>
        <v>9.9499999999999993</v>
      </c>
      <c r="K15" s="163">
        <f>PLANTILLA!AD22</f>
        <v>11</v>
      </c>
      <c r="L15" s="614">
        <f>1/23</f>
        <v>4.3478260869565216E-2</v>
      </c>
      <c r="M15" s="333">
        <f t="shared" si="0"/>
        <v>2.1739130434782608E-2</v>
      </c>
      <c r="N15" s="333">
        <f t="shared" si="1"/>
        <v>5.434782608695652E-3</v>
      </c>
      <c r="O15" s="159">
        <v>0</v>
      </c>
      <c r="P15" s="159">
        <f t="shared" si="2"/>
        <v>1.0260869565217391E-2</v>
      </c>
      <c r="Q15" s="159">
        <f t="shared" si="3"/>
        <v>1.5782608695652171E-2</v>
      </c>
      <c r="R15" s="159">
        <f t="shared" si="4"/>
        <v>7.1739130434782614E-3</v>
      </c>
      <c r="S15" s="159">
        <f t="shared" si="5"/>
        <v>7.2608695652173916E-3</v>
      </c>
      <c r="T15" s="159">
        <f t="shared" si="6"/>
        <v>4.3478260869565216E-2</v>
      </c>
      <c r="U15" s="159">
        <f t="shared" si="7"/>
        <v>3.8304347826086958E-2</v>
      </c>
      <c r="V15" s="159">
        <f t="shared" si="8"/>
        <v>1.9782608695652175E-2</v>
      </c>
      <c r="W15" s="159">
        <f t="shared" si="9"/>
        <v>1.7652173913043478E-2</v>
      </c>
      <c r="X15" s="159">
        <f t="shared" si="10"/>
        <v>1.0869565217391304E-2</v>
      </c>
      <c r="Y15" s="405">
        <f>W15</f>
        <v>1.7652173913043478E-2</v>
      </c>
      <c r="Z15" s="405">
        <f>W15</f>
        <v>1.7652173913043478E-2</v>
      </c>
      <c r="AA15" s="405">
        <f t="shared" si="11"/>
        <v>1.7652173913043478E-2</v>
      </c>
    </row>
    <row r="16" spans="1:34" x14ac:dyDescent="0.25">
      <c r="A16" s="287" t="str">
        <f>PLANTILLA!A17</f>
        <v>#12</v>
      </c>
      <c r="B16" s="219" t="str">
        <f>PLANTILLA!D17</f>
        <v>E. Gross</v>
      </c>
      <c r="C16" s="287">
        <f>PLANTILLA!E17</f>
        <v>32</v>
      </c>
      <c r="D16" s="287">
        <f ca="1">PLANTILLA!F17</f>
        <v>58</v>
      </c>
      <c r="E16" s="163">
        <f>PLANTILLA!X17</f>
        <v>0</v>
      </c>
      <c r="F16" s="163">
        <f>PLANTILLA!Y17</f>
        <v>10.549999999999995</v>
      </c>
      <c r="G16" s="163">
        <f>PLANTILLA!Z17</f>
        <v>13</v>
      </c>
      <c r="H16" s="163">
        <f>PLANTILLA!AA17</f>
        <v>5.1399999999999979</v>
      </c>
      <c r="I16" s="163">
        <f>PLANTILLA!AB17</f>
        <v>9.24</v>
      </c>
      <c r="J16" s="163">
        <f>PLANTILLA!AC17</f>
        <v>2.98</v>
      </c>
      <c r="K16" s="163">
        <f>PLANTILLA!AD17</f>
        <v>17.459999999999997</v>
      </c>
      <c r="L16" s="614">
        <f>1/14</f>
        <v>7.1428571428571425E-2</v>
      </c>
      <c r="M16" s="333">
        <f t="shared" si="0"/>
        <v>3.5714285714285712E-2</v>
      </c>
      <c r="N16" s="333">
        <f t="shared" si="1"/>
        <v>8.9285714285714281E-3</v>
      </c>
      <c r="O16" s="159">
        <v>0</v>
      </c>
      <c r="P16" s="159">
        <f t="shared" si="2"/>
        <v>1.6857142857142855E-2</v>
      </c>
      <c r="Q16" s="159">
        <f t="shared" si="3"/>
        <v>2.5928571428571426E-2</v>
      </c>
      <c r="R16" s="159">
        <f t="shared" si="4"/>
        <v>1.1785714285714285E-2</v>
      </c>
      <c r="S16" s="159">
        <f t="shared" si="5"/>
        <v>1.1928571428571429E-2</v>
      </c>
      <c r="T16" s="159">
        <f t="shared" si="6"/>
        <v>7.1428571428571425E-2</v>
      </c>
      <c r="U16" s="159">
        <f t="shared" si="7"/>
        <v>6.2928571428571431E-2</v>
      </c>
      <c r="V16" s="159">
        <f t="shared" si="8"/>
        <v>3.2500000000000001E-2</v>
      </c>
      <c r="W16" s="159">
        <f t="shared" si="9"/>
        <v>2.9000000000000001E-2</v>
      </c>
      <c r="X16" s="159">
        <f t="shared" si="10"/>
        <v>1.7857142857142856E-2</v>
      </c>
      <c r="Y16" s="405">
        <f>P16</f>
        <v>1.6857142857142855E-2</v>
      </c>
      <c r="Z16" s="405">
        <f>P16</f>
        <v>1.6857142857142855E-2</v>
      </c>
      <c r="AA16" s="405">
        <f t="shared" si="11"/>
        <v>1.6857142857142855E-2</v>
      </c>
    </row>
    <row r="17" spans="1:27" x14ac:dyDescent="0.25">
      <c r="A17" s="287" t="str">
        <f>PLANTILLA!A7</f>
        <v>#17</v>
      </c>
      <c r="B17" s="219" t="str">
        <f>PLANTILLA!D7</f>
        <v>B. Pinczehelyi</v>
      </c>
      <c r="C17" s="287">
        <f>PLANTILLA!E7</f>
        <v>31</v>
      </c>
      <c r="D17" s="287">
        <f ca="1">PLANTILLA!F7</f>
        <v>110</v>
      </c>
      <c r="E17" s="163">
        <f>PLANTILLA!X7</f>
        <v>0</v>
      </c>
      <c r="F17" s="163">
        <f>PLANTILLA!Y7</f>
        <v>14.300000000000004</v>
      </c>
      <c r="G17" s="163">
        <f>PLANTILLA!Z7</f>
        <v>9.3793333333333351</v>
      </c>
      <c r="H17" s="163">
        <f>PLANTILLA!AA7</f>
        <v>14.333333333333329</v>
      </c>
      <c r="I17" s="163">
        <f>PLANTILLA!AB7</f>
        <v>9.4199999999999982</v>
      </c>
      <c r="J17" s="163">
        <f>PLANTILLA!AC7</f>
        <v>1.1428571428571428</v>
      </c>
      <c r="K17" s="163">
        <f>PLANTILLA!AD7</f>
        <v>11</v>
      </c>
      <c r="L17" s="614">
        <f>1/11</f>
        <v>9.0909090909090912E-2</v>
      </c>
      <c r="M17" s="333">
        <f t="shared" si="0"/>
        <v>4.5454545454545456E-2</v>
      </c>
      <c r="N17" s="333">
        <f t="shared" si="1"/>
        <v>1.1363636363636364E-2</v>
      </c>
      <c r="O17" s="159">
        <v>0</v>
      </c>
      <c r="P17" s="159">
        <f t="shared" si="2"/>
        <v>2.1454545454545455E-2</v>
      </c>
      <c r="Q17" s="159">
        <f t="shared" si="3"/>
        <v>3.3000000000000002E-2</v>
      </c>
      <c r="R17" s="159">
        <f t="shared" si="4"/>
        <v>1.5000000000000001E-2</v>
      </c>
      <c r="S17" s="159">
        <f t="shared" si="5"/>
        <v>1.5181818181818183E-2</v>
      </c>
      <c r="T17" s="159">
        <f t="shared" si="6"/>
        <v>9.0909090909090912E-2</v>
      </c>
      <c r="U17" s="159">
        <f t="shared" si="7"/>
        <v>8.0090909090909088E-2</v>
      </c>
      <c r="V17" s="159">
        <f t="shared" si="8"/>
        <v>4.1363636363636366E-2</v>
      </c>
      <c r="W17" s="159">
        <f t="shared" si="9"/>
        <v>3.6909090909090912E-2</v>
      </c>
      <c r="X17" s="159">
        <f t="shared" si="10"/>
        <v>2.2727272727272728E-2</v>
      </c>
      <c r="Y17" s="405">
        <f>S17</f>
        <v>1.5181818181818183E-2</v>
      </c>
      <c r="Z17" s="405">
        <f>S17</f>
        <v>1.5181818181818183E-2</v>
      </c>
      <c r="AA17" s="405">
        <f t="shared" si="11"/>
        <v>1.5181818181818183E-2</v>
      </c>
    </row>
    <row r="18" spans="1:27" x14ac:dyDescent="0.25">
      <c r="A18" s="287" t="str">
        <f>PLANTILLA!A23</f>
        <v>#15</v>
      </c>
      <c r="B18" s="287" t="str">
        <f>PLANTILLA!D23</f>
        <v>P .Trivadi</v>
      </c>
      <c r="C18" s="287">
        <f>PLANTILLA!E23</f>
        <v>28</v>
      </c>
      <c r="D18" s="287">
        <f ca="1">PLANTILLA!F23</f>
        <v>101</v>
      </c>
      <c r="E18" s="163">
        <f>PLANTILLA!X23</f>
        <v>0</v>
      </c>
      <c r="F18" s="163">
        <f>PLANTILLA!Y23</f>
        <v>4.0199999999999996</v>
      </c>
      <c r="G18" s="163">
        <f>PLANTILLA!Z23</f>
        <v>5.5738722222222199</v>
      </c>
      <c r="H18" s="163">
        <f>PLANTILLA!AA23</f>
        <v>5.5099999999999989</v>
      </c>
      <c r="I18" s="163">
        <f>PLANTILLA!AB23</f>
        <v>11</v>
      </c>
      <c r="J18" s="163">
        <f>PLANTILLA!AC23</f>
        <v>8.384500000000001</v>
      </c>
      <c r="K18" s="163">
        <f>PLANTILLA!AD23</f>
        <v>13.566666666666668</v>
      </c>
      <c r="L18" s="614">
        <f>1/6</f>
        <v>0.16666666666666666</v>
      </c>
      <c r="M18" s="333">
        <f t="shared" si="0"/>
        <v>8.3333333333333329E-2</v>
      </c>
      <c r="N18" s="333">
        <f t="shared" si="1"/>
        <v>2.0833333333333332E-2</v>
      </c>
      <c r="O18" s="159">
        <v>0</v>
      </c>
      <c r="P18" s="159">
        <f t="shared" si="2"/>
        <v>3.9333333333333331E-2</v>
      </c>
      <c r="Q18" s="159">
        <f t="shared" si="3"/>
        <v>6.0499999999999998E-2</v>
      </c>
      <c r="R18" s="159">
        <f t="shared" si="4"/>
        <v>2.75E-2</v>
      </c>
      <c r="S18" s="159">
        <f t="shared" si="5"/>
        <v>2.7833333333333335E-2</v>
      </c>
      <c r="T18" s="159">
        <f t="shared" si="6"/>
        <v>0.16666666666666666</v>
      </c>
      <c r="U18" s="159">
        <f t="shared" si="7"/>
        <v>0.14683333333333332</v>
      </c>
      <c r="V18" s="159">
        <f t="shared" si="8"/>
        <v>7.5833333333333336E-2</v>
      </c>
      <c r="W18" s="159">
        <f t="shared" si="9"/>
        <v>6.7666666666666667E-2</v>
      </c>
      <c r="X18" s="159">
        <f t="shared" si="10"/>
        <v>4.1666666666666664E-2</v>
      </c>
      <c r="Y18" s="405">
        <v>0</v>
      </c>
      <c r="Z18" s="405">
        <v>0</v>
      </c>
      <c r="AA18" s="405">
        <f t="shared" si="11"/>
        <v>0</v>
      </c>
    </row>
    <row r="19" spans="1:27" x14ac:dyDescent="0.25">
      <c r="A19" s="287" t="str">
        <f>PLANTILLA!A5</f>
        <v>#1</v>
      </c>
      <c r="B19" s="287" t="str">
        <f>PLANTILLA!D5</f>
        <v>D. Gehmacher</v>
      </c>
      <c r="C19" s="287">
        <f>PLANTILLA!E5</f>
        <v>31</v>
      </c>
      <c r="D19" s="287">
        <f ca="1">PLANTILLA!F5</f>
        <v>98</v>
      </c>
      <c r="E19" s="163">
        <f>PLANTILLA!X5</f>
        <v>16.666666666666668</v>
      </c>
      <c r="F19" s="163">
        <f>PLANTILLA!Y5</f>
        <v>12.080559440559444</v>
      </c>
      <c r="G19" s="163">
        <f>PLANTILLA!Z5</f>
        <v>2.0699999999999985</v>
      </c>
      <c r="H19" s="163">
        <f>PLANTILLA!AA5</f>
        <v>2.149999999999999</v>
      </c>
      <c r="I19" s="163">
        <f>PLANTILLA!AB5</f>
        <v>1.0400000000000003</v>
      </c>
      <c r="J19" s="163">
        <f>PLANTILLA!AC5</f>
        <v>0.14055555555555557</v>
      </c>
      <c r="K19" s="163">
        <f>PLANTILLA!AD5</f>
        <v>18.2</v>
      </c>
      <c r="L19" s="614">
        <v>0</v>
      </c>
      <c r="M19" s="333">
        <f t="shared" si="0"/>
        <v>0</v>
      </c>
      <c r="N19" s="333">
        <f t="shared" si="1"/>
        <v>0</v>
      </c>
      <c r="O19" s="159">
        <v>0</v>
      </c>
      <c r="P19" s="159">
        <f t="shared" si="2"/>
        <v>0</v>
      </c>
      <c r="Q19" s="159">
        <f t="shared" si="3"/>
        <v>0</v>
      </c>
      <c r="R19" s="159">
        <f t="shared" si="4"/>
        <v>0</v>
      </c>
      <c r="S19" s="159">
        <f t="shared" si="5"/>
        <v>0</v>
      </c>
      <c r="T19" s="159">
        <f t="shared" si="6"/>
        <v>0</v>
      </c>
      <c r="U19" s="159">
        <f t="shared" si="7"/>
        <v>0</v>
      </c>
      <c r="V19" s="159">
        <f t="shared" si="8"/>
        <v>0</v>
      </c>
      <c r="W19" s="159">
        <f t="shared" si="9"/>
        <v>0</v>
      </c>
      <c r="X19" s="159">
        <f t="shared" si="10"/>
        <v>0</v>
      </c>
      <c r="Y19" s="405">
        <f>O19</f>
        <v>0</v>
      </c>
      <c r="Z19" s="405">
        <f>O19</f>
        <v>0</v>
      </c>
      <c r="AA19" s="405">
        <f t="shared" si="11"/>
        <v>0</v>
      </c>
    </row>
    <row r="20" spans="1:27" x14ac:dyDescent="0.25">
      <c r="A20" s="287" t="str">
        <f>PLANTILLA!A6</f>
        <v>#16</v>
      </c>
      <c r="B20" s="287" t="str">
        <f>PLANTILLA!D6</f>
        <v>T. Hammond</v>
      </c>
      <c r="C20" s="287">
        <f>PLANTILLA!E6</f>
        <v>35</v>
      </c>
      <c r="D20" s="287">
        <f ca="1">PLANTILLA!F6</f>
        <v>107</v>
      </c>
      <c r="E20" s="163">
        <f>PLANTILLA!X6</f>
        <v>9.9499999999999993</v>
      </c>
      <c r="F20" s="163">
        <f>PLANTILLA!Y6</f>
        <v>9.9499999999999993</v>
      </c>
      <c r="G20" s="163">
        <f>PLANTILLA!Z6</f>
        <v>3.99</v>
      </c>
      <c r="H20" s="163">
        <f>PLANTILLA!AA6</f>
        <v>4.95</v>
      </c>
      <c r="I20" s="163">
        <f>PLANTILLA!AB6</f>
        <v>5.95</v>
      </c>
      <c r="J20" s="163">
        <f>PLANTILLA!AC6</f>
        <v>2.95</v>
      </c>
      <c r="K20" s="163">
        <f>PLANTILLA!AD6</f>
        <v>15.778888888888888</v>
      </c>
      <c r="L20" s="614"/>
      <c r="M20" s="333">
        <f t="shared" si="0"/>
        <v>0</v>
      </c>
      <c r="N20" s="333">
        <f t="shared" si="1"/>
        <v>0</v>
      </c>
      <c r="O20" s="159">
        <v>0</v>
      </c>
      <c r="P20" s="159">
        <f t="shared" si="2"/>
        <v>0</v>
      </c>
      <c r="Q20" s="159">
        <f t="shared" si="3"/>
        <v>0</v>
      </c>
      <c r="R20" s="159">
        <f t="shared" si="4"/>
        <v>0</v>
      </c>
      <c r="S20" s="159">
        <f t="shared" si="5"/>
        <v>0</v>
      </c>
      <c r="T20" s="159">
        <f t="shared" si="6"/>
        <v>0</v>
      </c>
      <c r="U20" s="159">
        <f t="shared" si="7"/>
        <v>0</v>
      </c>
      <c r="V20" s="159">
        <f t="shared" si="8"/>
        <v>0</v>
      </c>
      <c r="W20" s="159">
        <f t="shared" si="9"/>
        <v>0</v>
      </c>
      <c r="X20" s="159">
        <f t="shared" si="10"/>
        <v>0</v>
      </c>
      <c r="Y20" s="405"/>
      <c r="Z20" s="405"/>
      <c r="AA20" s="405">
        <f t="shared" si="11"/>
        <v>0</v>
      </c>
    </row>
    <row r="21" spans="1:27" x14ac:dyDescent="0.25">
      <c r="A21" s="287" t="str">
        <f>PLANTILLA!A11</f>
        <v>#13</v>
      </c>
      <c r="B21" s="287" t="str">
        <f>PLANTILLA!D11</f>
        <v>F. Lasprilla</v>
      </c>
      <c r="C21" s="287">
        <f>PLANTILLA!E11</f>
        <v>29</v>
      </c>
      <c r="D21" s="287">
        <f ca="1">PLANTILLA!F11</f>
        <v>5</v>
      </c>
      <c r="E21" s="163">
        <f>PLANTILLA!X11</f>
        <v>0</v>
      </c>
      <c r="F21" s="163">
        <f>PLANTILLA!Y11</f>
        <v>9.6046666666666667</v>
      </c>
      <c r="G21" s="163">
        <f>PLANTILLA!Z11</f>
        <v>7.7607222222222223</v>
      </c>
      <c r="H21" s="163">
        <f>PLANTILLA!AA11</f>
        <v>6.1599999999999984</v>
      </c>
      <c r="I21" s="163">
        <f>PLANTILLA!AB11</f>
        <v>8.8633333333333315</v>
      </c>
      <c r="J21" s="163">
        <f>PLANTILLA!AC11</f>
        <v>3.2566666666666673</v>
      </c>
      <c r="K21" s="163">
        <f>PLANTILLA!AD11</f>
        <v>13.33611111111111</v>
      </c>
      <c r="L21" s="614"/>
      <c r="M21" s="333">
        <f t="shared" si="0"/>
        <v>0</v>
      </c>
      <c r="N21" s="333">
        <f t="shared" si="1"/>
        <v>0</v>
      </c>
      <c r="O21" s="159">
        <v>0</v>
      </c>
      <c r="P21" s="159">
        <f t="shared" si="2"/>
        <v>0</v>
      </c>
      <c r="Q21" s="159">
        <f t="shared" si="3"/>
        <v>0</v>
      </c>
      <c r="R21" s="159">
        <f t="shared" si="4"/>
        <v>0</v>
      </c>
      <c r="S21" s="159">
        <f t="shared" si="5"/>
        <v>0</v>
      </c>
      <c r="T21" s="159">
        <f t="shared" si="6"/>
        <v>0</v>
      </c>
      <c r="U21" s="159">
        <f t="shared" si="7"/>
        <v>0</v>
      </c>
      <c r="V21" s="159">
        <f t="shared" si="8"/>
        <v>0</v>
      </c>
      <c r="W21" s="159">
        <f t="shared" si="9"/>
        <v>0</v>
      </c>
      <c r="X21" s="159">
        <f t="shared" si="10"/>
        <v>0</v>
      </c>
      <c r="Y21" s="405"/>
      <c r="Z21" s="405"/>
      <c r="AA21" s="405">
        <f t="shared" si="11"/>
        <v>0</v>
      </c>
    </row>
    <row r="22" spans="1:27" x14ac:dyDescent="0.25">
      <c r="A22" s="287" t="str">
        <f>PLANTILLA!A19</f>
        <v>#14</v>
      </c>
      <c r="B22" s="287" t="str">
        <f>PLANTILLA!D19</f>
        <v>W. Gelifini</v>
      </c>
      <c r="C22" s="287">
        <f>PLANTILLA!E19</f>
        <v>30</v>
      </c>
      <c r="D22" s="287">
        <f ca="1">PLANTILLA!F19</f>
        <v>95</v>
      </c>
      <c r="E22" s="163">
        <f>PLANTILLA!X19</f>
        <v>0</v>
      </c>
      <c r="F22" s="163">
        <f>PLANTILLA!Y19</f>
        <v>5.6515555555555519</v>
      </c>
      <c r="G22" s="163">
        <f>PLANTILLA!Z19</f>
        <v>10</v>
      </c>
      <c r="H22" s="163">
        <f>PLANTILLA!AA19</f>
        <v>6.95</v>
      </c>
      <c r="I22" s="163">
        <f>PLANTILLA!AB19</f>
        <v>9.2666666666666639</v>
      </c>
      <c r="J22" s="163">
        <f>PLANTILLA!AC19</f>
        <v>3.5417777777777766</v>
      </c>
      <c r="K22" s="163">
        <f>PLANTILLA!AD19</f>
        <v>12.847222222222223</v>
      </c>
      <c r="L22" s="614"/>
      <c r="M22" s="333">
        <f t="shared" si="0"/>
        <v>0</v>
      </c>
      <c r="N22" s="333">
        <f t="shared" si="1"/>
        <v>0</v>
      </c>
      <c r="O22" s="159">
        <v>0</v>
      </c>
      <c r="P22" s="159">
        <f t="shared" si="2"/>
        <v>0</v>
      </c>
      <c r="Q22" s="159">
        <f t="shared" si="3"/>
        <v>0</v>
      </c>
      <c r="R22" s="159">
        <f t="shared" si="4"/>
        <v>0</v>
      </c>
      <c r="S22" s="159">
        <f t="shared" si="5"/>
        <v>0</v>
      </c>
      <c r="T22" s="159">
        <f t="shared" si="6"/>
        <v>0</v>
      </c>
      <c r="U22" s="159">
        <f t="shared" si="7"/>
        <v>0</v>
      </c>
      <c r="V22" s="159">
        <f t="shared" si="8"/>
        <v>0</v>
      </c>
      <c r="W22" s="159">
        <f t="shared" si="9"/>
        <v>0</v>
      </c>
      <c r="X22" s="159">
        <f t="shared" si="10"/>
        <v>0</v>
      </c>
      <c r="Y22" s="405"/>
      <c r="Z22" s="405"/>
      <c r="AA22" s="405">
        <f t="shared" si="11"/>
        <v>0</v>
      </c>
    </row>
    <row r="23" spans="1:27" x14ac:dyDescent="0.25">
      <c r="A23" s="287" t="e">
        <f>PLANTILLA!#REF!</f>
        <v>#REF!</v>
      </c>
      <c r="B23" s="287" t="e">
        <f>PLANTILLA!#REF!</f>
        <v>#REF!</v>
      </c>
      <c r="C23" s="287" t="e">
        <f>PLANTILLA!#REF!</f>
        <v>#REF!</v>
      </c>
      <c r="D23" s="287"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c r="M23" s="333">
        <f t="shared" si="0"/>
        <v>0</v>
      </c>
      <c r="N23" s="333">
        <f t="shared" si="1"/>
        <v>0</v>
      </c>
      <c r="O23" s="159">
        <v>0</v>
      </c>
      <c r="P23" s="159">
        <f t="shared" si="2"/>
        <v>0</v>
      </c>
      <c r="Q23" s="159">
        <f t="shared" si="3"/>
        <v>0</v>
      </c>
      <c r="R23" s="159">
        <f t="shared" si="4"/>
        <v>0</v>
      </c>
      <c r="S23" s="159">
        <f t="shared" si="5"/>
        <v>0</v>
      </c>
      <c r="T23" s="159">
        <f t="shared" si="6"/>
        <v>0</v>
      </c>
      <c r="U23" s="159">
        <f t="shared" si="7"/>
        <v>0</v>
      </c>
      <c r="V23" s="159">
        <f t="shared" si="8"/>
        <v>0</v>
      </c>
      <c r="W23" s="159">
        <f t="shared" si="9"/>
        <v>0</v>
      </c>
      <c r="X23" s="159">
        <f t="shared" si="10"/>
        <v>0</v>
      </c>
      <c r="Y23" s="405"/>
      <c r="Z23" s="405"/>
      <c r="AA23" s="405">
        <f t="shared" si="11"/>
        <v>0</v>
      </c>
    </row>
    <row r="26" spans="1:27" x14ac:dyDescent="0.25">
      <c r="B26" s="290"/>
    </row>
  </sheetData>
  <sortState ref="A4:AA23">
    <sortCondition descending="1" ref="AA4:AA23"/>
    <sortCondition descending="1" ref="Y4:Y23"/>
    <sortCondition descending="1" ref="Z4:Z23"/>
  </sortState>
  <conditionalFormatting sqref="E4:K23">
    <cfRule type="colorScale" priority="2958">
      <colorScale>
        <cfvo type="min"/>
        <cfvo type="max"/>
        <color rgb="FFFCFCFF"/>
        <color rgb="FFF8696B"/>
      </colorScale>
    </cfRule>
  </conditionalFormatting>
  <conditionalFormatting sqref="L4:X23">
    <cfRule type="colorScale" priority="2960">
      <colorScale>
        <cfvo type="min"/>
        <cfvo type="max"/>
        <color rgb="FFFFEF9C"/>
        <color rgb="FF63BE7B"/>
      </colorScale>
    </cfRule>
  </conditionalFormatting>
  <conditionalFormatting sqref="Y4:Y23">
    <cfRule type="dataBar" priority="2962">
      <dataBar>
        <cfvo type="min"/>
        <cfvo type="max"/>
        <color rgb="FF008AEF"/>
      </dataBar>
      <extLst>
        <ext xmlns:x14="http://schemas.microsoft.com/office/spreadsheetml/2009/9/main" uri="{B025F937-C7B1-47D3-B67F-A62EFF666E3E}">
          <x14:id>{AF3F29F3-5112-4F46-8047-24FA2A710116}</x14:id>
        </ext>
      </extLst>
    </cfRule>
  </conditionalFormatting>
  <conditionalFormatting sqref="Z4:AA23">
    <cfRule type="dataBar" priority="2964">
      <dataBar>
        <cfvo type="min"/>
        <cfvo type="max"/>
        <color rgb="FF008AEF"/>
      </dataBar>
      <extLst>
        <ext xmlns:x14="http://schemas.microsoft.com/office/spreadsheetml/2009/9/main" uri="{B025F937-C7B1-47D3-B67F-A62EFF666E3E}">
          <x14:id>{7373C42C-1B38-4BAF-933F-0F5F4BFDDA20}</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F3F29F3-5112-4F46-8047-24FA2A710116}">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7373C42C-1B38-4BAF-933F-0F5F4BFDDA2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Y20" sqref="Y20"/>
    </sheetView>
  </sheetViews>
  <sheetFormatPr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16" bestFit="1" customWidth="1"/>
    <col min="13" max="13" width="6.5703125" style="616" customWidth="1"/>
    <col min="14" max="14" width="8.28515625" style="616" bestFit="1" customWidth="1"/>
    <col min="15" max="15" width="4.5703125" style="616"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9.7109375" customWidth="1"/>
    <col min="27" max="27" width="14.140625" customWidth="1"/>
    <col min="30" max="30" width="6" bestFit="1" customWidth="1"/>
    <col min="31" max="31" width="13.7109375" bestFit="1" customWidth="1"/>
    <col min="33" max="33" width="5.7109375" bestFit="1" customWidth="1"/>
    <col min="34" max="34" width="13.7109375" bestFit="1" customWidth="1"/>
  </cols>
  <sheetData>
    <row r="1" spans="1:34" x14ac:dyDescent="0.25">
      <c r="B1" t="s">
        <v>836</v>
      </c>
      <c r="AD1" t="s">
        <v>837</v>
      </c>
      <c r="AG1" t="s">
        <v>838</v>
      </c>
    </row>
    <row r="2" spans="1:34" x14ac:dyDescent="0.25">
      <c r="B2" s="290">
        <v>42585</v>
      </c>
      <c r="Y2" s="618">
        <f>SUM(Y4:Y22)</f>
        <v>0.24062111707736711</v>
      </c>
      <c r="Z2" s="618">
        <f>SUM(Z4:Z22)</f>
        <v>0.19504062465312466</v>
      </c>
      <c r="AA2" s="618"/>
      <c r="AD2" s="492" t="s">
        <v>276</v>
      </c>
      <c r="AE2" s="492" t="s">
        <v>179</v>
      </c>
      <c r="AG2" s="492" t="s">
        <v>276</v>
      </c>
      <c r="AH2" s="492" t="s">
        <v>179</v>
      </c>
    </row>
    <row r="3" spans="1:34" x14ac:dyDescent="0.25">
      <c r="A3" s="299" t="s">
        <v>868</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1">
        <v>1</v>
      </c>
      <c r="M3" s="611">
        <v>0.5</v>
      </c>
      <c r="N3" s="299" t="s">
        <v>841</v>
      </c>
      <c r="O3" s="613" t="s">
        <v>1</v>
      </c>
      <c r="P3" s="613" t="s">
        <v>804</v>
      </c>
      <c r="Q3" s="612" t="s">
        <v>834</v>
      </c>
      <c r="R3" s="612" t="s">
        <v>840</v>
      </c>
      <c r="S3" s="612" t="s">
        <v>835</v>
      </c>
      <c r="T3" s="612" t="s">
        <v>805</v>
      </c>
      <c r="U3" s="612" t="s">
        <v>503</v>
      </c>
      <c r="V3" s="612" t="s">
        <v>839</v>
      </c>
      <c r="W3" s="613" t="s">
        <v>602</v>
      </c>
      <c r="X3" s="613" t="s">
        <v>66</v>
      </c>
      <c r="Y3" s="615" t="s">
        <v>837</v>
      </c>
      <c r="Z3" s="615" t="s">
        <v>838</v>
      </c>
      <c r="AA3" s="615" t="s">
        <v>843</v>
      </c>
      <c r="AD3" t="s">
        <v>1</v>
      </c>
      <c r="AE3" t="s">
        <v>782</v>
      </c>
      <c r="AG3" t="s">
        <v>1</v>
      </c>
      <c r="AH3" t="s">
        <v>782</v>
      </c>
    </row>
    <row r="4" spans="1:34" x14ac:dyDescent="0.25">
      <c r="A4" s="287" t="str">
        <f>PLANTILLA!A21</f>
        <v>#9</v>
      </c>
      <c r="B4" s="669" t="str">
        <f>PLANTILLA!D21</f>
        <v>J. Limon</v>
      </c>
      <c r="C4" s="287">
        <f>PLANTILLA!E21</f>
        <v>31</v>
      </c>
      <c r="D4" s="287">
        <f ca="1">PLANTILLA!F21</f>
        <v>70</v>
      </c>
      <c r="E4" s="163">
        <f>PLANTILLA!X21</f>
        <v>0</v>
      </c>
      <c r="F4" s="163">
        <f>PLANTILLA!Y21</f>
        <v>6.8376190476190493</v>
      </c>
      <c r="G4" s="163">
        <f>PLANTILLA!Z21</f>
        <v>8.9499999999999993</v>
      </c>
      <c r="H4" s="163">
        <f>PLANTILLA!AA21</f>
        <v>8.7399999999999967</v>
      </c>
      <c r="I4" s="163">
        <f>PLANTILLA!AB21</f>
        <v>10</v>
      </c>
      <c r="J4" s="163">
        <f>PLANTILLA!AC21</f>
        <v>8.5625000000000018</v>
      </c>
      <c r="K4" s="163">
        <f>PLANTILLA!AD21</f>
        <v>18.999999999999993</v>
      </c>
      <c r="L4" s="333">
        <f>1/8</f>
        <v>0.125</v>
      </c>
      <c r="M4" s="333"/>
      <c r="N4" s="333">
        <f t="shared" ref="N4:N23" si="0">L4/6</f>
        <v>2.0833333333333332E-2</v>
      </c>
      <c r="O4" s="163">
        <v>0</v>
      </c>
      <c r="P4" s="159">
        <v>0</v>
      </c>
      <c r="Q4" s="159">
        <v>0</v>
      </c>
      <c r="R4" s="159">
        <v>0</v>
      </c>
      <c r="S4" s="159">
        <v>0</v>
      </c>
      <c r="T4" s="159">
        <f t="shared" ref="T4:T23" si="1">L4*(0.19*0.341+0.25*0.253+0.25*0.127)/(0.19+0.25)</f>
        <v>4.5394886363636359E-2</v>
      </c>
      <c r="U4" s="159">
        <f t="shared" ref="U4:U23" si="2">L4*(0.19*0.241+0.25*0.315)/(0.19+0.25)</f>
        <v>3.5380681818181818E-2</v>
      </c>
      <c r="V4" s="159">
        <f t="shared" ref="V4:V23" si="3">L4*(0.19*0.121+0.25*0.244)/(0.19+0.25)</f>
        <v>2.3860795454545454E-2</v>
      </c>
      <c r="W4" s="159">
        <f t="shared" ref="W4:W15" si="4">L4*(0.19*0.543+0.25*0.25)/(0.19+0.25)</f>
        <v>4.7065340909090911E-2</v>
      </c>
      <c r="X4" s="159">
        <f t="shared" ref="X4:X23" si="5">L4*(0.19*0.369+0.25*0.142)/(0.19+0.25)</f>
        <v>3.0002840909090913E-2</v>
      </c>
      <c r="Y4" s="405">
        <f>W4</f>
        <v>4.7065340909090911E-2</v>
      </c>
      <c r="Z4" s="405"/>
      <c r="AA4" s="405">
        <f t="shared" ref="AA4:AA23" si="6">MAX(Z4,Y4)</f>
        <v>4.7065340909090911E-2</v>
      </c>
      <c r="AD4" t="s">
        <v>803</v>
      </c>
      <c r="AE4" s="634" t="s">
        <v>856</v>
      </c>
      <c r="AG4" t="s">
        <v>803</v>
      </c>
      <c r="AH4" s="634" t="str">
        <f>AE4</f>
        <v>B. Pinczehelyi</v>
      </c>
    </row>
    <row r="5" spans="1:34" x14ac:dyDescent="0.25">
      <c r="A5" s="287" t="str">
        <f>PLANTILLA!A18</f>
        <v>#5</v>
      </c>
      <c r="B5" s="669" t="str">
        <f>PLANTILLA!D18</f>
        <v>L. Bauman</v>
      </c>
      <c r="C5" s="287">
        <f>PLANTILLA!E18</f>
        <v>32</v>
      </c>
      <c r="D5" s="287">
        <f ca="1">PLANTILLA!F18</f>
        <v>33</v>
      </c>
      <c r="E5" s="163">
        <f>PLANTILLA!X18</f>
        <v>0</v>
      </c>
      <c r="F5" s="163">
        <f>PLANTILLA!Y18</f>
        <v>5.4644444444444451</v>
      </c>
      <c r="G5" s="163">
        <f>PLANTILLA!Z18</f>
        <v>14.42664708994708</v>
      </c>
      <c r="H5" s="163">
        <f>PLANTILLA!AA18</f>
        <v>3.5124999999999993</v>
      </c>
      <c r="I5" s="163">
        <f>PLANTILLA!AB18</f>
        <v>9.1400000000000041</v>
      </c>
      <c r="J5" s="163">
        <f>PLANTILLA!AC18</f>
        <v>6.95</v>
      </c>
      <c r="K5" s="163">
        <f>PLANTILLA!AD18</f>
        <v>16.669999999999998</v>
      </c>
      <c r="L5" s="333">
        <f>1/9</f>
        <v>0.1111111111111111</v>
      </c>
      <c r="M5" s="333"/>
      <c r="N5" s="333">
        <f t="shared" si="0"/>
        <v>1.8518518518518517E-2</v>
      </c>
      <c r="O5" s="163">
        <v>0</v>
      </c>
      <c r="P5" s="159">
        <v>0</v>
      </c>
      <c r="Q5" s="159">
        <v>0</v>
      </c>
      <c r="R5" s="159">
        <v>0</v>
      </c>
      <c r="S5" s="159">
        <v>0</v>
      </c>
      <c r="T5" s="159">
        <f t="shared" si="1"/>
        <v>4.0351010101010096E-2</v>
      </c>
      <c r="U5" s="159">
        <f t="shared" si="2"/>
        <v>3.1449494949494949E-2</v>
      </c>
      <c r="V5" s="159">
        <f t="shared" si="3"/>
        <v>2.1209595959595956E-2</v>
      </c>
      <c r="W5" s="159">
        <f t="shared" si="4"/>
        <v>4.183585858585858E-2</v>
      </c>
      <c r="X5" s="159">
        <f t="shared" si="5"/>
        <v>2.6669191919191919E-2</v>
      </c>
      <c r="Y5" s="405">
        <f>T5</f>
        <v>4.0351010101010096E-2</v>
      </c>
      <c r="Z5" s="405">
        <f>W5</f>
        <v>4.183585858585858E-2</v>
      </c>
      <c r="AA5" s="405">
        <f t="shared" si="6"/>
        <v>4.183585858585858E-2</v>
      </c>
      <c r="AD5" t="s">
        <v>804</v>
      </c>
      <c r="AE5" t="s">
        <v>272</v>
      </c>
      <c r="AG5" t="s">
        <v>815</v>
      </c>
      <c r="AH5" t="s">
        <v>273</v>
      </c>
    </row>
    <row r="6" spans="1:34" x14ac:dyDescent="0.25">
      <c r="A6" s="287" t="str">
        <f>PLANTILLA!A15</f>
        <v>#6</v>
      </c>
      <c r="B6" s="669" t="str">
        <f>PLANTILLA!D15</f>
        <v>S. Buschelman</v>
      </c>
      <c r="C6" s="287">
        <f>PLANTILLA!E15</f>
        <v>31</v>
      </c>
      <c r="D6" s="287">
        <f ca="1">PLANTILLA!F15</f>
        <v>30</v>
      </c>
      <c r="E6" s="163">
        <f>PLANTILLA!X15</f>
        <v>0</v>
      </c>
      <c r="F6" s="163">
        <f>PLANTILLA!Y15</f>
        <v>9.3036666666666648</v>
      </c>
      <c r="G6" s="163">
        <f>PLANTILLA!Z15</f>
        <v>14</v>
      </c>
      <c r="H6" s="163">
        <f>PLANTILLA!AA15</f>
        <v>12.945</v>
      </c>
      <c r="I6" s="163">
        <f>PLANTILLA!AB15</f>
        <v>10</v>
      </c>
      <c r="J6" s="163">
        <f>PLANTILLA!AC15</f>
        <v>4.95</v>
      </c>
      <c r="K6" s="163">
        <f>PLANTILLA!AD15</f>
        <v>15.588888888888887</v>
      </c>
      <c r="L6" s="333">
        <f>1/8</f>
        <v>0.125</v>
      </c>
      <c r="M6" s="333"/>
      <c r="N6" s="333">
        <f t="shared" si="0"/>
        <v>2.0833333333333332E-2</v>
      </c>
      <c r="O6" s="163">
        <v>0</v>
      </c>
      <c r="P6" s="159">
        <v>0</v>
      </c>
      <c r="Q6" s="159">
        <v>0</v>
      </c>
      <c r="R6" s="159">
        <v>0</v>
      </c>
      <c r="S6" s="159">
        <v>0</v>
      </c>
      <c r="T6" s="159">
        <f t="shared" si="1"/>
        <v>4.5394886363636359E-2</v>
      </c>
      <c r="U6" s="159">
        <f t="shared" si="2"/>
        <v>3.5380681818181818E-2</v>
      </c>
      <c r="V6" s="159">
        <f t="shared" si="3"/>
        <v>2.3860795454545454E-2</v>
      </c>
      <c r="W6" s="159">
        <f t="shared" si="4"/>
        <v>4.7065340909090911E-2</v>
      </c>
      <c r="X6" s="159">
        <f t="shared" si="5"/>
        <v>3.0002840909090913E-2</v>
      </c>
      <c r="Y6" s="405">
        <f>U6</f>
        <v>3.5380681818181818E-2</v>
      </c>
      <c r="Z6" s="405">
        <f>U6</f>
        <v>3.5380681818181818E-2</v>
      </c>
      <c r="AA6" s="405">
        <f t="shared" si="6"/>
        <v>3.5380681818181818E-2</v>
      </c>
      <c r="AD6" t="s">
        <v>803</v>
      </c>
      <c r="AE6" t="s">
        <v>269</v>
      </c>
      <c r="AG6" t="s">
        <v>814</v>
      </c>
      <c r="AH6" t="s">
        <v>269</v>
      </c>
    </row>
    <row r="7" spans="1:34" x14ac:dyDescent="0.25">
      <c r="A7" s="287" t="str">
        <f>PLANTILLA!A20</f>
        <v>#19</v>
      </c>
      <c r="B7" s="669" t="str">
        <f>PLANTILLA!D20</f>
        <v>G. Kerschl</v>
      </c>
      <c r="C7" s="287">
        <f>PLANTILLA!E20</f>
        <v>30</v>
      </c>
      <c r="D7" s="287">
        <f ca="1">PLANTILLA!F20</f>
        <v>60</v>
      </c>
      <c r="E7" s="163">
        <f>PLANTILLA!X20</f>
        <v>0</v>
      </c>
      <c r="F7" s="163">
        <f>PLANTILLA!Y20</f>
        <v>3</v>
      </c>
      <c r="G7" s="163">
        <f>PLANTILLA!Z20</f>
        <v>15.07</v>
      </c>
      <c r="H7" s="163">
        <f>PLANTILLA!AA20</f>
        <v>12.02</v>
      </c>
      <c r="I7" s="163">
        <f>PLANTILLA!AB20</f>
        <v>13</v>
      </c>
      <c r="J7" s="163">
        <f>PLANTILLA!AC20</f>
        <v>7.95</v>
      </c>
      <c r="K7" s="163">
        <f>PLANTILLA!AD20</f>
        <v>5</v>
      </c>
      <c r="L7" s="333">
        <f>1/14</f>
        <v>7.1428571428571425E-2</v>
      </c>
      <c r="M7" s="333"/>
      <c r="N7" s="333">
        <f t="shared" si="0"/>
        <v>1.1904761904761904E-2</v>
      </c>
      <c r="O7" s="163">
        <v>0</v>
      </c>
      <c r="P7" s="159">
        <v>0</v>
      </c>
      <c r="Q7" s="159">
        <v>0</v>
      </c>
      <c r="R7" s="159">
        <v>0</v>
      </c>
      <c r="S7" s="159">
        <v>0</v>
      </c>
      <c r="T7" s="159">
        <f t="shared" si="1"/>
        <v>2.5939935064935062E-2</v>
      </c>
      <c r="U7" s="159">
        <f t="shared" si="2"/>
        <v>2.0217532467532464E-2</v>
      </c>
      <c r="V7" s="159">
        <f t="shared" si="3"/>
        <v>1.3634740259740258E-2</v>
      </c>
      <c r="W7" s="159">
        <f t="shared" si="4"/>
        <v>2.6894480519480523E-2</v>
      </c>
      <c r="X7" s="159">
        <f t="shared" si="5"/>
        <v>1.7144480519480521E-2</v>
      </c>
      <c r="Y7" s="405">
        <f>W7</f>
        <v>2.6894480519480523E-2</v>
      </c>
      <c r="Z7" s="405">
        <f>W7</f>
        <v>2.6894480519480523E-2</v>
      </c>
      <c r="AA7" s="405">
        <f t="shared" si="6"/>
        <v>2.6894480519480523E-2</v>
      </c>
      <c r="AD7" t="s">
        <v>503</v>
      </c>
      <c r="AE7" t="s">
        <v>618</v>
      </c>
      <c r="AG7" t="s">
        <v>815</v>
      </c>
      <c r="AH7" t="s">
        <v>275</v>
      </c>
    </row>
    <row r="8" spans="1:34" x14ac:dyDescent="0.25">
      <c r="A8" s="287" t="str">
        <f>PLANTILLA!A16</f>
        <v>#4</v>
      </c>
      <c r="B8" s="669" t="str">
        <f>PLANTILLA!D16</f>
        <v>C. Rojas</v>
      </c>
      <c r="C8" s="287">
        <f>PLANTILLA!E16</f>
        <v>33</v>
      </c>
      <c r="D8" s="287">
        <f ca="1">PLANTILLA!F16</f>
        <v>64</v>
      </c>
      <c r="E8" s="163">
        <f>PLANTILLA!X16</f>
        <v>0</v>
      </c>
      <c r="F8" s="163">
        <f>PLANTILLA!Y16</f>
        <v>8.6275555555555581</v>
      </c>
      <c r="G8" s="163">
        <f>PLANTILLA!Z16</f>
        <v>14.333255555555548</v>
      </c>
      <c r="H8" s="163">
        <f>PLANTILLA!AA16</f>
        <v>9.99</v>
      </c>
      <c r="I8" s="163">
        <f>PLANTILLA!AB16</f>
        <v>10</v>
      </c>
      <c r="J8" s="163">
        <f>PLANTILLA!AC16</f>
        <v>3.99</v>
      </c>
      <c r="K8" s="163">
        <f>PLANTILLA!AD16</f>
        <v>17.144444444444439</v>
      </c>
      <c r="L8" s="333">
        <f>1/12</f>
        <v>8.3333333333333329E-2</v>
      </c>
      <c r="M8" s="333"/>
      <c r="N8" s="333">
        <f t="shared" si="0"/>
        <v>1.3888888888888888E-2</v>
      </c>
      <c r="O8" s="163">
        <v>0</v>
      </c>
      <c r="P8" s="159">
        <v>0</v>
      </c>
      <c r="Q8" s="159">
        <v>0</v>
      </c>
      <c r="R8" s="159">
        <v>0</v>
      </c>
      <c r="S8" s="159">
        <v>0</v>
      </c>
      <c r="T8" s="159">
        <f t="shared" si="1"/>
        <v>3.0263257575757572E-2</v>
      </c>
      <c r="U8" s="159">
        <f t="shared" si="2"/>
        <v>2.3587121212121212E-2</v>
      </c>
      <c r="V8" s="159">
        <f t="shared" si="3"/>
        <v>1.5907196969696967E-2</v>
      </c>
      <c r="W8" s="159">
        <f t="shared" si="4"/>
        <v>3.1376893939393941E-2</v>
      </c>
      <c r="X8" s="159">
        <f t="shared" si="5"/>
        <v>2.0001893939393941E-2</v>
      </c>
      <c r="Y8" s="405">
        <f>U8</f>
        <v>2.3587121212121212E-2</v>
      </c>
      <c r="Z8" s="405">
        <f>U8</f>
        <v>2.3587121212121212E-2</v>
      </c>
      <c r="AA8" s="405">
        <f t="shared" si="6"/>
        <v>2.3587121212121212E-2</v>
      </c>
      <c r="AD8" t="s">
        <v>805</v>
      </c>
      <c r="AE8" t="s">
        <v>400</v>
      </c>
      <c r="AG8" t="s">
        <v>803</v>
      </c>
      <c r="AH8" t="s">
        <v>816</v>
      </c>
    </row>
    <row r="9" spans="1:34" x14ac:dyDescent="0.25">
      <c r="A9" s="287" t="str">
        <f>PLANTILLA!A13</f>
        <v>#11</v>
      </c>
      <c r="B9" s="669" t="str">
        <f>PLANTILLA!D13</f>
        <v>K. Helms</v>
      </c>
      <c r="C9" s="287">
        <f>PLANTILLA!E13</f>
        <v>32</v>
      </c>
      <c r="D9" s="287">
        <f ca="1">PLANTILLA!F13</f>
        <v>18</v>
      </c>
      <c r="E9" s="163">
        <f>PLANTILLA!X13</f>
        <v>0</v>
      </c>
      <c r="F9" s="163">
        <f>PLANTILLA!Y13</f>
        <v>7.2503030303030309</v>
      </c>
      <c r="G9" s="163">
        <f>PLANTILLA!Z13</f>
        <v>10.600000000000005</v>
      </c>
      <c r="H9" s="163">
        <f>PLANTILLA!AA13</f>
        <v>13.471666666666668</v>
      </c>
      <c r="I9" s="163">
        <f>PLANTILLA!AB13</f>
        <v>10.359999999999998</v>
      </c>
      <c r="J9" s="163">
        <f>PLANTILLA!AC13</f>
        <v>4.95</v>
      </c>
      <c r="K9" s="163">
        <f>PLANTILLA!AD13</f>
        <v>18</v>
      </c>
      <c r="L9" s="333">
        <f>1/10</f>
        <v>0.1</v>
      </c>
      <c r="M9" s="333"/>
      <c r="N9" s="333">
        <f t="shared" si="0"/>
        <v>1.6666666666666666E-2</v>
      </c>
      <c r="O9" s="163">
        <v>0</v>
      </c>
      <c r="P9" s="159">
        <v>0</v>
      </c>
      <c r="Q9" s="159">
        <v>0</v>
      </c>
      <c r="R9" s="159">
        <v>0</v>
      </c>
      <c r="S9" s="159">
        <v>0</v>
      </c>
      <c r="T9" s="159">
        <f t="shared" si="1"/>
        <v>3.6315909090909093E-2</v>
      </c>
      <c r="U9" s="159">
        <f t="shared" si="2"/>
        <v>2.8304545454545454E-2</v>
      </c>
      <c r="V9" s="159">
        <f t="shared" si="3"/>
        <v>1.9088636363636363E-2</v>
      </c>
      <c r="W9" s="159">
        <f t="shared" si="4"/>
        <v>3.7652272727272729E-2</v>
      </c>
      <c r="X9" s="159">
        <f t="shared" si="5"/>
        <v>2.400227272727273E-2</v>
      </c>
      <c r="Y9" s="405">
        <f>V9</f>
        <v>1.9088636363636363E-2</v>
      </c>
      <c r="Z9" s="405">
        <f>V9</f>
        <v>1.9088636363636363E-2</v>
      </c>
      <c r="AA9" s="405">
        <f t="shared" si="6"/>
        <v>1.9088636363636363E-2</v>
      </c>
      <c r="AD9" t="s">
        <v>503</v>
      </c>
      <c r="AE9" t="s">
        <v>285</v>
      </c>
      <c r="AG9" t="s">
        <v>503</v>
      </c>
      <c r="AH9" t="s">
        <v>285</v>
      </c>
    </row>
    <row r="10" spans="1:34" x14ac:dyDescent="0.25">
      <c r="A10" s="287" t="str">
        <f>PLANTILLA!A14</f>
        <v>#10</v>
      </c>
      <c r="B10" s="669" t="str">
        <f>PLANTILLA!D14</f>
        <v>S. Zobbe</v>
      </c>
      <c r="C10" s="287">
        <f>PLANTILLA!E14</f>
        <v>29</v>
      </c>
      <c r="D10" s="287">
        <f ca="1">PLANTILLA!F14</f>
        <v>33</v>
      </c>
      <c r="E10" s="163">
        <f>PLANTILLA!X14</f>
        <v>0</v>
      </c>
      <c r="F10" s="163">
        <f>PLANTILLA!Y14</f>
        <v>8.3599999999999977</v>
      </c>
      <c r="G10" s="163">
        <f>PLANTILLA!Z14</f>
        <v>12.253412698412699</v>
      </c>
      <c r="H10" s="163">
        <f>PLANTILLA!AA14</f>
        <v>12.36</v>
      </c>
      <c r="I10" s="163">
        <f>PLANTILLA!AB14</f>
        <v>10.24</v>
      </c>
      <c r="J10" s="163">
        <f>PLANTILLA!AC14</f>
        <v>7.4766666666666666</v>
      </c>
      <c r="K10" s="163">
        <f>PLANTILLA!AD14</f>
        <v>16</v>
      </c>
      <c r="L10" s="333">
        <f>1/10</f>
        <v>0.1</v>
      </c>
      <c r="M10" s="333"/>
      <c r="N10" s="333">
        <f t="shared" si="0"/>
        <v>1.6666666666666666E-2</v>
      </c>
      <c r="O10" s="163">
        <v>0</v>
      </c>
      <c r="P10" s="159">
        <v>0</v>
      </c>
      <c r="Q10" s="159">
        <v>0</v>
      </c>
      <c r="R10" s="159">
        <v>0</v>
      </c>
      <c r="S10" s="159">
        <v>0</v>
      </c>
      <c r="T10" s="159">
        <f t="shared" si="1"/>
        <v>3.6315909090909093E-2</v>
      </c>
      <c r="U10" s="159">
        <f t="shared" si="2"/>
        <v>2.8304545454545454E-2</v>
      </c>
      <c r="V10" s="159">
        <f t="shared" si="3"/>
        <v>1.9088636363636363E-2</v>
      </c>
      <c r="W10" s="159">
        <f t="shared" si="4"/>
        <v>3.7652272727272729E-2</v>
      </c>
      <c r="X10" s="159">
        <f t="shared" si="5"/>
        <v>2.400227272727273E-2</v>
      </c>
      <c r="Y10" s="405">
        <f>V10</f>
        <v>1.9088636363636363E-2</v>
      </c>
      <c r="Z10" s="405">
        <f>V10</f>
        <v>1.9088636363636363E-2</v>
      </c>
      <c r="AA10" s="405">
        <f t="shared" si="6"/>
        <v>1.9088636363636363E-2</v>
      </c>
      <c r="AD10" t="s">
        <v>806</v>
      </c>
      <c r="AE10" t="s">
        <v>816</v>
      </c>
      <c r="AG10" t="s">
        <v>503</v>
      </c>
      <c r="AH10" t="s">
        <v>618</v>
      </c>
    </row>
    <row r="11" spans="1:34" x14ac:dyDescent="0.25">
      <c r="A11" s="287" t="str">
        <f>PLANTILLA!A12</f>
        <v>#7</v>
      </c>
      <c r="B11" s="669" t="str">
        <f>PLANTILLA!D12</f>
        <v>E. Romweber</v>
      </c>
      <c r="C11" s="287">
        <f>PLANTILLA!E12</f>
        <v>32</v>
      </c>
      <c r="D11" s="287">
        <f ca="1">PLANTILLA!F12</f>
        <v>71</v>
      </c>
      <c r="E11" s="163">
        <f>PLANTILLA!X12</f>
        <v>0</v>
      </c>
      <c r="F11" s="163">
        <f>PLANTILLA!Y12</f>
        <v>12.06111111111111</v>
      </c>
      <c r="G11" s="163">
        <f>PLANTILLA!Z12</f>
        <v>12.614111111111114</v>
      </c>
      <c r="H11" s="163">
        <f>PLANTILLA!AA12</f>
        <v>13.216666666666669</v>
      </c>
      <c r="I11" s="163">
        <f>PLANTILLA!AB12</f>
        <v>11</v>
      </c>
      <c r="J11" s="163">
        <f>PLANTILLA!AC12</f>
        <v>7.7700000000000005</v>
      </c>
      <c r="K11" s="163">
        <f>PLANTILLA!AD12</f>
        <v>17.529999999999998</v>
      </c>
      <c r="L11" s="333">
        <f>1/13</f>
        <v>7.6923076923076927E-2</v>
      </c>
      <c r="M11" s="333"/>
      <c r="N11" s="333">
        <f t="shared" si="0"/>
        <v>1.2820512820512822E-2</v>
      </c>
      <c r="O11" s="163">
        <v>0</v>
      </c>
      <c r="P11" s="159">
        <v>0</v>
      </c>
      <c r="Q11" s="159">
        <v>0</v>
      </c>
      <c r="R11" s="159">
        <v>0</v>
      </c>
      <c r="S11" s="159">
        <v>0</v>
      </c>
      <c r="T11" s="159">
        <f t="shared" si="1"/>
        <v>2.7935314685314686E-2</v>
      </c>
      <c r="U11" s="159">
        <f t="shared" si="2"/>
        <v>2.1772727272727273E-2</v>
      </c>
      <c r="V11" s="159">
        <f t="shared" si="3"/>
        <v>1.4683566433566433E-2</v>
      </c>
      <c r="W11" s="159">
        <f t="shared" si="4"/>
        <v>2.8963286713286719E-2</v>
      </c>
      <c r="X11" s="159">
        <f t="shared" si="5"/>
        <v>1.8463286713286717E-2</v>
      </c>
      <c r="Y11" s="405">
        <f>V11</f>
        <v>1.4683566433566433E-2</v>
      </c>
      <c r="Z11" s="405">
        <f>V11</f>
        <v>1.4683566433566433E-2</v>
      </c>
      <c r="AA11" s="405">
        <f t="shared" si="6"/>
        <v>1.4683566433566433E-2</v>
      </c>
      <c r="AD11" t="s">
        <v>806</v>
      </c>
      <c r="AE11" t="s">
        <v>298</v>
      </c>
      <c r="AG11" t="s">
        <v>806</v>
      </c>
      <c r="AH11" t="s">
        <v>298</v>
      </c>
    </row>
    <row r="12" spans="1:34" x14ac:dyDescent="0.25">
      <c r="A12" s="287" t="str">
        <f>PLANTILLA!A22</f>
        <v>#18</v>
      </c>
      <c r="B12" s="669" t="str">
        <f>PLANTILLA!D22</f>
        <v>L. Calosso</v>
      </c>
      <c r="C12" s="287">
        <f>PLANTILLA!E22</f>
        <v>32</v>
      </c>
      <c r="D12" s="287">
        <f ca="1">PLANTILLA!F22</f>
        <v>27</v>
      </c>
      <c r="E12" s="163">
        <f>PLANTILLA!X22</f>
        <v>0</v>
      </c>
      <c r="F12" s="163">
        <f>PLANTILLA!Y22</f>
        <v>3.02</v>
      </c>
      <c r="G12" s="163">
        <f>PLANTILLA!Z22</f>
        <v>14.277609523809524</v>
      </c>
      <c r="H12" s="163">
        <f>PLANTILLA!AA22</f>
        <v>3.04</v>
      </c>
      <c r="I12" s="163">
        <f>PLANTILLA!AB22</f>
        <v>15.02</v>
      </c>
      <c r="J12" s="163">
        <f>PLANTILLA!AC22</f>
        <v>9.9499999999999993</v>
      </c>
      <c r="K12" s="163">
        <f>PLANTILLA!AD22</f>
        <v>11</v>
      </c>
      <c r="L12" s="333">
        <f>1/26</f>
        <v>3.8461538461538464E-2</v>
      </c>
      <c r="M12" s="333"/>
      <c r="N12" s="333">
        <f t="shared" si="0"/>
        <v>6.4102564102564109E-3</v>
      </c>
      <c r="O12" s="163">
        <v>0</v>
      </c>
      <c r="P12" s="159">
        <v>0</v>
      </c>
      <c r="Q12" s="159">
        <v>0</v>
      </c>
      <c r="R12" s="159">
        <v>0</v>
      </c>
      <c r="S12" s="159">
        <v>0</v>
      </c>
      <c r="T12" s="159">
        <f t="shared" si="1"/>
        <v>1.3967657342657343E-2</v>
      </c>
      <c r="U12" s="159">
        <f t="shared" si="2"/>
        <v>1.0886363636363637E-2</v>
      </c>
      <c r="V12" s="159">
        <f t="shared" si="3"/>
        <v>7.3417832167832165E-3</v>
      </c>
      <c r="W12" s="159">
        <f t="shared" si="4"/>
        <v>1.448164335664336E-2</v>
      </c>
      <c r="X12" s="159">
        <f t="shared" si="5"/>
        <v>9.2316433566433584E-3</v>
      </c>
      <c r="Y12" s="405">
        <f>W12</f>
        <v>1.448164335664336E-2</v>
      </c>
      <c r="Z12" s="405">
        <f>W12</f>
        <v>1.448164335664336E-2</v>
      </c>
      <c r="AA12" s="405">
        <f t="shared" si="6"/>
        <v>1.448164335664336E-2</v>
      </c>
      <c r="AD12" t="s">
        <v>66</v>
      </c>
      <c r="AE12" t="s">
        <v>287</v>
      </c>
      <c r="AG12" t="s">
        <v>806</v>
      </c>
      <c r="AH12" t="s">
        <v>507</v>
      </c>
    </row>
    <row r="13" spans="1:34" x14ac:dyDescent="0.25">
      <c r="A13" s="287" t="str">
        <f>PLANTILLA!A23</f>
        <v>#15</v>
      </c>
      <c r="B13" s="669" t="str">
        <f>PLANTILLA!D23</f>
        <v>P .Trivadi</v>
      </c>
      <c r="C13" s="287">
        <f>PLANTILLA!E23</f>
        <v>28</v>
      </c>
      <c r="D13" s="287">
        <f ca="1">PLANTILLA!F23</f>
        <v>101</v>
      </c>
      <c r="E13" s="163">
        <f>PLANTILLA!X23</f>
        <v>0</v>
      </c>
      <c r="F13" s="163">
        <f>PLANTILLA!Y23</f>
        <v>4.0199999999999996</v>
      </c>
      <c r="G13" s="163">
        <f>PLANTILLA!Z23</f>
        <v>5.5738722222222199</v>
      </c>
      <c r="H13" s="163">
        <f>PLANTILLA!AA23</f>
        <v>5.5099999999999989</v>
      </c>
      <c r="I13" s="163">
        <f>PLANTILLA!AB23</f>
        <v>11</v>
      </c>
      <c r="J13" s="163">
        <f>PLANTILLA!AC23</f>
        <v>8.384500000000001</v>
      </c>
      <c r="K13" s="163">
        <f>PLANTILLA!AD23</f>
        <v>13.566666666666668</v>
      </c>
      <c r="L13" s="333">
        <f>1/9</f>
        <v>0.1111111111111111</v>
      </c>
      <c r="M13" s="333"/>
      <c r="N13" s="333">
        <f t="shared" si="0"/>
        <v>1.8518518518518517E-2</v>
      </c>
      <c r="O13" s="163">
        <v>0</v>
      </c>
      <c r="P13" s="159">
        <v>0</v>
      </c>
      <c r="Q13" s="159">
        <v>0</v>
      </c>
      <c r="R13" s="159">
        <v>0</v>
      </c>
      <c r="S13" s="159">
        <v>0</v>
      </c>
      <c r="T13" s="159">
        <f t="shared" si="1"/>
        <v>4.0351010101010096E-2</v>
      </c>
      <c r="U13" s="159">
        <f t="shared" si="2"/>
        <v>3.1449494949494949E-2</v>
      </c>
      <c r="V13" s="159">
        <f t="shared" si="3"/>
        <v>2.1209595959595956E-2</v>
      </c>
      <c r="W13" s="159">
        <f t="shared" si="4"/>
        <v>4.183585858585858E-2</v>
      </c>
      <c r="X13" s="159">
        <f t="shared" si="5"/>
        <v>2.6669191919191919E-2</v>
      </c>
      <c r="Y13" s="405">
        <v>0</v>
      </c>
      <c r="Z13" s="405">
        <v>0</v>
      </c>
      <c r="AA13" s="405">
        <f t="shared" si="6"/>
        <v>0</v>
      </c>
      <c r="AD13" t="s">
        <v>66</v>
      </c>
      <c r="AE13" t="s">
        <v>507</v>
      </c>
      <c r="AG13" t="s">
        <v>66</v>
      </c>
      <c r="AH13" t="s">
        <v>287</v>
      </c>
    </row>
    <row r="14" spans="1:34" x14ac:dyDescent="0.25">
      <c r="A14" s="287" t="str">
        <f>PLANTILLA!A5</f>
        <v>#1</v>
      </c>
      <c r="B14" s="287" t="str">
        <f>PLANTILLA!D5</f>
        <v>D. Gehmacher</v>
      </c>
      <c r="C14" s="287">
        <f>PLANTILLA!E5</f>
        <v>31</v>
      </c>
      <c r="D14" s="287">
        <f ca="1">PLANTILLA!F5</f>
        <v>98</v>
      </c>
      <c r="E14" s="163">
        <f>PLANTILLA!X5</f>
        <v>16.666666666666668</v>
      </c>
      <c r="F14" s="163">
        <f>PLANTILLA!Y5</f>
        <v>12.080559440559444</v>
      </c>
      <c r="G14" s="163">
        <f>PLANTILLA!Z5</f>
        <v>2.0699999999999985</v>
      </c>
      <c r="H14" s="163">
        <f>PLANTILLA!AA5</f>
        <v>2.149999999999999</v>
      </c>
      <c r="I14" s="163">
        <f>PLANTILLA!AB5</f>
        <v>1.0400000000000003</v>
      </c>
      <c r="J14" s="163">
        <f>PLANTILLA!AC5</f>
        <v>0.14055555555555557</v>
      </c>
      <c r="K14" s="163">
        <f>PLANTILLA!AD5</f>
        <v>18.2</v>
      </c>
      <c r="L14" s="333">
        <v>0</v>
      </c>
      <c r="M14" s="333"/>
      <c r="N14" s="333">
        <f t="shared" si="0"/>
        <v>0</v>
      </c>
      <c r="O14" s="163">
        <v>0</v>
      </c>
      <c r="P14" s="159">
        <v>0</v>
      </c>
      <c r="Q14" s="159">
        <v>0</v>
      </c>
      <c r="R14" s="159">
        <v>0</v>
      </c>
      <c r="S14" s="159">
        <v>0</v>
      </c>
      <c r="T14" s="159">
        <f t="shared" si="1"/>
        <v>0</v>
      </c>
      <c r="U14" s="159">
        <f t="shared" si="2"/>
        <v>0</v>
      </c>
      <c r="V14" s="159">
        <f t="shared" si="3"/>
        <v>0</v>
      </c>
      <c r="W14" s="159">
        <f t="shared" si="4"/>
        <v>0</v>
      </c>
      <c r="X14" s="159">
        <f t="shared" si="5"/>
        <v>0</v>
      </c>
      <c r="Y14" s="405">
        <f>L14</f>
        <v>0</v>
      </c>
      <c r="Z14" s="405">
        <f>L14</f>
        <v>0</v>
      </c>
      <c r="AA14" s="405">
        <f t="shared" si="6"/>
        <v>0</v>
      </c>
    </row>
    <row r="15" spans="1:34" x14ac:dyDescent="0.25">
      <c r="A15" s="287" t="str">
        <f>PLANTILLA!A7</f>
        <v>#17</v>
      </c>
      <c r="B15" s="669" t="str">
        <f>PLANTILLA!D7</f>
        <v>B. Pinczehelyi</v>
      </c>
      <c r="C15" s="287">
        <f>PLANTILLA!E7</f>
        <v>31</v>
      </c>
      <c r="D15" s="287">
        <f ca="1">PLANTILLA!F7</f>
        <v>110</v>
      </c>
      <c r="E15" s="163">
        <f>PLANTILLA!X7</f>
        <v>0</v>
      </c>
      <c r="F15" s="163">
        <f>PLANTILLA!Y7</f>
        <v>14.300000000000004</v>
      </c>
      <c r="G15" s="163">
        <f>PLANTILLA!Z7</f>
        <v>9.3793333333333351</v>
      </c>
      <c r="H15" s="163">
        <f>PLANTILLA!AA7</f>
        <v>14.333333333333329</v>
      </c>
      <c r="I15" s="163">
        <f>PLANTILLA!AB7</f>
        <v>9.4199999999999982</v>
      </c>
      <c r="J15" s="163">
        <f>PLANTILLA!AC7</f>
        <v>1.1428571428571428</v>
      </c>
      <c r="K15" s="163">
        <f>PLANTILLA!AD7</f>
        <v>11</v>
      </c>
      <c r="L15" s="333">
        <f>1/10</f>
        <v>0.1</v>
      </c>
      <c r="M15" s="333"/>
      <c r="N15" s="333">
        <f t="shared" si="0"/>
        <v>1.6666666666666666E-2</v>
      </c>
      <c r="O15" s="163">
        <v>0</v>
      </c>
      <c r="P15" s="159">
        <v>0</v>
      </c>
      <c r="Q15" s="159">
        <v>0</v>
      </c>
      <c r="R15" s="159">
        <v>0</v>
      </c>
      <c r="S15" s="159">
        <v>0</v>
      </c>
      <c r="T15" s="159">
        <f t="shared" si="1"/>
        <v>3.6315909090909093E-2</v>
      </c>
      <c r="U15" s="159">
        <f t="shared" si="2"/>
        <v>2.8304545454545454E-2</v>
      </c>
      <c r="V15" s="159">
        <f t="shared" si="3"/>
        <v>1.9088636363636363E-2</v>
      </c>
      <c r="W15" s="159">
        <f t="shared" si="4"/>
        <v>3.7652272727272729E-2</v>
      </c>
      <c r="X15" s="159">
        <f t="shared" si="5"/>
        <v>2.400227272727273E-2</v>
      </c>
      <c r="Y15" s="405">
        <v>0</v>
      </c>
      <c r="Z15" s="405">
        <v>0</v>
      </c>
      <c r="AA15" s="405">
        <f t="shared" si="6"/>
        <v>0</v>
      </c>
    </row>
    <row r="16" spans="1:34" x14ac:dyDescent="0.25">
      <c r="A16" s="287" t="str">
        <f>PLANTILLA!A8</f>
        <v>#8</v>
      </c>
      <c r="B16" s="669" t="str">
        <f>PLANTILLA!D8</f>
        <v>D. Toh</v>
      </c>
      <c r="C16" s="287">
        <f>PLANTILLA!E8</f>
        <v>33</v>
      </c>
      <c r="D16" s="287">
        <f ca="1">PLANTILLA!F8</f>
        <v>43</v>
      </c>
      <c r="E16" s="163">
        <f>PLANTILLA!X8</f>
        <v>0</v>
      </c>
      <c r="F16" s="163">
        <f>PLANTILLA!Y8</f>
        <v>11.077333333333334</v>
      </c>
      <c r="G16" s="163">
        <f>PLANTILLA!Z8</f>
        <v>6.2194444444444406</v>
      </c>
      <c r="H16" s="163">
        <f>PLANTILLA!AA8</f>
        <v>5.95</v>
      </c>
      <c r="I16" s="163">
        <f>PLANTILLA!AB8</f>
        <v>7.7227777777777789</v>
      </c>
      <c r="J16" s="163">
        <f>PLANTILLA!AC8</f>
        <v>3.9933333333333318</v>
      </c>
      <c r="K16" s="163">
        <f>PLANTILLA!AD8</f>
        <v>15.587777777777776</v>
      </c>
      <c r="L16" s="333">
        <f>1/8</f>
        <v>0.125</v>
      </c>
      <c r="M16" s="333"/>
      <c r="N16" s="333">
        <f t="shared" si="0"/>
        <v>2.0833333333333332E-2</v>
      </c>
      <c r="O16" s="163">
        <v>0</v>
      </c>
      <c r="P16" s="159">
        <v>0</v>
      </c>
      <c r="Q16" s="159">
        <v>0</v>
      </c>
      <c r="R16" s="159">
        <v>0</v>
      </c>
      <c r="S16" s="159">
        <v>0</v>
      </c>
      <c r="T16" s="159">
        <f t="shared" si="1"/>
        <v>4.5394886363636359E-2</v>
      </c>
      <c r="U16" s="159">
        <f t="shared" si="2"/>
        <v>3.5380681818181818E-2</v>
      </c>
      <c r="V16" s="159">
        <f t="shared" si="3"/>
        <v>2.3860795454545454E-2</v>
      </c>
      <c r="W16" s="159">
        <f>L16*(0.19*0.543+0.25*0.324)/(0.19+0.25)</f>
        <v>5.232102272727273E-2</v>
      </c>
      <c r="X16" s="159">
        <f t="shared" si="5"/>
        <v>3.0002840909090913E-2</v>
      </c>
      <c r="Y16" s="405">
        <v>0</v>
      </c>
      <c r="Z16" s="405">
        <v>0</v>
      </c>
      <c r="AA16" s="405">
        <f t="shared" si="6"/>
        <v>0</v>
      </c>
    </row>
    <row r="17" spans="1:27" x14ac:dyDescent="0.25">
      <c r="A17" s="287" t="str">
        <f>PLANTILLA!A9</f>
        <v>#2</v>
      </c>
      <c r="B17" s="669" t="str">
        <f>PLANTILLA!D9</f>
        <v>E. Toney</v>
      </c>
      <c r="C17" s="287">
        <f>PLANTILLA!E9</f>
        <v>32</v>
      </c>
      <c r="D17" s="287">
        <f ca="1">PLANTILLA!F9</f>
        <v>109</v>
      </c>
      <c r="E17" s="163">
        <f>PLANTILLA!X9</f>
        <v>0</v>
      </c>
      <c r="F17" s="163">
        <f>PLANTILLA!Y9</f>
        <v>12.200000000000005</v>
      </c>
      <c r="G17" s="163">
        <f>PLANTILLA!Z9</f>
        <v>13.261555555555553</v>
      </c>
      <c r="H17" s="163">
        <f>PLANTILLA!AA9</f>
        <v>9.8750000000000053</v>
      </c>
      <c r="I17" s="163">
        <f>PLANTILLA!AB9</f>
        <v>9.6</v>
      </c>
      <c r="J17" s="163">
        <f>PLANTILLA!AC9</f>
        <v>3.6816666666666658</v>
      </c>
      <c r="K17" s="163">
        <f>PLANTILLA!AD9</f>
        <v>17.177777777777774</v>
      </c>
      <c r="L17" s="333">
        <f>1/11</f>
        <v>9.0909090909090912E-2</v>
      </c>
      <c r="M17" s="333"/>
      <c r="N17" s="333">
        <f t="shared" si="0"/>
        <v>1.5151515151515152E-2</v>
      </c>
      <c r="O17" s="163">
        <v>0</v>
      </c>
      <c r="P17" s="159">
        <v>0</v>
      </c>
      <c r="Q17" s="159">
        <v>0</v>
      </c>
      <c r="R17" s="159">
        <v>0</v>
      </c>
      <c r="S17" s="159">
        <v>0</v>
      </c>
      <c r="T17" s="159">
        <f t="shared" si="1"/>
        <v>3.3014462809917357E-2</v>
      </c>
      <c r="U17" s="159">
        <f t="shared" si="2"/>
        <v>2.5731404958677685E-2</v>
      </c>
      <c r="V17" s="159">
        <f t="shared" si="3"/>
        <v>1.7353305785123965E-2</v>
      </c>
      <c r="W17" s="159">
        <f>L17*(0.19*0.543+0.25*0.324)/(0.19+0.25)</f>
        <v>3.8051652892561988E-2</v>
      </c>
      <c r="X17" s="159">
        <f t="shared" si="5"/>
        <v>2.1820247933884301E-2</v>
      </c>
      <c r="Y17" s="405">
        <f>S17</f>
        <v>0</v>
      </c>
      <c r="Z17" s="405">
        <f>S17</f>
        <v>0</v>
      </c>
      <c r="AA17" s="405">
        <f t="shared" si="6"/>
        <v>0</v>
      </c>
    </row>
    <row r="18" spans="1:27" x14ac:dyDescent="0.25">
      <c r="A18" s="287" t="str">
        <f>PLANTILLA!A17</f>
        <v>#12</v>
      </c>
      <c r="B18" s="669" t="str">
        <f>PLANTILLA!D17</f>
        <v>E. Gross</v>
      </c>
      <c r="C18" s="287">
        <f>PLANTILLA!E17</f>
        <v>32</v>
      </c>
      <c r="D18" s="287">
        <f ca="1">PLANTILLA!F17</f>
        <v>58</v>
      </c>
      <c r="E18" s="163">
        <f>PLANTILLA!X17</f>
        <v>0</v>
      </c>
      <c r="F18" s="163">
        <f>PLANTILLA!Y17</f>
        <v>10.549999999999995</v>
      </c>
      <c r="G18" s="163">
        <f>PLANTILLA!Z17</f>
        <v>13</v>
      </c>
      <c r="H18" s="163">
        <f>PLANTILLA!AA17</f>
        <v>5.1399999999999979</v>
      </c>
      <c r="I18" s="163">
        <f>PLANTILLA!AB17</f>
        <v>9.24</v>
      </c>
      <c r="J18" s="163">
        <f>PLANTILLA!AC17</f>
        <v>2.98</v>
      </c>
      <c r="K18" s="163">
        <f>PLANTILLA!AD17</f>
        <v>17.459999999999997</v>
      </c>
      <c r="L18" s="333">
        <f>1/10</f>
        <v>0.1</v>
      </c>
      <c r="M18" s="333"/>
      <c r="N18" s="333">
        <f t="shared" si="0"/>
        <v>1.6666666666666666E-2</v>
      </c>
      <c r="O18" s="163">
        <v>0</v>
      </c>
      <c r="P18" s="159">
        <v>0</v>
      </c>
      <c r="Q18" s="159">
        <v>0</v>
      </c>
      <c r="R18" s="159">
        <v>0</v>
      </c>
      <c r="S18" s="159">
        <v>0</v>
      </c>
      <c r="T18" s="159">
        <f t="shared" si="1"/>
        <v>3.6315909090909093E-2</v>
      </c>
      <c r="U18" s="159">
        <f t="shared" si="2"/>
        <v>2.8304545454545454E-2</v>
      </c>
      <c r="V18" s="159">
        <f t="shared" si="3"/>
        <v>1.9088636363636363E-2</v>
      </c>
      <c r="W18" s="159">
        <f>L18*(0.19*0.543+0.25*0.25)/(0.19+0.25)</f>
        <v>3.7652272727272729E-2</v>
      </c>
      <c r="X18" s="159">
        <f t="shared" si="5"/>
        <v>2.400227272727273E-2</v>
      </c>
      <c r="Y18" s="405">
        <v>0</v>
      </c>
      <c r="Z18" s="405">
        <v>0</v>
      </c>
      <c r="AA18" s="405">
        <f t="shared" si="6"/>
        <v>0</v>
      </c>
    </row>
    <row r="19" spans="1:27" x14ac:dyDescent="0.25">
      <c r="A19" s="287" t="str">
        <f>PLANTILLA!A10</f>
        <v>#3</v>
      </c>
      <c r="B19" s="669" t="str">
        <f>PLANTILLA!D10</f>
        <v>B. Bartolache</v>
      </c>
      <c r="C19" s="287">
        <f>PLANTILLA!E10</f>
        <v>32</v>
      </c>
      <c r="D19" s="287">
        <f ca="1">PLANTILLA!F10</f>
        <v>94</v>
      </c>
      <c r="E19" s="163">
        <f>PLANTILLA!X10</f>
        <v>0</v>
      </c>
      <c r="F19" s="163">
        <f>PLANTILLA!Y10</f>
        <v>12</v>
      </c>
      <c r="G19" s="163">
        <f>PLANTILLA!Z10</f>
        <v>6.95</v>
      </c>
      <c r="H19" s="163">
        <f>PLANTILLA!AA10</f>
        <v>7.5000000000000018</v>
      </c>
      <c r="I19" s="163">
        <f>PLANTILLA!AB10</f>
        <v>8.9499999999999993</v>
      </c>
      <c r="J19" s="163">
        <f>PLANTILLA!AC10</f>
        <v>3.95</v>
      </c>
      <c r="K19" s="163">
        <f>PLANTILLA!AD10</f>
        <v>16</v>
      </c>
      <c r="L19" s="333">
        <f>1/10</f>
        <v>0.1</v>
      </c>
      <c r="M19" s="333"/>
      <c r="N19" s="333">
        <f t="shared" si="0"/>
        <v>1.6666666666666666E-2</v>
      </c>
      <c r="O19" s="163">
        <v>0</v>
      </c>
      <c r="P19" s="159">
        <v>0</v>
      </c>
      <c r="Q19" s="159">
        <v>0</v>
      </c>
      <c r="R19" s="159">
        <v>0</v>
      </c>
      <c r="S19" s="159">
        <v>0</v>
      </c>
      <c r="T19" s="159">
        <f t="shared" si="1"/>
        <v>3.6315909090909093E-2</v>
      </c>
      <c r="U19" s="159">
        <f t="shared" si="2"/>
        <v>2.8304545454545454E-2</v>
      </c>
      <c r="V19" s="159">
        <f t="shared" si="3"/>
        <v>1.9088636363636363E-2</v>
      </c>
      <c r="W19" s="159">
        <f>L19*(0.19*0.543+0.25*0.324)/(0.19+0.25)</f>
        <v>4.1856818181818183E-2</v>
      </c>
      <c r="X19" s="159">
        <f t="shared" si="5"/>
        <v>2.400227272727273E-2</v>
      </c>
      <c r="Y19" s="405">
        <v>0</v>
      </c>
      <c r="Z19" s="405">
        <f>S19</f>
        <v>0</v>
      </c>
      <c r="AA19" s="405">
        <f t="shared" si="6"/>
        <v>0</v>
      </c>
    </row>
    <row r="20" spans="1:27" x14ac:dyDescent="0.25">
      <c r="A20" s="287" t="str">
        <f>PLANTILLA!A6</f>
        <v>#16</v>
      </c>
      <c r="B20" s="287" t="str">
        <f>PLANTILLA!D6</f>
        <v>T. Hammond</v>
      </c>
      <c r="C20" s="287">
        <f>PLANTILLA!E6</f>
        <v>35</v>
      </c>
      <c r="D20" s="287">
        <f ca="1">PLANTILLA!F6</f>
        <v>107</v>
      </c>
      <c r="E20" s="163">
        <f>PLANTILLA!X6</f>
        <v>9.9499999999999993</v>
      </c>
      <c r="F20" s="163">
        <f>PLANTILLA!Y6</f>
        <v>9.9499999999999993</v>
      </c>
      <c r="G20" s="163">
        <f>PLANTILLA!Z6</f>
        <v>3.99</v>
      </c>
      <c r="H20" s="163">
        <f>PLANTILLA!AA6</f>
        <v>4.95</v>
      </c>
      <c r="I20" s="163">
        <f>PLANTILLA!AB6</f>
        <v>5.95</v>
      </c>
      <c r="J20" s="163">
        <f>PLANTILLA!AC6</f>
        <v>2.95</v>
      </c>
      <c r="K20" s="163">
        <f>PLANTILLA!AD6</f>
        <v>15.778888888888888</v>
      </c>
      <c r="L20" s="333"/>
      <c r="M20" s="333"/>
      <c r="N20" s="333">
        <f t="shared" si="0"/>
        <v>0</v>
      </c>
      <c r="O20" s="163">
        <v>0</v>
      </c>
      <c r="P20" s="159">
        <v>0</v>
      </c>
      <c r="Q20" s="159">
        <v>0</v>
      </c>
      <c r="R20" s="159">
        <v>0</v>
      </c>
      <c r="S20" s="159">
        <v>0</v>
      </c>
      <c r="T20" s="159">
        <f t="shared" si="1"/>
        <v>0</v>
      </c>
      <c r="U20" s="159">
        <f t="shared" si="2"/>
        <v>0</v>
      </c>
      <c r="V20" s="159">
        <f t="shared" si="3"/>
        <v>0</v>
      </c>
      <c r="W20" s="159">
        <f>L20*(0.19*0.543+0.25*0.25)/(0.19+0.25)</f>
        <v>0</v>
      </c>
      <c r="X20" s="159">
        <f t="shared" si="5"/>
        <v>0</v>
      </c>
      <c r="Y20" s="405"/>
      <c r="Z20" s="405"/>
      <c r="AA20" s="405">
        <f t="shared" si="6"/>
        <v>0</v>
      </c>
    </row>
    <row r="21" spans="1:27" x14ac:dyDescent="0.25">
      <c r="A21" s="287" t="str">
        <f>PLANTILLA!A11</f>
        <v>#13</v>
      </c>
      <c r="B21" s="287" t="str">
        <f>PLANTILLA!D11</f>
        <v>F. Lasprilla</v>
      </c>
      <c r="C21" s="287">
        <f>PLANTILLA!E11</f>
        <v>29</v>
      </c>
      <c r="D21" s="287">
        <f ca="1">PLANTILLA!F11</f>
        <v>5</v>
      </c>
      <c r="E21" s="163">
        <f>PLANTILLA!X11</f>
        <v>0</v>
      </c>
      <c r="F21" s="163">
        <f>PLANTILLA!Y11</f>
        <v>9.6046666666666667</v>
      </c>
      <c r="G21" s="163">
        <f>PLANTILLA!Z11</f>
        <v>7.7607222222222223</v>
      </c>
      <c r="H21" s="163">
        <f>PLANTILLA!AA11</f>
        <v>6.1599999999999984</v>
      </c>
      <c r="I21" s="163">
        <f>PLANTILLA!AB11</f>
        <v>8.8633333333333315</v>
      </c>
      <c r="J21" s="163">
        <f>PLANTILLA!AC11</f>
        <v>3.2566666666666673</v>
      </c>
      <c r="K21" s="163">
        <f>PLANTILLA!AD11</f>
        <v>13.33611111111111</v>
      </c>
      <c r="L21" s="333"/>
      <c r="M21" s="333"/>
      <c r="N21" s="333">
        <f t="shared" si="0"/>
        <v>0</v>
      </c>
      <c r="O21" s="163">
        <v>0</v>
      </c>
      <c r="P21" s="159">
        <v>0</v>
      </c>
      <c r="Q21" s="159">
        <v>0</v>
      </c>
      <c r="R21" s="159">
        <v>0</v>
      </c>
      <c r="S21" s="159">
        <v>0</v>
      </c>
      <c r="T21" s="159">
        <f t="shared" si="1"/>
        <v>0</v>
      </c>
      <c r="U21" s="159">
        <f t="shared" si="2"/>
        <v>0</v>
      </c>
      <c r="V21" s="159">
        <f t="shared" si="3"/>
        <v>0</v>
      </c>
      <c r="W21" s="159">
        <f>L21*(0.19*0.543+0.25*0.25)/(0.19+0.25)</f>
        <v>0</v>
      </c>
      <c r="X21" s="159">
        <f t="shared" si="5"/>
        <v>0</v>
      </c>
      <c r="Y21" s="405"/>
      <c r="Z21" s="405"/>
      <c r="AA21" s="405">
        <f t="shared" si="6"/>
        <v>0</v>
      </c>
    </row>
    <row r="22" spans="1:27" x14ac:dyDescent="0.25">
      <c r="A22" s="287" t="str">
        <f>PLANTILLA!A19</f>
        <v>#14</v>
      </c>
      <c r="B22" s="287" t="str">
        <f>PLANTILLA!D19</f>
        <v>W. Gelifini</v>
      </c>
      <c r="C22" s="287">
        <f>PLANTILLA!E19</f>
        <v>30</v>
      </c>
      <c r="D22" s="287">
        <f ca="1">PLANTILLA!F19</f>
        <v>95</v>
      </c>
      <c r="E22" s="163">
        <f>PLANTILLA!X19</f>
        <v>0</v>
      </c>
      <c r="F22" s="163">
        <f>PLANTILLA!Y19</f>
        <v>5.6515555555555519</v>
      </c>
      <c r="G22" s="163">
        <f>PLANTILLA!Z19</f>
        <v>10</v>
      </c>
      <c r="H22" s="163">
        <f>PLANTILLA!AA19</f>
        <v>6.95</v>
      </c>
      <c r="I22" s="163">
        <f>PLANTILLA!AB19</f>
        <v>9.2666666666666639</v>
      </c>
      <c r="J22" s="163">
        <f>PLANTILLA!AC19</f>
        <v>3.5417777777777766</v>
      </c>
      <c r="K22" s="163">
        <f>PLANTILLA!AD19</f>
        <v>12.847222222222223</v>
      </c>
      <c r="L22" s="333"/>
      <c r="M22" s="333"/>
      <c r="N22" s="333">
        <f t="shared" si="0"/>
        <v>0</v>
      </c>
      <c r="O22" s="163">
        <v>0</v>
      </c>
      <c r="P22" s="159">
        <v>0</v>
      </c>
      <c r="Q22" s="159">
        <v>0</v>
      </c>
      <c r="R22" s="159">
        <v>0</v>
      </c>
      <c r="S22" s="159">
        <v>0</v>
      </c>
      <c r="T22" s="159">
        <f t="shared" si="1"/>
        <v>0</v>
      </c>
      <c r="U22" s="159">
        <f t="shared" si="2"/>
        <v>0</v>
      </c>
      <c r="V22" s="159">
        <f t="shared" si="3"/>
        <v>0</v>
      </c>
      <c r="W22" s="159">
        <f>L22*(0.19*0.543+0.25*0.25)/(0.19+0.25)</f>
        <v>0</v>
      </c>
      <c r="X22" s="159">
        <f t="shared" si="5"/>
        <v>0</v>
      </c>
      <c r="Y22" s="405"/>
      <c r="Z22" s="405"/>
      <c r="AA22" s="405">
        <f t="shared" si="6"/>
        <v>0</v>
      </c>
    </row>
    <row r="23" spans="1:27" x14ac:dyDescent="0.25">
      <c r="A23" s="287" t="e">
        <f>PLANTILLA!#REF!</f>
        <v>#REF!</v>
      </c>
      <c r="B23" s="287" t="e">
        <f>PLANTILLA!#REF!</f>
        <v>#REF!</v>
      </c>
      <c r="C23" s="287" t="e">
        <f>PLANTILLA!#REF!</f>
        <v>#REF!</v>
      </c>
      <c r="D23" s="287"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s="333"/>
      <c r="M23" s="333"/>
      <c r="N23" s="333">
        <f t="shared" si="0"/>
        <v>0</v>
      </c>
      <c r="O23" s="163">
        <v>0</v>
      </c>
      <c r="P23" s="159">
        <v>0</v>
      </c>
      <c r="Q23" s="159">
        <v>0</v>
      </c>
      <c r="R23" s="159">
        <v>0</v>
      </c>
      <c r="S23" s="159">
        <v>0</v>
      </c>
      <c r="T23" s="159">
        <f t="shared" si="1"/>
        <v>0</v>
      </c>
      <c r="U23" s="159">
        <f t="shared" si="2"/>
        <v>0</v>
      </c>
      <c r="V23" s="159">
        <f t="shared" si="3"/>
        <v>0</v>
      </c>
      <c r="W23" s="159">
        <f>L23*(0.19*0.543+0.25*0.25)/(0.19+0.25)</f>
        <v>0</v>
      </c>
      <c r="X23" s="159">
        <f t="shared" si="5"/>
        <v>0</v>
      </c>
      <c r="Y23" s="405"/>
      <c r="Z23" s="405"/>
      <c r="AA23" s="405">
        <f t="shared" si="6"/>
        <v>0</v>
      </c>
    </row>
    <row r="26" spans="1:27" x14ac:dyDescent="0.25">
      <c r="B26" s="290"/>
    </row>
  </sheetData>
  <sortState ref="A4:AA23">
    <sortCondition descending="1" ref="AA4:AA23"/>
    <sortCondition descending="1" ref="Y4:Y23"/>
    <sortCondition descending="1" ref="Z4:Z23"/>
  </sortState>
  <conditionalFormatting sqref="L4:X23">
    <cfRule type="colorScale" priority="2965">
      <colorScale>
        <cfvo type="min"/>
        <cfvo type="max"/>
        <color rgb="FFFFEF9C"/>
        <color rgb="FF63BE7B"/>
      </colorScale>
    </cfRule>
  </conditionalFormatting>
  <conditionalFormatting sqref="Y4:Y23">
    <cfRule type="dataBar" priority="2966">
      <dataBar>
        <cfvo type="min"/>
        <cfvo type="max"/>
        <color rgb="FF008AEF"/>
      </dataBar>
      <extLst>
        <ext xmlns:x14="http://schemas.microsoft.com/office/spreadsheetml/2009/9/main" uri="{B025F937-C7B1-47D3-B67F-A62EFF666E3E}">
          <x14:id>{9426DB89-85FD-4792-83EF-D61D488930F2}</x14:id>
        </ext>
      </extLst>
    </cfRule>
  </conditionalFormatting>
  <conditionalFormatting sqref="Z4:AA23">
    <cfRule type="dataBar" priority="2967">
      <dataBar>
        <cfvo type="min"/>
        <cfvo type="max"/>
        <color rgb="FF008AEF"/>
      </dataBar>
      <extLst>
        <ext xmlns:x14="http://schemas.microsoft.com/office/spreadsheetml/2009/9/main" uri="{B025F937-C7B1-47D3-B67F-A62EFF666E3E}">
          <x14:id>{C23476FD-F522-405C-9B9C-54EF35DAB9BC}</x14:id>
        </ext>
      </extLst>
    </cfRule>
  </conditionalFormatting>
  <conditionalFormatting sqref="E4:K23">
    <cfRule type="colorScale" priority="2968">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9426DB89-85FD-4792-83EF-D61D488930F2}">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23476FD-F522-405C-9B9C-54EF35DAB9BC}">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5"/>
  <sheetViews>
    <sheetView workbookViewId="0">
      <selection activeCell="J11" sqref="J11"/>
    </sheetView>
  </sheetViews>
  <sheetFormatPr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16" bestFit="1" customWidth="1"/>
    <col min="13" max="13" width="6.5703125" style="616" customWidth="1"/>
    <col min="14" max="14" width="8.28515625" style="616" bestFit="1" customWidth="1"/>
    <col min="15" max="15" width="4.5703125" style="616"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6.42578125" bestFit="1" customWidth="1"/>
    <col min="27" max="27" width="7.7109375" bestFit="1" customWidth="1"/>
    <col min="30" max="30" width="6" bestFit="1" customWidth="1"/>
    <col min="31" max="31" width="13.7109375" bestFit="1" customWidth="1"/>
    <col min="33" max="33" width="5.7109375" bestFit="1" customWidth="1"/>
    <col min="34" max="34" width="13.7109375" bestFit="1" customWidth="1"/>
  </cols>
  <sheetData>
    <row r="1" spans="1:34" x14ac:dyDescent="0.25">
      <c r="B1" t="s">
        <v>836</v>
      </c>
      <c r="AD1" t="s">
        <v>837</v>
      </c>
      <c r="AG1" t="s">
        <v>838</v>
      </c>
    </row>
    <row r="2" spans="1:34" x14ac:dyDescent="0.25">
      <c r="B2" s="290">
        <v>43060</v>
      </c>
      <c r="Y2" s="618">
        <f>SUM(Y4:Y22)</f>
        <v>0.35961805555555554</v>
      </c>
      <c r="Z2" s="618">
        <f>SUM(Z4:Z22)</f>
        <v>0.49770896464646464</v>
      </c>
      <c r="AA2" s="618"/>
      <c r="AD2" s="492" t="s">
        <v>276</v>
      </c>
      <c r="AE2" s="492" t="s">
        <v>179</v>
      </c>
      <c r="AG2" s="492" t="s">
        <v>276</v>
      </c>
      <c r="AH2" s="492" t="s">
        <v>179</v>
      </c>
    </row>
    <row r="3" spans="1:34" x14ac:dyDescent="0.25">
      <c r="A3" s="299" t="s">
        <v>868</v>
      </c>
      <c r="B3" s="299" t="str">
        <f>PLANTILLA!D4</f>
        <v>Jugador</v>
      </c>
      <c r="C3" s="299" t="str">
        <f>PLANTILLA!E4</f>
        <v>Anys</v>
      </c>
      <c r="D3" s="299" t="str">
        <f>PLANTILLA!F4</f>
        <v>Dias</v>
      </c>
      <c r="E3" s="299" t="str">
        <f>PLANTILLA!X4</f>
        <v>Po</v>
      </c>
      <c r="F3" s="299" t="str">
        <f>PLANTILLA!Y4</f>
        <v>De</v>
      </c>
      <c r="G3" s="299" t="str">
        <f>PLANTILLA!Z4</f>
        <v>Cr</v>
      </c>
      <c r="H3" s="299" t="str">
        <f>PLANTILLA!AA4</f>
        <v>Ex</v>
      </c>
      <c r="I3" s="299" t="str">
        <f>PLANTILLA!AB4</f>
        <v>Ps</v>
      </c>
      <c r="J3" s="299" t="str">
        <f>PLANTILLA!AC4</f>
        <v>An</v>
      </c>
      <c r="K3" s="299" t="str">
        <f>PLANTILLA!AD4</f>
        <v>PA</v>
      </c>
      <c r="L3" s="611">
        <v>1</v>
      </c>
      <c r="M3" s="611">
        <v>0.5</v>
      </c>
      <c r="N3" s="299" t="s">
        <v>841</v>
      </c>
      <c r="O3" s="613" t="s">
        <v>1</v>
      </c>
      <c r="P3" s="613" t="s">
        <v>804</v>
      </c>
      <c r="Q3" s="612" t="s">
        <v>834</v>
      </c>
      <c r="R3" s="612" t="s">
        <v>840</v>
      </c>
      <c r="S3" s="612" t="s">
        <v>835</v>
      </c>
      <c r="T3" s="612" t="s">
        <v>805</v>
      </c>
      <c r="U3" s="612" t="s">
        <v>503</v>
      </c>
      <c r="V3" s="612" t="s">
        <v>839</v>
      </c>
      <c r="W3" s="613" t="s">
        <v>602</v>
      </c>
      <c r="X3" s="613" t="s">
        <v>66</v>
      </c>
      <c r="Y3" s="615" t="s">
        <v>837</v>
      </c>
      <c r="Z3" s="615" t="s">
        <v>838</v>
      </c>
      <c r="AA3" s="615" t="s">
        <v>843</v>
      </c>
      <c r="AD3" t="s">
        <v>1</v>
      </c>
      <c r="AE3" t="s">
        <v>782</v>
      </c>
      <c r="AG3" t="s">
        <v>1</v>
      </c>
      <c r="AH3" t="s">
        <v>782</v>
      </c>
    </row>
    <row r="4" spans="1:34" x14ac:dyDescent="0.25">
      <c r="A4" s="287" t="str">
        <f>PLANTILLA!A8</f>
        <v>#8</v>
      </c>
      <c r="B4" s="669" t="str">
        <f>PLANTILLA!D8</f>
        <v>D. Toh</v>
      </c>
      <c r="C4" s="287">
        <f>PLANTILLA!E8</f>
        <v>33</v>
      </c>
      <c r="D4" s="287">
        <f ca="1">PLANTILLA!F8</f>
        <v>43</v>
      </c>
      <c r="E4" s="163">
        <f>PLANTILLA!X8</f>
        <v>0</v>
      </c>
      <c r="F4" s="163">
        <f>PLANTILLA!Y8</f>
        <v>11.077333333333334</v>
      </c>
      <c r="G4" s="163">
        <f>PLANTILLA!Z8</f>
        <v>6.2194444444444406</v>
      </c>
      <c r="H4" s="163">
        <f>PLANTILLA!AA8</f>
        <v>5.95</v>
      </c>
      <c r="I4" s="163">
        <f>PLANTILLA!AB8</f>
        <v>7.7227777777777789</v>
      </c>
      <c r="J4" s="163">
        <f>PLANTILLA!AC8</f>
        <v>3.9933333333333318</v>
      </c>
      <c r="K4" s="163">
        <f>PLANTILLA!AD8</f>
        <v>15.587777777777776</v>
      </c>
      <c r="L4" s="333">
        <f>1/4</f>
        <v>0.25</v>
      </c>
      <c r="M4" s="333">
        <f t="shared" ref="M4:M23" si="0">L4/2</f>
        <v>0.125</v>
      </c>
      <c r="N4" s="333">
        <f t="shared" ref="N4:N23" si="1">L4/8</f>
        <v>3.125E-2</v>
      </c>
      <c r="O4" s="163">
        <v>0</v>
      </c>
      <c r="P4" s="159">
        <v>0</v>
      </c>
      <c r="Q4" s="159">
        <v>0</v>
      </c>
      <c r="R4" s="159">
        <f t="shared" ref="R4:R23" si="2">L4*0.286</f>
        <v>7.1499999999999994E-2</v>
      </c>
      <c r="S4" s="159">
        <f t="shared" ref="S4:S23" si="3">L4*(0.588*0.25+0.19*0)/(0.25+0.19)</f>
        <v>8.3522727272727262E-2</v>
      </c>
      <c r="T4" s="159">
        <v>0</v>
      </c>
      <c r="U4" s="159">
        <f t="shared" ref="U4:U23" si="4">L4*(0.574*0.25+0.19*0)/(0.25+0.19)</f>
        <v>8.1534090909090903E-2</v>
      </c>
      <c r="V4" s="159">
        <f t="shared" ref="V4:V23" si="5">L4*(0.864*0.25+0.19*0)/(0.25+0.19)</f>
        <v>0.12272727272727273</v>
      </c>
      <c r="W4" s="159">
        <f t="shared" ref="W4:W23" si="6">L4*(0.144*0.25+0.19*0)/(0.25+0.19)</f>
        <v>2.0454545454545454E-2</v>
      </c>
      <c r="X4" s="159">
        <f t="shared" ref="X4:X23" si="7">L4*(0.221*0.25+0.19*0)/(0.25+0.19)</f>
        <v>3.1392045454545457E-2</v>
      </c>
      <c r="Y4" s="405"/>
      <c r="Z4" s="405">
        <f>R4</f>
        <v>7.1499999999999994E-2</v>
      </c>
      <c r="AA4" s="405">
        <f t="shared" ref="AA4:AA23" si="8">MAX(Z4,Y4)</f>
        <v>7.1499999999999994E-2</v>
      </c>
      <c r="AD4" t="s">
        <v>803</v>
      </c>
      <c r="AE4" s="634" t="s">
        <v>856</v>
      </c>
      <c r="AG4" t="s">
        <v>803</v>
      </c>
      <c r="AH4" s="634" t="str">
        <f>AE4</f>
        <v>B. Pinczehelyi</v>
      </c>
    </row>
    <row r="5" spans="1:34" x14ac:dyDescent="0.25">
      <c r="A5" s="287" t="str">
        <f>PLANTILLA!A10</f>
        <v>#3</v>
      </c>
      <c r="B5" s="669" t="str">
        <f>PLANTILLA!D10</f>
        <v>B. Bartolache</v>
      </c>
      <c r="C5" s="287">
        <f>PLANTILLA!E10</f>
        <v>32</v>
      </c>
      <c r="D5" s="287">
        <f ca="1">PLANTILLA!F10</f>
        <v>94</v>
      </c>
      <c r="E5" s="163">
        <f>PLANTILLA!X10</f>
        <v>0</v>
      </c>
      <c r="F5" s="163">
        <f>PLANTILLA!Y10</f>
        <v>12</v>
      </c>
      <c r="G5" s="163">
        <f>PLANTILLA!Z10</f>
        <v>6.95</v>
      </c>
      <c r="H5" s="163">
        <f>PLANTILLA!AA10</f>
        <v>7.5000000000000018</v>
      </c>
      <c r="I5" s="163">
        <f>PLANTILLA!AB10</f>
        <v>8.9499999999999993</v>
      </c>
      <c r="J5" s="163">
        <f>PLANTILLA!AC10</f>
        <v>3.95</v>
      </c>
      <c r="K5" s="163">
        <f>PLANTILLA!AD10</f>
        <v>16</v>
      </c>
      <c r="L5" s="333">
        <f>1/6</f>
        <v>0.16666666666666666</v>
      </c>
      <c r="M5" s="333">
        <f t="shared" si="0"/>
        <v>8.3333333333333329E-2</v>
      </c>
      <c r="N5" s="333">
        <f t="shared" si="1"/>
        <v>2.0833333333333332E-2</v>
      </c>
      <c r="O5" s="163">
        <v>0</v>
      </c>
      <c r="P5" s="159">
        <v>0</v>
      </c>
      <c r="Q5" s="159">
        <v>0</v>
      </c>
      <c r="R5" s="159">
        <f t="shared" si="2"/>
        <v>4.7666666666666663E-2</v>
      </c>
      <c r="S5" s="159">
        <f t="shared" si="3"/>
        <v>5.5681818181818173E-2</v>
      </c>
      <c r="T5" s="159">
        <v>0</v>
      </c>
      <c r="U5" s="159">
        <f t="shared" si="4"/>
        <v>5.4356060606060595E-2</v>
      </c>
      <c r="V5" s="159">
        <f t="shared" si="5"/>
        <v>8.1818181818181818E-2</v>
      </c>
      <c r="W5" s="159">
        <f t="shared" si="6"/>
        <v>1.3636363636363634E-2</v>
      </c>
      <c r="X5" s="159">
        <f t="shared" si="7"/>
        <v>2.0928030303030299E-2</v>
      </c>
      <c r="Y5" s="405"/>
      <c r="Z5" s="405">
        <f>S5</f>
        <v>5.5681818181818173E-2</v>
      </c>
      <c r="AA5" s="405">
        <f t="shared" si="8"/>
        <v>5.5681818181818173E-2</v>
      </c>
      <c r="AD5" t="s">
        <v>804</v>
      </c>
      <c r="AE5" t="s">
        <v>272</v>
      </c>
      <c r="AG5" t="s">
        <v>815</v>
      </c>
      <c r="AH5" t="s">
        <v>273</v>
      </c>
    </row>
    <row r="6" spans="1:34" x14ac:dyDescent="0.25">
      <c r="A6" s="287" t="str">
        <f>PLANTILLA!A14</f>
        <v>#10</v>
      </c>
      <c r="B6" s="669" t="str">
        <f>PLANTILLA!D14</f>
        <v>S. Zobbe</v>
      </c>
      <c r="C6" s="287">
        <f>PLANTILLA!E14</f>
        <v>29</v>
      </c>
      <c r="D6" s="287">
        <f ca="1">PLANTILLA!F14</f>
        <v>33</v>
      </c>
      <c r="E6" s="163">
        <f>PLANTILLA!X14</f>
        <v>0</v>
      </c>
      <c r="F6" s="163">
        <f>PLANTILLA!Y14</f>
        <v>8.3599999999999977</v>
      </c>
      <c r="G6" s="163">
        <f>PLANTILLA!Z14</f>
        <v>12.253412698412699</v>
      </c>
      <c r="H6" s="163">
        <f>PLANTILLA!AA14</f>
        <v>12.36</v>
      </c>
      <c r="I6" s="163">
        <f>PLANTILLA!AB14</f>
        <v>10.24</v>
      </c>
      <c r="J6" s="163">
        <f>PLANTILLA!AC14</f>
        <v>7.4766666666666666</v>
      </c>
      <c r="K6" s="163">
        <f>PLANTILLA!AD14</f>
        <v>16</v>
      </c>
      <c r="L6" s="333">
        <f>1/9</f>
        <v>0.1111111111111111</v>
      </c>
      <c r="M6" s="333">
        <f t="shared" si="0"/>
        <v>5.5555555555555552E-2</v>
      </c>
      <c r="N6" s="333">
        <f t="shared" si="1"/>
        <v>1.3888888888888888E-2</v>
      </c>
      <c r="O6" s="163">
        <v>0</v>
      </c>
      <c r="P6" s="159">
        <v>0</v>
      </c>
      <c r="Q6" s="159">
        <v>0</v>
      </c>
      <c r="R6" s="159">
        <f t="shared" si="2"/>
        <v>3.1777777777777773E-2</v>
      </c>
      <c r="S6" s="159">
        <f t="shared" si="3"/>
        <v>3.7121212121212117E-2</v>
      </c>
      <c r="T6" s="159">
        <v>0</v>
      </c>
      <c r="U6" s="159">
        <f t="shared" si="4"/>
        <v>3.6237373737373728E-2</v>
      </c>
      <c r="V6" s="159">
        <f t="shared" si="5"/>
        <v>5.4545454545454536E-2</v>
      </c>
      <c r="W6" s="159">
        <f t="shared" si="6"/>
        <v>9.0909090909090887E-3</v>
      </c>
      <c r="X6" s="159">
        <f t="shared" si="7"/>
        <v>1.39520202020202E-2</v>
      </c>
      <c r="Y6" s="405">
        <f>V6</f>
        <v>5.4545454545454536E-2</v>
      </c>
      <c r="Z6" s="405">
        <f>V6</f>
        <v>5.4545454545454536E-2</v>
      </c>
      <c r="AA6" s="405">
        <f t="shared" si="8"/>
        <v>5.4545454545454536E-2</v>
      </c>
      <c r="AD6" t="s">
        <v>803</v>
      </c>
      <c r="AE6" t="s">
        <v>269</v>
      </c>
      <c r="AG6" t="s">
        <v>814</v>
      </c>
      <c r="AH6" t="s">
        <v>269</v>
      </c>
    </row>
    <row r="7" spans="1:34" x14ac:dyDescent="0.25">
      <c r="A7" s="287" t="str">
        <f>PLANTILLA!A9</f>
        <v>#2</v>
      </c>
      <c r="B7" s="669" t="str">
        <f>PLANTILLA!D9</f>
        <v>E. Toney</v>
      </c>
      <c r="C7" s="287">
        <f>PLANTILLA!E9</f>
        <v>32</v>
      </c>
      <c r="D7" s="287">
        <f ca="1">PLANTILLA!F9</f>
        <v>109</v>
      </c>
      <c r="E7" s="163">
        <f>PLANTILLA!X9</f>
        <v>0</v>
      </c>
      <c r="F7" s="163">
        <f>PLANTILLA!Y9</f>
        <v>12.200000000000005</v>
      </c>
      <c r="G7" s="163">
        <f>PLANTILLA!Z9</f>
        <v>13.261555555555553</v>
      </c>
      <c r="H7" s="163">
        <f>PLANTILLA!AA9</f>
        <v>9.8750000000000053</v>
      </c>
      <c r="I7" s="163">
        <f>PLANTILLA!AB9</f>
        <v>9.6</v>
      </c>
      <c r="J7" s="163">
        <f>PLANTILLA!AC9</f>
        <v>3.6816666666666658</v>
      </c>
      <c r="K7" s="163">
        <f>PLANTILLA!AD9</f>
        <v>17.177777777777774</v>
      </c>
      <c r="L7" s="333">
        <f>1/7</f>
        <v>0.14285714285714285</v>
      </c>
      <c r="M7" s="333">
        <f t="shared" si="0"/>
        <v>7.1428571428571425E-2</v>
      </c>
      <c r="N7" s="333">
        <f t="shared" si="1"/>
        <v>1.7857142857142856E-2</v>
      </c>
      <c r="O7" s="163">
        <v>0</v>
      </c>
      <c r="P7" s="159">
        <v>0</v>
      </c>
      <c r="Q7" s="159">
        <v>0</v>
      </c>
      <c r="R7" s="159">
        <f t="shared" si="2"/>
        <v>4.0857142857142849E-2</v>
      </c>
      <c r="S7" s="159">
        <f t="shared" si="3"/>
        <v>4.7727272727272722E-2</v>
      </c>
      <c r="T7" s="159">
        <v>0</v>
      </c>
      <c r="U7" s="159">
        <f t="shared" si="4"/>
        <v>4.6590909090909086E-2</v>
      </c>
      <c r="V7" s="159">
        <f t="shared" si="5"/>
        <v>7.0129870129870125E-2</v>
      </c>
      <c r="W7" s="159">
        <f t="shared" si="6"/>
        <v>1.1688311688311687E-2</v>
      </c>
      <c r="X7" s="159">
        <f t="shared" si="7"/>
        <v>1.7938311688311687E-2</v>
      </c>
      <c r="Y7" s="405">
        <f>S7</f>
        <v>4.7727272727272722E-2</v>
      </c>
      <c r="Z7" s="405">
        <f>S7</f>
        <v>4.7727272727272722E-2</v>
      </c>
      <c r="AA7" s="405">
        <f t="shared" si="8"/>
        <v>4.7727272727272722E-2</v>
      </c>
      <c r="AD7" t="s">
        <v>503</v>
      </c>
      <c r="AE7" t="s">
        <v>618</v>
      </c>
      <c r="AG7" t="s">
        <v>815</v>
      </c>
      <c r="AH7" t="s">
        <v>275</v>
      </c>
    </row>
    <row r="8" spans="1:34" x14ac:dyDescent="0.25">
      <c r="A8" s="287" t="str">
        <f>PLANTILLA!A12</f>
        <v>#7</v>
      </c>
      <c r="B8" s="670" t="str">
        <f>PLANTILLA!D12</f>
        <v>E. Romweber</v>
      </c>
      <c r="C8" s="287">
        <f>PLANTILLA!E12</f>
        <v>32</v>
      </c>
      <c r="D8" s="287">
        <f ca="1">PLANTILLA!F12</f>
        <v>71</v>
      </c>
      <c r="E8" s="163">
        <f>PLANTILLA!X12</f>
        <v>0</v>
      </c>
      <c r="F8" s="163">
        <f>PLANTILLA!Y12</f>
        <v>12.06111111111111</v>
      </c>
      <c r="G8" s="163">
        <f>PLANTILLA!Z12</f>
        <v>12.614111111111114</v>
      </c>
      <c r="H8" s="163">
        <f>PLANTILLA!AA12</f>
        <v>13.216666666666669</v>
      </c>
      <c r="I8" s="163">
        <f>PLANTILLA!AB12</f>
        <v>11</v>
      </c>
      <c r="J8" s="163">
        <f>PLANTILLA!AC12</f>
        <v>7.7700000000000005</v>
      </c>
      <c r="K8" s="163">
        <f>PLANTILLA!AD12</f>
        <v>17.529999999999998</v>
      </c>
      <c r="L8" s="333">
        <f>1/12</f>
        <v>8.3333333333333329E-2</v>
      </c>
      <c r="M8" s="333">
        <f t="shared" si="0"/>
        <v>4.1666666666666664E-2</v>
      </c>
      <c r="N8" s="333">
        <f t="shared" si="1"/>
        <v>1.0416666666666666E-2</v>
      </c>
      <c r="O8" s="163">
        <v>0</v>
      </c>
      <c r="P8" s="159">
        <v>0</v>
      </c>
      <c r="Q8" s="159">
        <v>0</v>
      </c>
      <c r="R8" s="159">
        <f t="shared" si="2"/>
        <v>2.3833333333333331E-2</v>
      </c>
      <c r="S8" s="159">
        <f t="shared" si="3"/>
        <v>2.7840909090909086E-2</v>
      </c>
      <c r="T8" s="159">
        <v>0</v>
      </c>
      <c r="U8" s="159">
        <f t="shared" si="4"/>
        <v>2.7178030303030298E-2</v>
      </c>
      <c r="V8" s="159">
        <f t="shared" si="5"/>
        <v>4.0909090909090909E-2</v>
      </c>
      <c r="W8" s="159">
        <f t="shared" si="6"/>
        <v>6.818181818181817E-3</v>
      </c>
      <c r="X8" s="159">
        <f t="shared" si="7"/>
        <v>1.046401515151515E-2</v>
      </c>
      <c r="Y8" s="405">
        <f>V8</f>
        <v>4.0909090909090909E-2</v>
      </c>
      <c r="Z8" s="405">
        <f>V8</f>
        <v>4.0909090909090909E-2</v>
      </c>
      <c r="AA8" s="405">
        <f t="shared" si="8"/>
        <v>4.0909090909090909E-2</v>
      </c>
      <c r="AD8" t="s">
        <v>805</v>
      </c>
      <c r="AE8" t="s">
        <v>400</v>
      </c>
      <c r="AG8" t="s">
        <v>803</v>
      </c>
      <c r="AH8" t="s">
        <v>816</v>
      </c>
    </row>
    <row r="9" spans="1:34" x14ac:dyDescent="0.25">
      <c r="A9" s="287" t="str">
        <f>PLANTILLA!A13</f>
        <v>#11</v>
      </c>
      <c r="B9" s="670" t="str">
        <f>PLANTILLA!D13</f>
        <v>K. Helms</v>
      </c>
      <c r="C9" s="287">
        <f>PLANTILLA!E13</f>
        <v>32</v>
      </c>
      <c r="D9" s="287">
        <f ca="1">PLANTILLA!F13</f>
        <v>18</v>
      </c>
      <c r="E9" s="163">
        <f>PLANTILLA!X13</f>
        <v>0</v>
      </c>
      <c r="F9" s="163">
        <f>PLANTILLA!Y13</f>
        <v>7.2503030303030309</v>
      </c>
      <c r="G9" s="163">
        <f>PLANTILLA!Z13</f>
        <v>10.600000000000005</v>
      </c>
      <c r="H9" s="163">
        <f>PLANTILLA!AA13</f>
        <v>13.471666666666668</v>
      </c>
      <c r="I9" s="163">
        <f>PLANTILLA!AB13</f>
        <v>10.359999999999998</v>
      </c>
      <c r="J9" s="163">
        <f>PLANTILLA!AC13</f>
        <v>4.95</v>
      </c>
      <c r="K9" s="163">
        <f>PLANTILLA!AD13</f>
        <v>18</v>
      </c>
      <c r="L9" s="333">
        <f>1/12</f>
        <v>8.3333333333333329E-2</v>
      </c>
      <c r="M9" s="333">
        <f t="shared" si="0"/>
        <v>4.1666666666666664E-2</v>
      </c>
      <c r="N9" s="333">
        <f t="shared" si="1"/>
        <v>1.0416666666666666E-2</v>
      </c>
      <c r="O9" s="163">
        <v>0</v>
      </c>
      <c r="P9" s="159">
        <v>0</v>
      </c>
      <c r="Q9" s="159">
        <v>0</v>
      </c>
      <c r="R9" s="159">
        <f t="shared" si="2"/>
        <v>2.3833333333333331E-2</v>
      </c>
      <c r="S9" s="159">
        <f t="shared" si="3"/>
        <v>2.7840909090909086E-2</v>
      </c>
      <c r="T9" s="159">
        <v>0</v>
      </c>
      <c r="U9" s="159">
        <f t="shared" si="4"/>
        <v>2.7178030303030298E-2</v>
      </c>
      <c r="V9" s="159">
        <f t="shared" si="5"/>
        <v>4.0909090909090909E-2</v>
      </c>
      <c r="W9" s="159">
        <f t="shared" si="6"/>
        <v>6.818181818181817E-3</v>
      </c>
      <c r="X9" s="159">
        <f t="shared" si="7"/>
        <v>1.046401515151515E-2</v>
      </c>
      <c r="Y9" s="405">
        <f>V9</f>
        <v>4.0909090909090909E-2</v>
      </c>
      <c r="Z9" s="405">
        <f>V9</f>
        <v>4.0909090909090909E-2</v>
      </c>
      <c r="AA9" s="405">
        <f t="shared" si="8"/>
        <v>4.0909090909090909E-2</v>
      </c>
      <c r="AD9" t="s">
        <v>503</v>
      </c>
      <c r="AE9" t="s">
        <v>285</v>
      </c>
      <c r="AG9" t="s">
        <v>503</v>
      </c>
      <c r="AH9" t="s">
        <v>285</v>
      </c>
    </row>
    <row r="10" spans="1:34" x14ac:dyDescent="0.25">
      <c r="A10" s="287" t="str">
        <f>PLANTILLA!A16</f>
        <v>#4</v>
      </c>
      <c r="B10" s="670" t="str">
        <f>PLANTILLA!D16</f>
        <v>C. Rojas</v>
      </c>
      <c r="C10" s="287">
        <f>PLANTILLA!E16</f>
        <v>33</v>
      </c>
      <c r="D10" s="287">
        <f ca="1">PLANTILLA!F16</f>
        <v>64</v>
      </c>
      <c r="E10" s="163">
        <f>PLANTILLA!X16</f>
        <v>0</v>
      </c>
      <c r="F10" s="163">
        <f>PLANTILLA!Y16</f>
        <v>8.6275555555555581</v>
      </c>
      <c r="G10" s="163">
        <f>PLANTILLA!Z16</f>
        <v>14.333255555555548</v>
      </c>
      <c r="H10" s="163">
        <f>PLANTILLA!AA16</f>
        <v>9.99</v>
      </c>
      <c r="I10" s="163">
        <f>PLANTILLA!AB16</f>
        <v>10</v>
      </c>
      <c r="J10" s="163">
        <f>PLANTILLA!AC16</f>
        <v>3.99</v>
      </c>
      <c r="K10" s="163">
        <f>PLANTILLA!AD16</f>
        <v>17.144444444444439</v>
      </c>
      <c r="L10" s="333">
        <f>1/8</f>
        <v>0.125</v>
      </c>
      <c r="M10" s="333">
        <f t="shared" si="0"/>
        <v>6.25E-2</v>
      </c>
      <c r="N10" s="333">
        <f t="shared" si="1"/>
        <v>1.5625E-2</v>
      </c>
      <c r="O10" s="163">
        <v>0</v>
      </c>
      <c r="P10" s="159">
        <v>0</v>
      </c>
      <c r="Q10" s="159">
        <v>0</v>
      </c>
      <c r="R10" s="159">
        <f t="shared" si="2"/>
        <v>3.5749999999999997E-2</v>
      </c>
      <c r="S10" s="159">
        <f t="shared" si="3"/>
        <v>4.1761363636363631E-2</v>
      </c>
      <c r="T10" s="159">
        <v>0</v>
      </c>
      <c r="U10" s="159">
        <f t="shared" si="4"/>
        <v>4.0767045454545452E-2</v>
      </c>
      <c r="V10" s="159">
        <f t="shared" si="5"/>
        <v>6.1363636363636363E-2</v>
      </c>
      <c r="W10" s="159">
        <f t="shared" si="6"/>
        <v>1.0227272727272727E-2</v>
      </c>
      <c r="X10" s="159">
        <f t="shared" si="7"/>
        <v>1.5696022727272729E-2</v>
      </c>
      <c r="Y10" s="405">
        <f>U10</f>
        <v>4.0767045454545452E-2</v>
      </c>
      <c r="Z10" s="405">
        <f>U10</f>
        <v>4.0767045454545452E-2</v>
      </c>
      <c r="AA10" s="405">
        <f t="shared" si="8"/>
        <v>4.0767045454545452E-2</v>
      </c>
      <c r="AD10" t="s">
        <v>806</v>
      </c>
      <c r="AE10" t="s">
        <v>816</v>
      </c>
      <c r="AG10" t="s">
        <v>503</v>
      </c>
      <c r="AH10" t="s">
        <v>618</v>
      </c>
    </row>
    <row r="11" spans="1:34" x14ac:dyDescent="0.25">
      <c r="A11" s="287" t="str">
        <f>PLANTILLA!A15</f>
        <v>#6</v>
      </c>
      <c r="B11" s="670" t="str">
        <f>PLANTILLA!D15</f>
        <v>S. Buschelman</v>
      </c>
      <c r="C11" s="287">
        <f>PLANTILLA!E15</f>
        <v>31</v>
      </c>
      <c r="D11" s="287">
        <f ca="1">PLANTILLA!F15</f>
        <v>30</v>
      </c>
      <c r="E11" s="163">
        <f>PLANTILLA!X15</f>
        <v>0</v>
      </c>
      <c r="F11" s="163">
        <f>PLANTILLA!Y15</f>
        <v>9.3036666666666648</v>
      </c>
      <c r="G11" s="163">
        <f>PLANTILLA!Z15</f>
        <v>14</v>
      </c>
      <c r="H11" s="163">
        <f>PLANTILLA!AA15</f>
        <v>12.945</v>
      </c>
      <c r="I11" s="163">
        <f>PLANTILLA!AB15</f>
        <v>10</v>
      </c>
      <c r="J11" s="163">
        <f>PLANTILLA!AC15</f>
        <v>4.95</v>
      </c>
      <c r="K11" s="163">
        <f>PLANTILLA!AD15</f>
        <v>15.588888888888887</v>
      </c>
      <c r="L11" s="333">
        <f>1/9</f>
        <v>0.1111111111111111</v>
      </c>
      <c r="M11" s="333">
        <f t="shared" si="0"/>
        <v>5.5555555555555552E-2</v>
      </c>
      <c r="N11" s="333">
        <f t="shared" si="1"/>
        <v>1.3888888888888888E-2</v>
      </c>
      <c r="O11" s="163">
        <v>0</v>
      </c>
      <c r="P11" s="159">
        <v>0</v>
      </c>
      <c r="Q11" s="159">
        <v>0</v>
      </c>
      <c r="R11" s="159">
        <f t="shared" si="2"/>
        <v>3.1777777777777773E-2</v>
      </c>
      <c r="S11" s="159">
        <f t="shared" si="3"/>
        <v>3.7121212121212117E-2</v>
      </c>
      <c r="T11" s="159">
        <v>0</v>
      </c>
      <c r="U11" s="159">
        <f t="shared" si="4"/>
        <v>3.6237373737373728E-2</v>
      </c>
      <c r="V11" s="159">
        <f t="shared" si="5"/>
        <v>5.4545454545454536E-2</v>
      </c>
      <c r="W11" s="159">
        <f t="shared" si="6"/>
        <v>9.0909090909090887E-3</v>
      </c>
      <c r="X11" s="159">
        <f t="shared" si="7"/>
        <v>1.39520202020202E-2</v>
      </c>
      <c r="Y11" s="405">
        <f>U11</f>
        <v>3.6237373737373728E-2</v>
      </c>
      <c r="Z11" s="405">
        <f>U11</f>
        <v>3.6237373737373728E-2</v>
      </c>
      <c r="AA11" s="405">
        <f t="shared" si="8"/>
        <v>3.6237373737373728E-2</v>
      </c>
      <c r="AD11" t="s">
        <v>806</v>
      </c>
      <c r="AE11" t="s">
        <v>298</v>
      </c>
      <c r="AG11" t="s">
        <v>806</v>
      </c>
      <c r="AH11" t="s">
        <v>298</v>
      </c>
    </row>
    <row r="12" spans="1:34" x14ac:dyDescent="0.25">
      <c r="A12" s="287" t="str">
        <f>PLANTILLA!A20</f>
        <v>#19</v>
      </c>
      <c r="B12" s="219" t="str">
        <f>PLANTILLA!D20</f>
        <v>G. Kerschl</v>
      </c>
      <c r="C12" s="287">
        <f>PLANTILLA!E20</f>
        <v>30</v>
      </c>
      <c r="D12" s="287">
        <f ca="1">PLANTILLA!F20</f>
        <v>60</v>
      </c>
      <c r="E12" s="163">
        <f>PLANTILLA!X20</f>
        <v>0</v>
      </c>
      <c r="F12" s="163">
        <f>PLANTILLA!Y20</f>
        <v>3</v>
      </c>
      <c r="G12" s="163">
        <f>PLANTILLA!Z20</f>
        <v>15.07</v>
      </c>
      <c r="H12" s="163">
        <f>PLANTILLA!AA20</f>
        <v>12.02</v>
      </c>
      <c r="I12" s="163">
        <f>PLANTILLA!AB20</f>
        <v>13</v>
      </c>
      <c r="J12" s="163">
        <f>PLANTILLA!AC20</f>
        <v>7.95</v>
      </c>
      <c r="K12" s="163">
        <f>PLANTILLA!AD20</f>
        <v>5</v>
      </c>
      <c r="L12" s="333">
        <f>1/10</f>
        <v>0.1</v>
      </c>
      <c r="M12" s="333">
        <f t="shared" si="0"/>
        <v>0.05</v>
      </c>
      <c r="N12" s="333">
        <f t="shared" si="1"/>
        <v>1.2500000000000001E-2</v>
      </c>
      <c r="O12" s="163">
        <v>0</v>
      </c>
      <c r="P12" s="159">
        <v>0</v>
      </c>
      <c r="Q12" s="159">
        <v>0</v>
      </c>
      <c r="R12" s="159">
        <f t="shared" si="2"/>
        <v>2.86E-2</v>
      </c>
      <c r="S12" s="159">
        <f t="shared" si="3"/>
        <v>3.3409090909090909E-2</v>
      </c>
      <c r="T12" s="159">
        <v>0</v>
      </c>
      <c r="U12" s="159">
        <f t="shared" si="4"/>
        <v>3.2613636363636365E-2</v>
      </c>
      <c r="V12" s="159">
        <f t="shared" si="5"/>
        <v>4.9090909090909095E-2</v>
      </c>
      <c r="W12" s="159">
        <f t="shared" si="6"/>
        <v>8.1818181818181807E-3</v>
      </c>
      <c r="X12" s="159">
        <f t="shared" si="7"/>
        <v>1.2556818181818183E-2</v>
      </c>
      <c r="Y12" s="405">
        <f>U12</f>
        <v>3.2613636363636365E-2</v>
      </c>
      <c r="Z12" s="405">
        <f>U12</f>
        <v>3.2613636363636365E-2</v>
      </c>
      <c r="AA12" s="405">
        <f t="shared" si="8"/>
        <v>3.2613636363636365E-2</v>
      </c>
      <c r="AD12" t="s">
        <v>66</v>
      </c>
      <c r="AE12" t="s">
        <v>287</v>
      </c>
      <c r="AG12" t="s">
        <v>806</v>
      </c>
      <c r="AH12" t="s">
        <v>507</v>
      </c>
    </row>
    <row r="13" spans="1:34" x14ac:dyDescent="0.25">
      <c r="A13" s="287" t="str">
        <f>PLANTILLA!A22</f>
        <v>#18</v>
      </c>
      <c r="B13" s="219" t="str">
        <f>PLANTILLA!D22</f>
        <v>L. Calosso</v>
      </c>
      <c r="C13" s="287">
        <f>PLANTILLA!E22</f>
        <v>32</v>
      </c>
      <c r="D13" s="287">
        <f ca="1">PLANTILLA!F22</f>
        <v>27</v>
      </c>
      <c r="E13" s="163">
        <f>PLANTILLA!X22</f>
        <v>0</v>
      </c>
      <c r="F13" s="163">
        <f>PLANTILLA!Y22</f>
        <v>3.02</v>
      </c>
      <c r="G13" s="163">
        <f>PLANTILLA!Z22</f>
        <v>14.277609523809524</v>
      </c>
      <c r="H13" s="163">
        <f>PLANTILLA!AA22</f>
        <v>3.04</v>
      </c>
      <c r="I13" s="163">
        <f>PLANTILLA!AB22</f>
        <v>15.02</v>
      </c>
      <c r="J13" s="163">
        <f>PLANTILLA!AC22</f>
        <v>9.9499999999999993</v>
      </c>
      <c r="K13" s="163">
        <f>PLANTILLA!AD22</f>
        <v>11</v>
      </c>
      <c r="L13" s="333">
        <f>1/3</f>
        <v>0.33333333333333331</v>
      </c>
      <c r="M13" s="333">
        <f t="shared" si="0"/>
        <v>0.16666666666666666</v>
      </c>
      <c r="N13" s="333">
        <f t="shared" si="1"/>
        <v>4.1666666666666664E-2</v>
      </c>
      <c r="O13" s="163">
        <v>0</v>
      </c>
      <c r="P13" s="159">
        <v>0</v>
      </c>
      <c r="Q13" s="159">
        <v>0</v>
      </c>
      <c r="R13" s="159">
        <f t="shared" si="2"/>
        <v>9.5333333333333325E-2</v>
      </c>
      <c r="S13" s="159">
        <f t="shared" si="3"/>
        <v>0.11136363636363635</v>
      </c>
      <c r="T13" s="159">
        <v>0</v>
      </c>
      <c r="U13" s="159">
        <f t="shared" si="4"/>
        <v>0.10871212121212119</v>
      </c>
      <c r="V13" s="159">
        <f t="shared" si="5"/>
        <v>0.16363636363636364</v>
      </c>
      <c r="W13" s="159">
        <f t="shared" si="6"/>
        <v>2.7272727272727268E-2</v>
      </c>
      <c r="X13" s="159">
        <f t="shared" si="7"/>
        <v>4.1856060606060598E-2</v>
      </c>
      <c r="Y13" s="405">
        <f>W13</f>
        <v>2.7272727272727268E-2</v>
      </c>
      <c r="Z13" s="405">
        <f>W13</f>
        <v>2.7272727272727268E-2</v>
      </c>
      <c r="AA13" s="405">
        <f t="shared" si="8"/>
        <v>2.7272727272727268E-2</v>
      </c>
      <c r="AD13" t="s">
        <v>66</v>
      </c>
      <c r="AE13" t="s">
        <v>507</v>
      </c>
      <c r="AG13" t="s">
        <v>66</v>
      </c>
      <c r="AH13" t="s">
        <v>287</v>
      </c>
    </row>
    <row r="14" spans="1:34" x14ac:dyDescent="0.25">
      <c r="A14" s="287" t="str">
        <f>PLANTILLA!A18</f>
        <v>#5</v>
      </c>
      <c r="B14" s="219" t="str">
        <f>PLANTILLA!D18</f>
        <v>L. Bauman</v>
      </c>
      <c r="C14" s="287">
        <f>PLANTILLA!E18</f>
        <v>32</v>
      </c>
      <c r="D14" s="287">
        <f ca="1">PLANTILLA!F18</f>
        <v>33</v>
      </c>
      <c r="E14" s="163">
        <f>PLANTILLA!X18</f>
        <v>0</v>
      </c>
      <c r="F14" s="163">
        <f>PLANTILLA!Y18</f>
        <v>5.4644444444444451</v>
      </c>
      <c r="G14" s="163">
        <f>PLANTILLA!Z18</f>
        <v>14.42664708994708</v>
      </c>
      <c r="H14" s="163">
        <f>PLANTILLA!AA18</f>
        <v>3.5124999999999993</v>
      </c>
      <c r="I14" s="163">
        <f>PLANTILLA!AB18</f>
        <v>9.1400000000000041</v>
      </c>
      <c r="J14" s="163">
        <f>PLANTILLA!AC18</f>
        <v>6.95</v>
      </c>
      <c r="K14" s="163">
        <f>PLANTILLA!AD18</f>
        <v>16.669999999999998</v>
      </c>
      <c r="L14" s="333">
        <f>1/3</f>
        <v>0.33333333333333331</v>
      </c>
      <c r="M14" s="333">
        <f t="shared" si="0"/>
        <v>0.16666666666666666</v>
      </c>
      <c r="N14" s="333">
        <f t="shared" si="1"/>
        <v>4.1666666666666664E-2</v>
      </c>
      <c r="O14" s="163">
        <v>0</v>
      </c>
      <c r="P14" s="159">
        <v>0</v>
      </c>
      <c r="Q14" s="159">
        <v>0</v>
      </c>
      <c r="R14" s="159">
        <f t="shared" si="2"/>
        <v>9.5333333333333325E-2</v>
      </c>
      <c r="S14" s="159">
        <f t="shared" si="3"/>
        <v>0.11136363636363635</v>
      </c>
      <c r="T14" s="159">
        <v>0</v>
      </c>
      <c r="U14" s="159">
        <f t="shared" si="4"/>
        <v>0.10871212121212119</v>
      </c>
      <c r="V14" s="159">
        <f t="shared" si="5"/>
        <v>0.16363636363636364</v>
      </c>
      <c r="W14" s="159">
        <f t="shared" si="6"/>
        <v>2.7272727272727268E-2</v>
      </c>
      <c r="X14" s="159">
        <f t="shared" si="7"/>
        <v>4.1856060606060598E-2</v>
      </c>
      <c r="Y14" s="405">
        <f>T14</f>
        <v>0</v>
      </c>
      <c r="Z14" s="405">
        <f>W14</f>
        <v>2.7272727272727268E-2</v>
      </c>
      <c r="AA14" s="405">
        <f t="shared" si="8"/>
        <v>2.7272727272727268E-2</v>
      </c>
    </row>
    <row r="15" spans="1:34" x14ac:dyDescent="0.25">
      <c r="A15" s="287" t="str">
        <f>PLANTILLA!A7</f>
        <v>#17</v>
      </c>
      <c r="B15" s="219" t="str">
        <f>PLANTILLA!D7</f>
        <v>B. Pinczehelyi</v>
      </c>
      <c r="C15" s="287">
        <f>PLANTILLA!E7</f>
        <v>31</v>
      </c>
      <c r="D15" s="287">
        <f ca="1">PLANTILLA!F7</f>
        <v>110</v>
      </c>
      <c r="E15" s="163">
        <f>PLANTILLA!X7</f>
        <v>0</v>
      </c>
      <c r="F15" s="163">
        <f>PLANTILLA!Y7</f>
        <v>14.300000000000004</v>
      </c>
      <c r="G15" s="163">
        <f>PLANTILLA!Z7</f>
        <v>9.3793333333333351</v>
      </c>
      <c r="H15" s="163">
        <f>PLANTILLA!AA7</f>
        <v>14.333333333333329</v>
      </c>
      <c r="I15" s="163">
        <f>PLANTILLA!AB7</f>
        <v>9.4199999999999982</v>
      </c>
      <c r="J15" s="163">
        <f>PLANTILLA!AC7</f>
        <v>1.1428571428571428</v>
      </c>
      <c r="K15" s="163">
        <f>PLANTILLA!AD7</f>
        <v>11</v>
      </c>
      <c r="L15" s="333">
        <f>1/15</f>
        <v>6.6666666666666666E-2</v>
      </c>
      <c r="M15" s="333">
        <f t="shared" si="0"/>
        <v>3.3333333333333333E-2</v>
      </c>
      <c r="N15" s="333">
        <f t="shared" si="1"/>
        <v>8.3333333333333332E-3</v>
      </c>
      <c r="O15" s="163">
        <v>0</v>
      </c>
      <c r="P15" s="159">
        <v>0</v>
      </c>
      <c r="Q15" s="159">
        <v>0</v>
      </c>
      <c r="R15" s="159">
        <f t="shared" si="2"/>
        <v>1.9066666666666666E-2</v>
      </c>
      <c r="S15" s="159">
        <f t="shared" si="3"/>
        <v>2.227272727272727E-2</v>
      </c>
      <c r="T15" s="159">
        <v>0</v>
      </c>
      <c r="U15" s="159">
        <f t="shared" si="4"/>
        <v>2.174242424242424E-2</v>
      </c>
      <c r="V15" s="159">
        <f t="shared" si="5"/>
        <v>3.2727272727272723E-2</v>
      </c>
      <c r="W15" s="159">
        <f t="shared" si="6"/>
        <v>5.4545454545454541E-3</v>
      </c>
      <c r="X15" s="159">
        <f t="shared" si="7"/>
        <v>8.3712121212121213E-3</v>
      </c>
      <c r="Y15" s="405">
        <f>S15</f>
        <v>2.227272727272727E-2</v>
      </c>
      <c r="Z15" s="405">
        <f>S15</f>
        <v>2.227272727272727E-2</v>
      </c>
      <c r="AA15" s="405">
        <f t="shared" si="8"/>
        <v>2.227272727272727E-2</v>
      </c>
    </row>
    <row r="16" spans="1:34" x14ac:dyDescent="0.25">
      <c r="A16" s="287" t="str">
        <f>PLANTILLA!A21</f>
        <v>#9</v>
      </c>
      <c r="B16" s="219" t="str">
        <f>PLANTILLA!D21</f>
        <v>J. Limon</v>
      </c>
      <c r="C16" s="287">
        <f>PLANTILLA!E21</f>
        <v>31</v>
      </c>
      <c r="D16" s="287">
        <f ca="1">PLANTILLA!F21</f>
        <v>70</v>
      </c>
      <c r="E16" s="163">
        <f>PLANTILLA!X21</f>
        <v>0</v>
      </c>
      <c r="F16" s="163">
        <f>PLANTILLA!Y21</f>
        <v>6.8376190476190493</v>
      </c>
      <c r="G16" s="163">
        <f>PLANTILLA!Z21</f>
        <v>8.9499999999999993</v>
      </c>
      <c r="H16" s="163">
        <f>PLANTILLA!AA21</f>
        <v>8.7399999999999967</v>
      </c>
      <c r="I16" s="163">
        <f>PLANTILLA!AB21</f>
        <v>10</v>
      </c>
      <c r="J16" s="163">
        <f>PLANTILLA!AC21</f>
        <v>8.5625000000000018</v>
      </c>
      <c r="K16" s="163">
        <f>PLANTILLA!AD21</f>
        <v>18.999999999999993</v>
      </c>
      <c r="L16" s="333">
        <f>1/5</f>
        <v>0.2</v>
      </c>
      <c r="M16" s="333">
        <f t="shared" si="0"/>
        <v>0.1</v>
      </c>
      <c r="N16" s="333">
        <f t="shared" si="1"/>
        <v>2.5000000000000001E-2</v>
      </c>
      <c r="O16" s="163">
        <v>0</v>
      </c>
      <c r="P16" s="159">
        <v>0</v>
      </c>
      <c r="Q16" s="159">
        <v>0</v>
      </c>
      <c r="R16" s="159">
        <f t="shared" si="2"/>
        <v>5.7200000000000001E-2</v>
      </c>
      <c r="S16" s="159">
        <f t="shared" si="3"/>
        <v>6.6818181818181818E-2</v>
      </c>
      <c r="T16" s="159">
        <v>0</v>
      </c>
      <c r="U16" s="159">
        <f t="shared" si="4"/>
        <v>6.5227272727272731E-2</v>
      </c>
      <c r="V16" s="159">
        <f t="shared" si="5"/>
        <v>9.818181818181819E-2</v>
      </c>
      <c r="W16" s="159">
        <f t="shared" si="6"/>
        <v>1.6363636363636361E-2</v>
      </c>
      <c r="X16" s="159">
        <f t="shared" si="7"/>
        <v>2.5113636363636366E-2</v>
      </c>
      <c r="Y16" s="405">
        <f>W16</f>
        <v>1.6363636363636361E-2</v>
      </c>
      <c r="Z16" s="405"/>
      <c r="AA16" s="405">
        <f t="shared" si="8"/>
        <v>1.6363636363636361E-2</v>
      </c>
    </row>
    <row r="17" spans="1:27" x14ac:dyDescent="0.25">
      <c r="A17" s="287" t="str">
        <f>PLANTILLA!A23</f>
        <v>#15</v>
      </c>
      <c r="B17" s="219" t="str">
        <f>PLANTILLA!D23</f>
        <v>P .Trivadi</v>
      </c>
      <c r="C17" s="287">
        <f>PLANTILLA!E23</f>
        <v>28</v>
      </c>
      <c r="D17" s="287">
        <f ca="1">PLANTILLA!F23</f>
        <v>101</v>
      </c>
      <c r="E17" s="163">
        <f>PLANTILLA!X23</f>
        <v>0</v>
      </c>
      <c r="F17" s="163">
        <f>PLANTILLA!Y23</f>
        <v>4.0199999999999996</v>
      </c>
      <c r="G17" s="163">
        <f>PLANTILLA!Z23</f>
        <v>5.5738722222222199</v>
      </c>
      <c r="H17" s="163">
        <f>PLANTILLA!AA23</f>
        <v>5.5099999999999989</v>
      </c>
      <c r="I17" s="163">
        <f>PLANTILLA!AB23</f>
        <v>11</v>
      </c>
      <c r="J17" s="163">
        <f>PLANTILLA!AC23</f>
        <v>8.384500000000001</v>
      </c>
      <c r="K17" s="163">
        <f>PLANTILLA!AD23</f>
        <v>13.566666666666668</v>
      </c>
      <c r="L17" s="333">
        <f>1/5</f>
        <v>0.2</v>
      </c>
      <c r="M17" s="333">
        <f t="shared" si="0"/>
        <v>0.1</v>
      </c>
      <c r="N17" s="333">
        <f t="shared" si="1"/>
        <v>2.5000000000000001E-2</v>
      </c>
      <c r="O17" s="163">
        <v>0</v>
      </c>
      <c r="P17" s="159">
        <v>0</v>
      </c>
      <c r="Q17" s="159">
        <v>0</v>
      </c>
      <c r="R17" s="159">
        <f t="shared" si="2"/>
        <v>5.7200000000000001E-2</v>
      </c>
      <c r="S17" s="159">
        <f t="shared" si="3"/>
        <v>6.6818181818181818E-2</v>
      </c>
      <c r="T17" s="159">
        <v>0</v>
      </c>
      <c r="U17" s="159">
        <f t="shared" si="4"/>
        <v>6.5227272727272731E-2</v>
      </c>
      <c r="V17" s="159">
        <f t="shared" si="5"/>
        <v>9.818181818181819E-2</v>
      </c>
      <c r="W17" s="159">
        <f t="shared" si="6"/>
        <v>1.6363636363636361E-2</v>
      </c>
      <c r="X17" s="159">
        <f t="shared" si="7"/>
        <v>2.5113636363636366E-2</v>
      </c>
      <c r="Y17" s="405">
        <v>0</v>
      </c>
      <c r="Z17" s="405">
        <v>0</v>
      </c>
      <c r="AA17" s="405">
        <f t="shared" si="8"/>
        <v>0</v>
      </c>
    </row>
    <row r="18" spans="1:27" x14ac:dyDescent="0.25">
      <c r="A18" s="287" t="str">
        <f>PLANTILLA!A5</f>
        <v>#1</v>
      </c>
      <c r="B18" s="287" t="str">
        <f>PLANTILLA!D5</f>
        <v>D. Gehmacher</v>
      </c>
      <c r="C18" s="287">
        <f>PLANTILLA!E5</f>
        <v>31</v>
      </c>
      <c r="D18" s="287">
        <f ca="1">PLANTILLA!F5</f>
        <v>98</v>
      </c>
      <c r="E18" s="163">
        <f>PLANTILLA!X5</f>
        <v>16.666666666666668</v>
      </c>
      <c r="F18" s="163">
        <f>PLANTILLA!Y5</f>
        <v>12.080559440559444</v>
      </c>
      <c r="G18" s="163">
        <f>PLANTILLA!Z5</f>
        <v>2.0699999999999985</v>
      </c>
      <c r="H18" s="163">
        <f>PLANTILLA!AA5</f>
        <v>2.149999999999999</v>
      </c>
      <c r="I18" s="163">
        <f>PLANTILLA!AB5</f>
        <v>1.0400000000000003</v>
      </c>
      <c r="J18" s="163">
        <f>PLANTILLA!AC5</f>
        <v>0.14055555555555557</v>
      </c>
      <c r="K18" s="163">
        <f>PLANTILLA!AD5</f>
        <v>18.2</v>
      </c>
      <c r="L18" s="333">
        <f>0</f>
        <v>0</v>
      </c>
      <c r="M18" s="333">
        <f t="shared" si="0"/>
        <v>0</v>
      </c>
      <c r="N18" s="333">
        <f t="shared" si="1"/>
        <v>0</v>
      </c>
      <c r="O18" s="163">
        <v>0</v>
      </c>
      <c r="P18" s="159">
        <v>0</v>
      </c>
      <c r="Q18" s="159">
        <v>0</v>
      </c>
      <c r="R18" s="159">
        <f t="shared" si="2"/>
        <v>0</v>
      </c>
      <c r="S18" s="159">
        <f t="shared" si="3"/>
        <v>0</v>
      </c>
      <c r="T18" s="159">
        <v>0</v>
      </c>
      <c r="U18" s="159">
        <f t="shared" si="4"/>
        <v>0</v>
      </c>
      <c r="V18" s="159">
        <f t="shared" si="5"/>
        <v>0</v>
      </c>
      <c r="W18" s="159">
        <f t="shared" si="6"/>
        <v>0</v>
      </c>
      <c r="X18" s="159">
        <f t="shared" si="7"/>
        <v>0</v>
      </c>
      <c r="Y18" s="405">
        <f>L18</f>
        <v>0</v>
      </c>
      <c r="Z18" s="405">
        <f>L18</f>
        <v>0</v>
      </c>
      <c r="AA18" s="405">
        <f t="shared" si="8"/>
        <v>0</v>
      </c>
    </row>
    <row r="19" spans="1:27" x14ac:dyDescent="0.25">
      <c r="A19" s="287" t="str">
        <f>PLANTILLA!A17</f>
        <v>#12</v>
      </c>
      <c r="B19" s="287" t="str">
        <f>PLANTILLA!D17</f>
        <v>E. Gross</v>
      </c>
      <c r="C19" s="287">
        <f>PLANTILLA!E17</f>
        <v>32</v>
      </c>
      <c r="D19" s="287">
        <f ca="1">PLANTILLA!F17</f>
        <v>58</v>
      </c>
      <c r="E19" s="163">
        <f>PLANTILLA!X17</f>
        <v>0</v>
      </c>
      <c r="F19" s="163">
        <f>PLANTILLA!Y17</f>
        <v>10.549999999999995</v>
      </c>
      <c r="G19" s="163">
        <f>PLANTILLA!Z17</f>
        <v>13</v>
      </c>
      <c r="H19" s="163">
        <f>PLANTILLA!AA17</f>
        <v>5.1399999999999979</v>
      </c>
      <c r="I19" s="163">
        <f>PLANTILLA!AB17</f>
        <v>9.24</v>
      </c>
      <c r="J19" s="163">
        <f>PLANTILLA!AC17</f>
        <v>2.98</v>
      </c>
      <c r="K19" s="163">
        <f>PLANTILLA!AD17</f>
        <v>17.459999999999997</v>
      </c>
      <c r="L19" s="333">
        <f>1/4</f>
        <v>0.25</v>
      </c>
      <c r="M19" s="333">
        <f t="shared" si="0"/>
        <v>0.125</v>
      </c>
      <c r="N19" s="333">
        <f t="shared" si="1"/>
        <v>3.125E-2</v>
      </c>
      <c r="O19" s="163">
        <v>0</v>
      </c>
      <c r="P19" s="159">
        <v>0</v>
      </c>
      <c r="Q19" s="159">
        <v>0</v>
      </c>
      <c r="R19" s="159">
        <f t="shared" si="2"/>
        <v>7.1499999999999994E-2</v>
      </c>
      <c r="S19" s="159">
        <f t="shared" si="3"/>
        <v>8.3522727272727262E-2</v>
      </c>
      <c r="T19" s="159">
        <v>0</v>
      </c>
      <c r="U19" s="159">
        <f t="shared" si="4"/>
        <v>8.1534090909090903E-2</v>
      </c>
      <c r="V19" s="159">
        <f t="shared" si="5"/>
        <v>0.12272727272727273</v>
      </c>
      <c r="W19" s="159">
        <f t="shared" si="6"/>
        <v>2.0454545454545454E-2</v>
      </c>
      <c r="X19" s="159">
        <f t="shared" si="7"/>
        <v>3.1392045454545457E-2</v>
      </c>
      <c r="Y19" s="405">
        <v>0</v>
      </c>
      <c r="Z19" s="405">
        <v>0</v>
      </c>
      <c r="AA19" s="405">
        <f t="shared" si="8"/>
        <v>0</v>
      </c>
    </row>
    <row r="20" spans="1:27" x14ac:dyDescent="0.25">
      <c r="A20" s="287" t="str">
        <f>PLANTILLA!A6</f>
        <v>#16</v>
      </c>
      <c r="B20" s="287" t="str">
        <f>PLANTILLA!D6</f>
        <v>T. Hammond</v>
      </c>
      <c r="C20" s="287">
        <f>PLANTILLA!E6</f>
        <v>35</v>
      </c>
      <c r="D20" s="287">
        <f ca="1">PLANTILLA!F6</f>
        <v>107</v>
      </c>
      <c r="E20" s="163">
        <f>PLANTILLA!X6</f>
        <v>9.9499999999999993</v>
      </c>
      <c r="F20" s="163">
        <f>PLANTILLA!Y6</f>
        <v>9.9499999999999993</v>
      </c>
      <c r="G20" s="163">
        <f>PLANTILLA!Z6</f>
        <v>3.99</v>
      </c>
      <c r="H20" s="163">
        <f>PLANTILLA!AA6</f>
        <v>4.95</v>
      </c>
      <c r="I20" s="163">
        <f>PLANTILLA!AB6</f>
        <v>5.95</v>
      </c>
      <c r="J20" s="163">
        <f>PLANTILLA!AC6</f>
        <v>2.95</v>
      </c>
      <c r="K20" s="163">
        <f>PLANTILLA!AD6</f>
        <v>15.778888888888888</v>
      </c>
      <c r="L20" s="333"/>
      <c r="M20" s="333">
        <f t="shared" si="0"/>
        <v>0</v>
      </c>
      <c r="N20" s="333">
        <f t="shared" si="1"/>
        <v>0</v>
      </c>
      <c r="O20" s="163">
        <v>0</v>
      </c>
      <c r="P20" s="159">
        <v>0</v>
      </c>
      <c r="Q20" s="159">
        <v>0</v>
      </c>
      <c r="R20" s="159">
        <f t="shared" si="2"/>
        <v>0</v>
      </c>
      <c r="S20" s="159">
        <f t="shared" si="3"/>
        <v>0</v>
      </c>
      <c r="T20" s="159">
        <v>0</v>
      </c>
      <c r="U20" s="159">
        <f t="shared" si="4"/>
        <v>0</v>
      </c>
      <c r="V20" s="159">
        <f t="shared" si="5"/>
        <v>0</v>
      </c>
      <c r="W20" s="159">
        <f t="shared" si="6"/>
        <v>0</v>
      </c>
      <c r="X20" s="159">
        <f t="shared" si="7"/>
        <v>0</v>
      </c>
      <c r="Y20" s="405"/>
      <c r="Z20" s="405"/>
      <c r="AA20" s="405">
        <f t="shared" si="8"/>
        <v>0</v>
      </c>
    </row>
    <row r="21" spans="1:27" x14ac:dyDescent="0.25">
      <c r="A21" s="287" t="str">
        <f>PLANTILLA!A11</f>
        <v>#13</v>
      </c>
      <c r="B21" s="287" t="str">
        <f>PLANTILLA!D11</f>
        <v>F. Lasprilla</v>
      </c>
      <c r="C21" s="287">
        <f>PLANTILLA!E11</f>
        <v>29</v>
      </c>
      <c r="D21" s="287">
        <f ca="1">PLANTILLA!F11</f>
        <v>5</v>
      </c>
      <c r="E21" s="163">
        <f>PLANTILLA!X11</f>
        <v>0</v>
      </c>
      <c r="F21" s="163">
        <f>PLANTILLA!Y11</f>
        <v>9.6046666666666667</v>
      </c>
      <c r="G21" s="163">
        <f>PLANTILLA!Z11</f>
        <v>7.7607222222222223</v>
      </c>
      <c r="H21" s="163">
        <f>PLANTILLA!AA11</f>
        <v>6.1599999999999984</v>
      </c>
      <c r="I21" s="163">
        <f>PLANTILLA!AB11</f>
        <v>8.8633333333333315</v>
      </c>
      <c r="J21" s="163">
        <f>PLANTILLA!AC11</f>
        <v>3.2566666666666673</v>
      </c>
      <c r="K21" s="163">
        <f>PLANTILLA!AD11</f>
        <v>13.33611111111111</v>
      </c>
      <c r="L21" s="333"/>
      <c r="M21" s="333">
        <f t="shared" si="0"/>
        <v>0</v>
      </c>
      <c r="N21" s="333">
        <f t="shared" si="1"/>
        <v>0</v>
      </c>
      <c r="O21" s="163">
        <v>0</v>
      </c>
      <c r="P21" s="159">
        <v>0</v>
      </c>
      <c r="Q21" s="159">
        <v>0</v>
      </c>
      <c r="R21" s="159">
        <f t="shared" si="2"/>
        <v>0</v>
      </c>
      <c r="S21" s="159">
        <f t="shared" si="3"/>
        <v>0</v>
      </c>
      <c r="T21" s="159">
        <v>0</v>
      </c>
      <c r="U21" s="159">
        <f t="shared" si="4"/>
        <v>0</v>
      </c>
      <c r="V21" s="159">
        <f t="shared" si="5"/>
        <v>0</v>
      </c>
      <c r="W21" s="159">
        <f t="shared" si="6"/>
        <v>0</v>
      </c>
      <c r="X21" s="159">
        <f t="shared" si="7"/>
        <v>0</v>
      </c>
      <c r="Y21" s="405"/>
      <c r="Z21" s="405"/>
      <c r="AA21" s="405">
        <f t="shared" si="8"/>
        <v>0</v>
      </c>
    </row>
    <row r="22" spans="1:27" x14ac:dyDescent="0.25">
      <c r="A22" s="287" t="str">
        <f>PLANTILLA!A19</f>
        <v>#14</v>
      </c>
      <c r="B22" s="287" t="str">
        <f>PLANTILLA!D19</f>
        <v>W. Gelifini</v>
      </c>
      <c r="C22" s="287">
        <f>PLANTILLA!E19</f>
        <v>30</v>
      </c>
      <c r="D22" s="287">
        <f ca="1">PLANTILLA!F19</f>
        <v>95</v>
      </c>
      <c r="E22" s="163">
        <f>PLANTILLA!X19</f>
        <v>0</v>
      </c>
      <c r="F22" s="163">
        <f>PLANTILLA!Y19</f>
        <v>5.6515555555555519</v>
      </c>
      <c r="G22" s="163">
        <f>PLANTILLA!Z19</f>
        <v>10</v>
      </c>
      <c r="H22" s="163">
        <f>PLANTILLA!AA19</f>
        <v>6.95</v>
      </c>
      <c r="I22" s="163">
        <f>PLANTILLA!AB19</f>
        <v>9.2666666666666639</v>
      </c>
      <c r="J22" s="163">
        <f>PLANTILLA!AC19</f>
        <v>3.5417777777777766</v>
      </c>
      <c r="K22" s="163">
        <f>PLANTILLA!AD19</f>
        <v>12.847222222222223</v>
      </c>
      <c r="L22" s="333"/>
      <c r="M22" s="333">
        <f t="shared" si="0"/>
        <v>0</v>
      </c>
      <c r="N22" s="333">
        <f t="shared" si="1"/>
        <v>0</v>
      </c>
      <c r="O22" s="163">
        <v>0</v>
      </c>
      <c r="P22" s="159">
        <v>0</v>
      </c>
      <c r="Q22" s="159">
        <v>0</v>
      </c>
      <c r="R22" s="159">
        <f t="shared" si="2"/>
        <v>0</v>
      </c>
      <c r="S22" s="159">
        <f t="shared" si="3"/>
        <v>0</v>
      </c>
      <c r="T22" s="159">
        <v>0</v>
      </c>
      <c r="U22" s="159">
        <f t="shared" si="4"/>
        <v>0</v>
      </c>
      <c r="V22" s="159">
        <f t="shared" si="5"/>
        <v>0</v>
      </c>
      <c r="W22" s="159">
        <f t="shared" si="6"/>
        <v>0</v>
      </c>
      <c r="X22" s="159">
        <f t="shared" si="7"/>
        <v>0</v>
      </c>
      <c r="Y22" s="405"/>
      <c r="Z22" s="405"/>
      <c r="AA22" s="405">
        <f t="shared" si="8"/>
        <v>0</v>
      </c>
    </row>
    <row r="23" spans="1:27" x14ac:dyDescent="0.25">
      <c r="A23" s="287" t="e">
        <f>PLANTILLA!#REF!</f>
        <v>#REF!</v>
      </c>
      <c r="B23" s="287" t="e">
        <f>PLANTILLA!#REF!</f>
        <v>#REF!</v>
      </c>
      <c r="C23" s="287" t="e">
        <f>PLANTILLA!#REF!</f>
        <v>#REF!</v>
      </c>
      <c r="D23" s="287" t="e">
        <f>PLANTILLA!#REF!</f>
        <v>#REF!</v>
      </c>
      <c r="E23" s="163" t="e">
        <f>PLANTILLA!#REF!</f>
        <v>#REF!</v>
      </c>
      <c r="F23" s="163" t="e">
        <f>PLANTILLA!#REF!</f>
        <v>#REF!</v>
      </c>
      <c r="G23" s="163" t="e">
        <f>PLANTILLA!#REF!</f>
        <v>#REF!</v>
      </c>
      <c r="H23" s="163" t="e">
        <f>PLANTILLA!#REF!</f>
        <v>#REF!</v>
      </c>
      <c r="I23" s="163" t="e">
        <f>PLANTILLA!#REF!</f>
        <v>#REF!</v>
      </c>
      <c r="J23" s="163" t="e">
        <f>PLANTILLA!#REF!</f>
        <v>#REF!</v>
      </c>
      <c r="K23" s="163" t="e">
        <f>PLANTILLA!#REF!</f>
        <v>#REF!</v>
      </c>
      <c r="L23" s="333"/>
      <c r="M23" s="333">
        <f t="shared" si="0"/>
        <v>0</v>
      </c>
      <c r="N23" s="333">
        <f t="shared" si="1"/>
        <v>0</v>
      </c>
      <c r="O23" s="163">
        <v>0</v>
      </c>
      <c r="P23" s="159">
        <v>0</v>
      </c>
      <c r="Q23" s="159">
        <v>0</v>
      </c>
      <c r="R23" s="159">
        <f t="shared" si="2"/>
        <v>0</v>
      </c>
      <c r="S23" s="159">
        <f t="shared" si="3"/>
        <v>0</v>
      </c>
      <c r="T23" s="159">
        <v>0</v>
      </c>
      <c r="U23" s="159">
        <f t="shared" si="4"/>
        <v>0</v>
      </c>
      <c r="V23" s="159">
        <f t="shared" si="5"/>
        <v>0</v>
      </c>
      <c r="W23" s="159">
        <f t="shared" si="6"/>
        <v>0</v>
      </c>
      <c r="X23" s="159">
        <f t="shared" si="7"/>
        <v>0</v>
      </c>
      <c r="Y23" s="405"/>
      <c r="Z23" s="405"/>
      <c r="AA23" s="405">
        <f t="shared" si="8"/>
        <v>0</v>
      </c>
    </row>
    <row r="25" spans="1:27" x14ac:dyDescent="0.25">
      <c r="B25" s="290"/>
    </row>
  </sheetData>
  <sortState ref="A4:AA23">
    <sortCondition descending="1" ref="AA4:AA23"/>
    <sortCondition descending="1" ref="Y4:Y23"/>
    <sortCondition descending="1" ref="Z4:Z23"/>
  </sortState>
  <conditionalFormatting sqref="L4:X23">
    <cfRule type="colorScale" priority="2969">
      <colorScale>
        <cfvo type="min"/>
        <cfvo type="max"/>
        <color rgb="FFFFEF9C"/>
        <color rgb="FF63BE7B"/>
      </colorScale>
    </cfRule>
  </conditionalFormatting>
  <conditionalFormatting sqref="Y4:Y23">
    <cfRule type="dataBar" priority="2971">
      <dataBar>
        <cfvo type="min"/>
        <cfvo type="max"/>
        <color rgb="FF008AEF"/>
      </dataBar>
      <extLst>
        <ext xmlns:x14="http://schemas.microsoft.com/office/spreadsheetml/2009/9/main" uri="{B025F937-C7B1-47D3-B67F-A62EFF666E3E}">
          <x14:id>{FD1C2556-6FED-4C28-B9EB-8DE0847A7688}</x14:id>
        </ext>
      </extLst>
    </cfRule>
  </conditionalFormatting>
  <conditionalFormatting sqref="Z4:AA23">
    <cfRule type="dataBar" priority="2972">
      <dataBar>
        <cfvo type="min"/>
        <cfvo type="max"/>
        <color rgb="FF008AEF"/>
      </dataBar>
      <extLst>
        <ext xmlns:x14="http://schemas.microsoft.com/office/spreadsheetml/2009/9/main" uri="{B025F937-C7B1-47D3-B67F-A62EFF666E3E}">
          <x14:id>{CC0AC70E-A365-4662-A596-E0B21FDF8860}</x14:id>
        </ext>
      </extLst>
    </cfRule>
  </conditionalFormatting>
  <conditionalFormatting sqref="E4:K23">
    <cfRule type="colorScale" priority="2973">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FD1C2556-6FED-4C28-B9EB-8DE0847A7688}">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C0AC70E-A365-4662-A596-E0B21FDF886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X37"/>
  <sheetViews>
    <sheetView zoomScale="90" zoomScaleNormal="90" workbookViewId="0">
      <selection activeCell="R33" sqref="R33"/>
    </sheetView>
  </sheetViews>
  <sheetFormatPr defaultColWidth="11.42578125" defaultRowHeight="15" x14ac:dyDescent="0.25"/>
  <cols>
    <col min="1" max="1" width="18.42578125" bestFit="1" customWidth="1"/>
    <col min="2" max="2" width="20.42578125" bestFit="1" customWidth="1"/>
    <col min="3" max="3" width="11.5703125" bestFit="1" customWidth="1"/>
    <col min="4" max="4" width="22.28515625" bestFit="1" customWidth="1"/>
    <col min="5" max="5" width="8.85546875" customWidth="1"/>
    <col min="6" max="6" width="4.5703125" customWidth="1"/>
    <col min="7" max="7" width="4.42578125" style="317" bestFit="1" customWidth="1"/>
    <col min="8" max="8" width="20.5703125" bestFit="1" customWidth="1"/>
    <col min="9" max="9" width="8.28515625" bestFit="1" customWidth="1"/>
    <col min="10" max="10" width="5.5703125" bestFit="1" customWidth="1"/>
    <col min="11" max="11" width="3.28515625" bestFit="1" customWidth="1"/>
    <col min="12" max="12" width="5" bestFit="1" customWidth="1"/>
    <col min="13" max="13" width="20.42578125" bestFit="1" customWidth="1"/>
    <col min="14" max="14" width="8.28515625" bestFit="1" customWidth="1"/>
    <col min="15" max="15" width="7.42578125" style="628" bestFit="1" customWidth="1"/>
    <col min="16" max="16" width="6.28515625" customWidth="1"/>
    <col min="17" max="17" width="3.28515625" bestFit="1" customWidth="1"/>
    <col min="18" max="18" width="5.5703125" bestFit="1" customWidth="1"/>
    <col min="19" max="19" width="20.42578125" bestFit="1" customWidth="1"/>
    <col min="20" max="20" width="8.28515625" bestFit="1" customWidth="1"/>
    <col min="21" max="21" width="5.5703125" bestFit="1" customWidth="1"/>
    <col min="22" max="22" width="6.28515625" bestFit="1" customWidth="1"/>
    <col min="23" max="23" width="4.42578125" bestFit="1" customWidth="1"/>
  </cols>
  <sheetData>
    <row r="1" spans="1:24" x14ac:dyDescent="0.25">
      <c r="A1" s="322" t="s">
        <v>443</v>
      </c>
    </row>
    <row r="2" spans="1:24" ht="18.75" x14ac:dyDescent="0.3">
      <c r="A2" s="323">
        <v>43288</v>
      </c>
      <c r="F2" s="291"/>
      <c r="G2" s="705" t="s">
        <v>444</v>
      </c>
      <c r="H2" s="705"/>
      <c r="J2" s="291"/>
      <c r="K2" s="291"/>
      <c r="L2" s="705" t="s">
        <v>864</v>
      </c>
      <c r="M2" s="705"/>
      <c r="N2" s="705"/>
      <c r="O2" s="629"/>
      <c r="P2" s="309"/>
      <c r="Q2" s="309"/>
      <c r="R2" s="705" t="s">
        <v>446</v>
      </c>
      <c r="S2" s="705"/>
      <c r="U2" s="4" t="s">
        <v>870</v>
      </c>
      <c r="V2" s="3" t="s">
        <v>176</v>
      </c>
      <c r="W2" s="291"/>
      <c r="X2" s="291"/>
    </row>
    <row r="3" spans="1:24" x14ac:dyDescent="0.25">
      <c r="F3">
        <v>1</v>
      </c>
      <c r="G3" s="3">
        <v>72</v>
      </c>
      <c r="H3" t="s">
        <v>783</v>
      </c>
      <c r="I3" t="s">
        <v>1</v>
      </c>
      <c r="K3" s="619">
        <v>1</v>
      </c>
      <c r="L3" s="3">
        <v>312</v>
      </c>
      <c r="M3" t="s">
        <v>473</v>
      </c>
      <c r="N3" s="290" t="s">
        <v>439</v>
      </c>
      <c r="O3" s="370">
        <f>L3/$G$22</f>
        <v>0.8764044943820225</v>
      </c>
      <c r="Q3" s="619">
        <v>1</v>
      </c>
      <c r="R3" s="3">
        <v>221</v>
      </c>
      <c r="S3" t="s">
        <v>447</v>
      </c>
      <c r="T3" t="s">
        <v>212</v>
      </c>
      <c r="U3" s="159">
        <f>R3/L7</f>
        <v>0.87698412698412698</v>
      </c>
      <c r="V3" s="47">
        <f t="shared" ref="V3:V17" si="0">R3/$R$33</f>
        <v>0.18144499178981938</v>
      </c>
    </row>
    <row r="4" spans="1:24" s="291" customFormat="1" ht="18.75" x14ac:dyDescent="0.3">
      <c r="A4" s="291" t="s">
        <v>441</v>
      </c>
      <c r="F4">
        <v>2</v>
      </c>
      <c r="G4" s="3">
        <v>59</v>
      </c>
      <c r="H4" t="s">
        <v>206</v>
      </c>
      <c r="I4" s="290" t="s">
        <v>1</v>
      </c>
      <c r="J4"/>
      <c r="K4" s="619">
        <v>2</v>
      </c>
      <c r="L4" s="3">
        <v>311</v>
      </c>
      <c r="M4" t="s">
        <v>460</v>
      </c>
      <c r="N4" t="s">
        <v>459</v>
      </c>
      <c r="O4" s="370">
        <f t="shared" ref="O4:O23" si="1">L4/$G$22</f>
        <v>0.8735955056179775</v>
      </c>
      <c r="P4"/>
      <c r="Q4" s="619">
        <v>2</v>
      </c>
      <c r="R4" s="3">
        <v>107</v>
      </c>
      <c r="S4" t="s">
        <v>547</v>
      </c>
      <c r="T4" t="s">
        <v>65</v>
      </c>
      <c r="U4" s="159">
        <f>R4/L11</f>
        <v>0.48636363636363639</v>
      </c>
      <c r="V4" s="47">
        <f t="shared" si="0"/>
        <v>8.7848932676518887E-2</v>
      </c>
      <c r="W4"/>
      <c r="X4"/>
    </row>
    <row r="5" spans="1:24" x14ac:dyDescent="0.25">
      <c r="A5" s="685" t="s">
        <v>442</v>
      </c>
      <c r="B5" s="686" t="s">
        <v>879</v>
      </c>
      <c r="C5" s="290">
        <v>43276</v>
      </c>
      <c r="D5" t="s">
        <v>880</v>
      </c>
      <c r="F5">
        <v>3</v>
      </c>
      <c r="G5" s="664">
        <v>46</v>
      </c>
      <c r="H5" s="662" t="s">
        <v>204</v>
      </c>
      <c r="I5" s="663" t="s">
        <v>1</v>
      </c>
      <c r="K5" s="631">
        <v>3</v>
      </c>
      <c r="L5" s="3">
        <v>276</v>
      </c>
      <c r="M5" t="s">
        <v>449</v>
      </c>
      <c r="N5" s="290" t="s">
        <v>64</v>
      </c>
      <c r="O5" s="370">
        <f t="shared" si="1"/>
        <v>0.7752808988764045</v>
      </c>
      <c r="Q5" s="619">
        <v>3</v>
      </c>
      <c r="R5" s="3">
        <v>91</v>
      </c>
      <c r="S5" t="s">
        <v>449</v>
      </c>
      <c r="T5" t="s">
        <v>64</v>
      </c>
      <c r="U5" s="159">
        <f>R5/L5</f>
        <v>0.32971014492753625</v>
      </c>
      <c r="V5" s="47">
        <f t="shared" si="0"/>
        <v>7.4712643678160925E-2</v>
      </c>
    </row>
    <row r="6" spans="1:24" ht="18.75" x14ac:dyDescent="0.3">
      <c r="A6" s="685" t="s">
        <v>862</v>
      </c>
      <c r="B6" s="687" t="s">
        <v>877</v>
      </c>
      <c r="C6" s="290">
        <v>43258</v>
      </c>
      <c r="D6" t="s">
        <v>878</v>
      </c>
      <c r="F6">
        <v>4</v>
      </c>
      <c r="G6" s="664">
        <v>2</v>
      </c>
      <c r="H6" s="662" t="s">
        <v>200</v>
      </c>
      <c r="I6" s="662" t="s">
        <v>1</v>
      </c>
      <c r="J6" s="291"/>
      <c r="K6" s="631">
        <v>4</v>
      </c>
      <c r="L6" s="342">
        <v>255</v>
      </c>
      <c r="M6" t="s">
        <v>498</v>
      </c>
      <c r="N6" s="290" t="s">
        <v>64</v>
      </c>
      <c r="O6" s="370">
        <f t="shared" si="1"/>
        <v>0.7162921348314607</v>
      </c>
      <c r="P6" s="291"/>
      <c r="Q6" s="619">
        <v>4</v>
      </c>
      <c r="R6" s="321">
        <v>88</v>
      </c>
      <c r="S6" t="s">
        <v>460</v>
      </c>
      <c r="T6" t="s">
        <v>459</v>
      </c>
      <c r="U6" s="159">
        <f>R6/L4</f>
        <v>0.28295819935691319</v>
      </c>
      <c r="V6" s="47">
        <f t="shared" si="0"/>
        <v>7.2249589490968796E-2</v>
      </c>
      <c r="X6" s="291"/>
    </row>
    <row r="7" spans="1:24" ht="18.75" x14ac:dyDescent="0.3">
      <c r="F7">
        <v>5</v>
      </c>
      <c r="G7" s="3">
        <v>1</v>
      </c>
      <c r="H7" t="s">
        <v>448</v>
      </c>
      <c r="I7" t="s">
        <v>2</v>
      </c>
      <c r="K7" s="631">
        <v>5</v>
      </c>
      <c r="L7" s="342">
        <v>252</v>
      </c>
      <c r="M7" t="s">
        <v>496</v>
      </c>
      <c r="N7" s="290" t="s">
        <v>212</v>
      </c>
      <c r="O7" s="370">
        <f t="shared" si="1"/>
        <v>0.7078651685393258</v>
      </c>
      <c r="Q7" s="619">
        <v>5</v>
      </c>
      <c r="R7" s="317">
        <v>68</v>
      </c>
      <c r="S7" t="s">
        <v>498</v>
      </c>
      <c r="T7" s="290" t="s">
        <v>64</v>
      </c>
      <c r="U7" s="159">
        <f>R7/L6</f>
        <v>0.26666666666666666</v>
      </c>
      <c r="V7" s="47">
        <f t="shared" si="0"/>
        <v>5.5829228243021348E-2</v>
      </c>
      <c r="W7" s="291"/>
    </row>
    <row r="8" spans="1:24" s="291" customFormat="1" ht="18.75" x14ac:dyDescent="0.3">
      <c r="A8" s="705" t="s">
        <v>863</v>
      </c>
      <c r="B8" s="705"/>
      <c r="F8">
        <v>5</v>
      </c>
      <c r="G8" s="664">
        <v>1</v>
      </c>
      <c r="H8" s="662" t="s">
        <v>462</v>
      </c>
      <c r="I8" s="662" t="s">
        <v>439</v>
      </c>
      <c r="J8"/>
      <c r="K8" s="631">
        <v>6</v>
      </c>
      <c r="L8" s="317">
        <v>248</v>
      </c>
      <c r="M8" t="s">
        <v>457</v>
      </c>
      <c r="N8" s="290" t="s">
        <v>64</v>
      </c>
      <c r="O8" s="370">
        <f t="shared" si="1"/>
        <v>0.6966292134831461</v>
      </c>
      <c r="P8"/>
      <c r="Q8" s="619">
        <v>6</v>
      </c>
      <c r="R8" s="380">
        <v>67</v>
      </c>
      <c r="S8" t="s">
        <v>497</v>
      </c>
      <c r="T8" s="290" t="s">
        <v>65</v>
      </c>
      <c r="U8" s="159">
        <f>R8/L10</f>
        <v>0.28879310344827586</v>
      </c>
      <c r="V8" s="47">
        <f t="shared" si="0"/>
        <v>5.5008210180623976E-2</v>
      </c>
      <c r="X8"/>
    </row>
    <row r="9" spans="1:24" x14ac:dyDescent="0.25">
      <c r="A9" s="659" t="s">
        <v>876</v>
      </c>
      <c r="B9" t="s">
        <v>860</v>
      </c>
      <c r="C9" s="290" t="s">
        <v>66</v>
      </c>
      <c r="K9" s="631">
        <v>7</v>
      </c>
      <c r="L9" s="317">
        <v>239</v>
      </c>
      <c r="M9" t="s">
        <v>461</v>
      </c>
      <c r="N9" s="290" t="s">
        <v>439</v>
      </c>
      <c r="O9" s="370">
        <f t="shared" si="1"/>
        <v>0.6713483146067416</v>
      </c>
      <c r="Q9" s="619">
        <v>7</v>
      </c>
      <c r="R9" s="321">
        <v>62</v>
      </c>
      <c r="S9" t="s">
        <v>473</v>
      </c>
      <c r="T9" s="290" t="s">
        <v>439</v>
      </c>
      <c r="U9" s="159">
        <f>R9/L3</f>
        <v>0.19871794871794871</v>
      </c>
      <c r="V9" s="47">
        <f t="shared" si="0"/>
        <v>5.090311986863711E-2</v>
      </c>
    </row>
    <row r="10" spans="1:24" ht="18.75" x14ac:dyDescent="0.3">
      <c r="A10" s="567" t="s">
        <v>866</v>
      </c>
      <c r="B10" t="s">
        <v>783</v>
      </c>
      <c r="C10" t="s">
        <v>1</v>
      </c>
      <c r="F10" s="291"/>
      <c r="G10" s="705" t="s">
        <v>445</v>
      </c>
      <c r="H10" s="705"/>
      <c r="J10" s="291"/>
      <c r="K10" s="631">
        <v>8</v>
      </c>
      <c r="L10" s="342">
        <v>232</v>
      </c>
      <c r="M10" t="s">
        <v>497</v>
      </c>
      <c r="N10" s="290" t="s">
        <v>65</v>
      </c>
      <c r="O10" s="370">
        <f t="shared" si="1"/>
        <v>0.651685393258427</v>
      </c>
      <c r="P10" s="291"/>
      <c r="Q10" s="619">
        <v>7</v>
      </c>
      <c r="R10" s="360">
        <v>62</v>
      </c>
      <c r="S10" t="s">
        <v>476</v>
      </c>
      <c r="T10" s="290" t="s">
        <v>64</v>
      </c>
      <c r="U10" s="159">
        <f>R10/L12</f>
        <v>0.28971962616822428</v>
      </c>
      <c r="V10" s="47">
        <f t="shared" si="0"/>
        <v>5.090311986863711E-2</v>
      </c>
      <c r="X10" s="291"/>
    </row>
    <row r="11" spans="1:24" x14ac:dyDescent="0.25">
      <c r="A11" s="382" t="s">
        <v>866</v>
      </c>
      <c r="B11" t="s">
        <v>460</v>
      </c>
      <c r="C11" t="s">
        <v>459</v>
      </c>
      <c r="F11">
        <v>1</v>
      </c>
      <c r="G11" s="443">
        <v>147</v>
      </c>
      <c r="H11" t="s">
        <v>783</v>
      </c>
      <c r="I11" t="s">
        <v>1</v>
      </c>
      <c r="K11" s="631">
        <v>9</v>
      </c>
      <c r="L11" s="443">
        <v>220</v>
      </c>
      <c r="M11" t="s">
        <v>547</v>
      </c>
      <c r="N11" t="s">
        <v>65</v>
      </c>
      <c r="O11" s="370">
        <f>L11/$G$22</f>
        <v>0.6179775280898876</v>
      </c>
      <c r="Q11" s="619">
        <v>9</v>
      </c>
      <c r="R11" s="321">
        <v>61</v>
      </c>
      <c r="S11" t="s">
        <v>461</v>
      </c>
      <c r="T11" s="290" t="s">
        <v>439</v>
      </c>
      <c r="U11" s="159">
        <f>R11/L9</f>
        <v>0.25523012552301255</v>
      </c>
      <c r="V11" s="47">
        <f t="shared" si="0"/>
        <v>5.0082101806239739E-2</v>
      </c>
    </row>
    <row r="12" spans="1:24" s="291" customFormat="1" ht="18.75" x14ac:dyDescent="0.3">
      <c r="A12" s="382" t="s">
        <v>866</v>
      </c>
      <c r="B12" t="s">
        <v>498</v>
      </c>
      <c r="C12" s="290" t="s">
        <v>64</v>
      </c>
      <c r="F12">
        <v>2</v>
      </c>
      <c r="G12" s="664">
        <v>88</v>
      </c>
      <c r="H12" s="662" t="s">
        <v>204</v>
      </c>
      <c r="I12" s="663" t="s">
        <v>1</v>
      </c>
      <c r="J12"/>
      <c r="K12" s="631">
        <v>10</v>
      </c>
      <c r="L12" s="317">
        <v>214</v>
      </c>
      <c r="M12" t="s">
        <v>476</v>
      </c>
      <c r="N12" s="290" t="s">
        <v>64</v>
      </c>
      <c r="O12" s="370">
        <f t="shared" si="1"/>
        <v>0.601123595505618</v>
      </c>
      <c r="P12"/>
      <c r="Q12" s="619">
        <v>10</v>
      </c>
      <c r="R12" s="443">
        <v>56</v>
      </c>
      <c r="S12" s="246" t="s">
        <v>860</v>
      </c>
      <c r="T12" s="246" t="s">
        <v>66</v>
      </c>
      <c r="U12" s="159">
        <f>R12/L21</f>
        <v>0.68292682926829273</v>
      </c>
      <c r="V12" s="47">
        <f t="shared" si="0"/>
        <v>4.5977011494252873E-2</v>
      </c>
      <c r="W12">
        <v>132</v>
      </c>
      <c r="X12"/>
    </row>
    <row r="13" spans="1:24" x14ac:dyDescent="0.25">
      <c r="A13" s="655" t="s">
        <v>791</v>
      </c>
      <c r="B13" t="s">
        <v>857</v>
      </c>
      <c r="C13" t="s">
        <v>2</v>
      </c>
      <c r="F13">
        <v>3</v>
      </c>
      <c r="G13" s="317">
        <v>73</v>
      </c>
      <c r="H13" t="s">
        <v>473</v>
      </c>
      <c r="I13" s="290" t="s">
        <v>439</v>
      </c>
      <c r="K13" s="631">
        <v>11</v>
      </c>
      <c r="L13" s="321">
        <v>191</v>
      </c>
      <c r="M13" t="s">
        <v>206</v>
      </c>
      <c r="N13" s="290" t="s">
        <v>1</v>
      </c>
      <c r="O13" s="370">
        <f t="shared" si="1"/>
        <v>0.5365168539325843</v>
      </c>
      <c r="Q13" s="619">
        <v>11</v>
      </c>
      <c r="R13" s="381">
        <v>55</v>
      </c>
      <c r="S13" t="s">
        <v>550</v>
      </c>
      <c r="T13" s="290" t="s">
        <v>212</v>
      </c>
      <c r="U13" s="159">
        <f>R13/L17</f>
        <v>0.47413793103448276</v>
      </c>
      <c r="V13" s="47">
        <f t="shared" si="0"/>
        <v>4.5155993431855501E-2</v>
      </c>
    </row>
    <row r="14" spans="1:24" x14ac:dyDescent="0.25">
      <c r="A14" s="382" t="s">
        <v>791</v>
      </c>
      <c r="B14" t="s">
        <v>449</v>
      </c>
      <c r="C14" s="290" t="s">
        <v>64</v>
      </c>
      <c r="F14">
        <v>4</v>
      </c>
      <c r="G14" s="661">
        <v>21</v>
      </c>
      <c r="H14" s="662" t="s">
        <v>190</v>
      </c>
      <c r="I14" s="662" t="s">
        <v>65</v>
      </c>
      <c r="K14" s="631">
        <v>12</v>
      </c>
      <c r="L14" s="317">
        <v>184</v>
      </c>
      <c r="M14" t="s">
        <v>448</v>
      </c>
      <c r="N14" s="290" t="s">
        <v>439</v>
      </c>
      <c r="O14" s="370">
        <f t="shared" si="1"/>
        <v>0.5168539325842697</v>
      </c>
      <c r="Q14" s="619">
        <v>12</v>
      </c>
      <c r="R14" s="317">
        <v>52</v>
      </c>
      <c r="S14" t="s">
        <v>448</v>
      </c>
      <c r="T14" t="s">
        <v>2</v>
      </c>
      <c r="U14" s="159">
        <f>R14/L14</f>
        <v>0.28260869565217389</v>
      </c>
      <c r="V14" s="47">
        <f t="shared" si="0"/>
        <v>4.2692939244663386E-2</v>
      </c>
    </row>
    <row r="15" spans="1:24" x14ac:dyDescent="0.25">
      <c r="A15" s="380" t="s">
        <v>791</v>
      </c>
      <c r="B15" t="s">
        <v>473</v>
      </c>
      <c r="C15" s="290" t="s">
        <v>439</v>
      </c>
      <c r="F15">
        <v>5</v>
      </c>
      <c r="G15" s="443">
        <v>8</v>
      </c>
      <c r="H15" t="s">
        <v>449</v>
      </c>
      <c r="I15" s="290" t="s">
        <v>64</v>
      </c>
      <c r="K15" s="631">
        <v>13</v>
      </c>
      <c r="L15" s="443">
        <v>163</v>
      </c>
      <c r="M15" t="s">
        <v>783</v>
      </c>
      <c r="N15" t="s">
        <v>1</v>
      </c>
      <c r="O15" s="370">
        <f>L15/$G$22</f>
        <v>0.45786516853932585</v>
      </c>
      <c r="Q15" s="619">
        <v>13</v>
      </c>
      <c r="R15" s="321">
        <v>46</v>
      </c>
      <c r="S15" t="s">
        <v>457</v>
      </c>
      <c r="T15" t="s">
        <v>64</v>
      </c>
      <c r="U15" s="159">
        <f>R15/L8</f>
        <v>0.18548387096774194</v>
      </c>
      <c r="V15" s="47">
        <f t="shared" si="0"/>
        <v>3.7766830870279149E-2</v>
      </c>
    </row>
    <row r="16" spans="1:24" x14ac:dyDescent="0.25">
      <c r="A16" s="679" t="s">
        <v>791</v>
      </c>
      <c r="B16" s="246" t="s">
        <v>873</v>
      </c>
      <c r="C16" s="246" t="s">
        <v>66</v>
      </c>
      <c r="F16">
        <v>6</v>
      </c>
      <c r="G16" s="661">
        <v>6</v>
      </c>
      <c r="H16" s="662" t="s">
        <v>194</v>
      </c>
      <c r="I16" s="663" t="s">
        <v>64</v>
      </c>
      <c r="K16" s="631">
        <v>14</v>
      </c>
      <c r="L16" s="661">
        <v>146</v>
      </c>
      <c r="M16" s="662" t="s">
        <v>204</v>
      </c>
      <c r="N16" s="663" t="s">
        <v>1</v>
      </c>
      <c r="O16" s="665">
        <f t="shared" si="1"/>
        <v>0.4101123595505618</v>
      </c>
      <c r="Q16" s="619">
        <v>14</v>
      </c>
      <c r="R16" s="317">
        <v>22</v>
      </c>
      <c r="S16" t="s">
        <v>513</v>
      </c>
      <c r="T16" t="s">
        <v>64</v>
      </c>
      <c r="U16" s="159">
        <f>R16/L19</f>
        <v>0.21359223300970873</v>
      </c>
      <c r="V16" s="47">
        <f t="shared" si="0"/>
        <v>1.8062397372742199E-2</v>
      </c>
    </row>
    <row r="17" spans="1:23" x14ac:dyDescent="0.25">
      <c r="A17" s="380" t="s">
        <v>875</v>
      </c>
      <c r="B17" t="s">
        <v>547</v>
      </c>
      <c r="C17" s="290" t="s">
        <v>65</v>
      </c>
      <c r="F17">
        <v>7</v>
      </c>
      <c r="G17" s="664">
        <v>5</v>
      </c>
      <c r="H17" s="662" t="s">
        <v>193</v>
      </c>
      <c r="I17" s="663" t="s">
        <v>64</v>
      </c>
      <c r="K17" s="631">
        <v>15</v>
      </c>
      <c r="L17" s="443">
        <v>116</v>
      </c>
      <c r="M17" s="246" t="s">
        <v>627</v>
      </c>
      <c r="N17" s="452" t="s">
        <v>212</v>
      </c>
      <c r="O17" s="370">
        <f t="shared" si="1"/>
        <v>0.3258426966292135</v>
      </c>
      <c r="Q17" s="619">
        <v>15</v>
      </c>
      <c r="R17" s="593">
        <v>20</v>
      </c>
      <c r="S17" t="s">
        <v>857</v>
      </c>
      <c r="T17" t="s">
        <v>2</v>
      </c>
      <c r="U17" s="159">
        <f>R17/L21</f>
        <v>0.24390243902439024</v>
      </c>
      <c r="V17" s="47">
        <f t="shared" si="0"/>
        <v>1.6420361247947456E-2</v>
      </c>
      <c r="W17">
        <v>66</v>
      </c>
    </row>
    <row r="18" spans="1:23" x14ac:dyDescent="0.25">
      <c r="A18" s="382" t="s">
        <v>875</v>
      </c>
      <c r="B18" t="s">
        <v>497</v>
      </c>
      <c r="C18" s="290" t="s">
        <v>65</v>
      </c>
      <c r="F18">
        <v>8</v>
      </c>
      <c r="G18" s="661">
        <v>4</v>
      </c>
      <c r="H18" s="662" t="s">
        <v>387</v>
      </c>
      <c r="I18" s="663" t="s">
        <v>212</v>
      </c>
      <c r="K18" s="631">
        <v>16</v>
      </c>
      <c r="L18" s="443">
        <v>109</v>
      </c>
      <c r="M18" t="s">
        <v>857</v>
      </c>
      <c r="N18" t="s">
        <v>2</v>
      </c>
      <c r="O18" s="370">
        <f>L18/$G$22</f>
        <v>0.3061797752808989</v>
      </c>
      <c r="Q18" s="619">
        <v>16</v>
      </c>
      <c r="R18" s="661">
        <v>19</v>
      </c>
      <c r="S18" s="662" t="s">
        <v>205</v>
      </c>
      <c r="T18" s="663" t="s">
        <v>451</v>
      </c>
      <c r="U18" s="159"/>
      <c r="V18" s="47"/>
    </row>
    <row r="19" spans="1:23" x14ac:dyDescent="0.25">
      <c r="A19" s="382" t="s">
        <v>819</v>
      </c>
      <c r="B19" t="s">
        <v>476</v>
      </c>
      <c r="C19" s="290" t="s">
        <v>64</v>
      </c>
      <c r="F19">
        <v>9</v>
      </c>
      <c r="G19" s="604">
        <v>2</v>
      </c>
      <c r="H19" t="s">
        <v>206</v>
      </c>
      <c r="I19" s="290" t="s">
        <v>1</v>
      </c>
      <c r="K19" s="631">
        <v>17</v>
      </c>
      <c r="L19" s="443">
        <v>103</v>
      </c>
      <c r="M19" t="s">
        <v>513</v>
      </c>
      <c r="N19" t="s">
        <v>64</v>
      </c>
      <c r="O19" s="370">
        <f t="shared" si="1"/>
        <v>0.2893258426966292</v>
      </c>
      <c r="Q19" s="619">
        <v>17</v>
      </c>
      <c r="R19" s="661">
        <v>15</v>
      </c>
      <c r="S19" s="662" t="s">
        <v>193</v>
      </c>
      <c r="T19" s="663" t="s">
        <v>64</v>
      </c>
      <c r="U19" s="159"/>
      <c r="V19" s="47"/>
    </row>
    <row r="20" spans="1:23" x14ac:dyDescent="0.25">
      <c r="A20" s="382" t="s">
        <v>819</v>
      </c>
      <c r="B20" t="s">
        <v>457</v>
      </c>
      <c r="C20" s="290" t="s">
        <v>64</v>
      </c>
      <c r="F20">
        <v>10</v>
      </c>
      <c r="G20" s="664">
        <v>1</v>
      </c>
      <c r="H20" s="662" t="s">
        <v>205</v>
      </c>
      <c r="I20" s="663" t="s">
        <v>451</v>
      </c>
      <c r="K20" s="631">
        <v>18</v>
      </c>
      <c r="L20" s="661">
        <v>89</v>
      </c>
      <c r="M20" s="662" t="s">
        <v>462</v>
      </c>
      <c r="N20" s="663" t="s">
        <v>439</v>
      </c>
      <c r="O20" s="665">
        <f t="shared" si="1"/>
        <v>0.25</v>
      </c>
      <c r="Q20" s="619">
        <v>18</v>
      </c>
      <c r="R20" s="317">
        <v>14</v>
      </c>
      <c r="S20" t="s">
        <v>630</v>
      </c>
      <c r="T20" t="s">
        <v>2</v>
      </c>
      <c r="U20" s="159">
        <f>R20/L22</f>
        <v>0.19178082191780821</v>
      </c>
      <c r="V20" s="47">
        <f>R20/$R$33</f>
        <v>1.1494252873563218E-2</v>
      </c>
    </row>
    <row r="21" spans="1:23" x14ac:dyDescent="0.25">
      <c r="A21" s="380" t="s">
        <v>819</v>
      </c>
      <c r="B21" t="s">
        <v>496</v>
      </c>
      <c r="C21" s="290" t="s">
        <v>212</v>
      </c>
      <c r="F21">
        <v>10</v>
      </c>
      <c r="G21" s="3">
        <v>1</v>
      </c>
      <c r="H21" t="s">
        <v>448</v>
      </c>
      <c r="I21" t="s">
        <v>2</v>
      </c>
      <c r="K21" s="631">
        <v>19</v>
      </c>
      <c r="L21" s="443">
        <v>82</v>
      </c>
      <c r="M21" t="s">
        <v>860</v>
      </c>
      <c r="N21" t="s">
        <v>66</v>
      </c>
      <c r="O21" s="370">
        <f t="shared" ref="O21" si="2">L21/$G$22</f>
        <v>0.2303370786516854</v>
      </c>
      <c r="Q21" s="619">
        <v>19</v>
      </c>
      <c r="R21" s="661">
        <v>12</v>
      </c>
      <c r="S21" s="662" t="s">
        <v>533</v>
      </c>
      <c r="T21" s="663" t="s">
        <v>212</v>
      </c>
      <c r="U21" s="159"/>
      <c r="V21" s="47"/>
    </row>
    <row r="22" spans="1:23" x14ac:dyDescent="0.25">
      <c r="A22" s="382" t="s">
        <v>713</v>
      </c>
      <c r="B22" t="s">
        <v>550</v>
      </c>
      <c r="C22" s="290" t="s">
        <v>212</v>
      </c>
      <c r="G22" s="666">
        <f>SUM(G11:G21)</f>
        <v>356</v>
      </c>
      <c r="K22" s="631">
        <v>20</v>
      </c>
      <c r="L22" s="604">
        <v>73</v>
      </c>
      <c r="M22" t="s">
        <v>630</v>
      </c>
      <c r="N22" t="s">
        <v>439</v>
      </c>
      <c r="O22" s="370">
        <f t="shared" si="1"/>
        <v>0.2050561797752809</v>
      </c>
      <c r="Q22" s="619">
        <v>20</v>
      </c>
      <c r="R22" s="321">
        <v>11</v>
      </c>
      <c r="S22" t="s">
        <v>206</v>
      </c>
      <c r="T22" s="290" t="s">
        <v>1</v>
      </c>
      <c r="U22" s="159">
        <f>R22/L13</f>
        <v>5.7591623036649213E-2</v>
      </c>
      <c r="V22" s="47">
        <f>R22/$R$33</f>
        <v>9.0311986863710995E-3</v>
      </c>
    </row>
    <row r="23" spans="1:23" x14ac:dyDescent="0.25">
      <c r="A23" s="326" t="s">
        <v>867</v>
      </c>
      <c r="B23" t="s">
        <v>461</v>
      </c>
      <c r="C23" s="290" t="s">
        <v>439</v>
      </c>
      <c r="K23" s="631">
        <v>21</v>
      </c>
      <c r="L23" s="661">
        <v>55</v>
      </c>
      <c r="M23" s="662" t="s">
        <v>205</v>
      </c>
      <c r="N23" s="663" t="s">
        <v>451</v>
      </c>
      <c r="O23" s="665">
        <f t="shared" si="1"/>
        <v>0.1544943820224719</v>
      </c>
      <c r="Q23" s="619">
        <v>20</v>
      </c>
      <c r="R23" s="661">
        <v>10</v>
      </c>
      <c r="S23" s="662" t="s">
        <v>462</v>
      </c>
      <c r="T23" s="663" t="s">
        <v>439</v>
      </c>
      <c r="U23" s="159"/>
      <c r="V23" s="47"/>
    </row>
    <row r="24" spans="1:23" x14ac:dyDescent="0.25">
      <c r="A24" s="382" t="s">
        <v>574</v>
      </c>
      <c r="B24" t="s">
        <v>206</v>
      </c>
      <c r="C24" s="290" t="s">
        <v>1</v>
      </c>
      <c r="K24" s="631"/>
      <c r="L24" s="604" t="s">
        <v>793</v>
      </c>
      <c r="M24" t="s">
        <v>793</v>
      </c>
      <c r="N24" t="s">
        <v>793</v>
      </c>
      <c r="O24" s="628" t="s">
        <v>793</v>
      </c>
      <c r="Q24" s="619">
        <v>20</v>
      </c>
      <c r="R24" s="661">
        <v>10</v>
      </c>
      <c r="S24" s="662" t="s">
        <v>548</v>
      </c>
      <c r="T24" s="663" t="s">
        <v>212</v>
      </c>
      <c r="U24" s="502"/>
      <c r="V24" s="47"/>
    </row>
    <row r="25" spans="1:23" x14ac:dyDescent="0.25">
      <c r="A25" s="661" t="s">
        <v>574</v>
      </c>
      <c r="B25" s="662" t="s">
        <v>204</v>
      </c>
      <c r="C25" s="663" t="s">
        <v>1</v>
      </c>
      <c r="K25" s="631"/>
      <c r="L25" s="672">
        <v>32</v>
      </c>
      <c r="M25" s="246" t="s">
        <v>873</v>
      </c>
      <c r="N25" s="246" t="s">
        <v>66</v>
      </c>
      <c r="O25" s="370">
        <f>L25/$G$22</f>
        <v>8.98876404494382E-2</v>
      </c>
      <c r="Q25" s="619">
        <v>23</v>
      </c>
      <c r="R25" s="661">
        <v>9</v>
      </c>
      <c r="S25" s="662" t="s">
        <v>464</v>
      </c>
      <c r="T25" s="662" t="s">
        <v>212</v>
      </c>
      <c r="U25" s="159"/>
      <c r="V25" s="47"/>
    </row>
    <row r="26" spans="1:23" x14ac:dyDescent="0.25">
      <c r="A26" s="380" t="s">
        <v>574</v>
      </c>
      <c r="B26" t="s">
        <v>513</v>
      </c>
      <c r="C26" t="s">
        <v>64</v>
      </c>
      <c r="Q26" s="619">
        <v>23</v>
      </c>
      <c r="R26" s="661">
        <v>9</v>
      </c>
      <c r="S26" s="662" t="s">
        <v>463</v>
      </c>
      <c r="T26" s="662" t="s">
        <v>212</v>
      </c>
      <c r="U26" s="159"/>
      <c r="V26" s="47"/>
    </row>
    <row r="27" spans="1:23" x14ac:dyDescent="0.25">
      <c r="A27" s="661" t="s">
        <v>458</v>
      </c>
      <c r="B27" s="662" t="s">
        <v>387</v>
      </c>
      <c r="C27" s="663" t="s">
        <v>212</v>
      </c>
      <c r="Q27" s="619">
        <v>25</v>
      </c>
      <c r="R27" s="661">
        <v>8</v>
      </c>
      <c r="S27" s="662" t="s">
        <v>199</v>
      </c>
      <c r="T27" s="662" t="s">
        <v>439</v>
      </c>
      <c r="U27" s="159"/>
      <c r="V27" s="47"/>
    </row>
    <row r="28" spans="1:23" x14ac:dyDescent="0.25">
      <c r="A28" s="380" t="s">
        <v>458</v>
      </c>
      <c r="B28" t="s">
        <v>448</v>
      </c>
      <c r="C28" s="290" t="s">
        <v>2</v>
      </c>
      <c r="Q28" s="619">
        <v>26</v>
      </c>
      <c r="R28" s="443">
        <v>9</v>
      </c>
      <c r="S28" s="246" t="s">
        <v>873</v>
      </c>
      <c r="T28" s="246" t="s">
        <v>66</v>
      </c>
      <c r="U28" s="675"/>
      <c r="V28" s="676"/>
      <c r="W28" s="246">
        <v>66</v>
      </c>
    </row>
    <row r="29" spans="1:23" x14ac:dyDescent="0.25">
      <c r="A29" s="454" t="s">
        <v>458</v>
      </c>
      <c r="B29" t="s">
        <v>630</v>
      </c>
      <c r="C29" t="s">
        <v>439</v>
      </c>
      <c r="Q29" s="633">
        <v>27</v>
      </c>
      <c r="R29" s="661">
        <v>6</v>
      </c>
      <c r="S29" s="662" t="s">
        <v>204</v>
      </c>
      <c r="T29" s="663" t="s">
        <v>1</v>
      </c>
      <c r="U29" s="159"/>
      <c r="V29" s="47"/>
    </row>
    <row r="30" spans="1:23" x14ac:dyDescent="0.25">
      <c r="A30" s="661" t="s">
        <v>859</v>
      </c>
      <c r="B30" s="662" t="s">
        <v>794</v>
      </c>
      <c r="C30" s="662" t="s">
        <v>66</v>
      </c>
      <c r="Q30" s="659">
        <v>28</v>
      </c>
      <c r="R30" s="661">
        <v>3</v>
      </c>
      <c r="S30" s="662" t="s">
        <v>794</v>
      </c>
      <c r="T30" s="662" t="s">
        <v>66</v>
      </c>
      <c r="U30" s="159"/>
      <c r="V30" s="47"/>
    </row>
    <row r="31" spans="1:23" x14ac:dyDescent="0.25">
      <c r="A31" s="661" t="s">
        <v>512</v>
      </c>
      <c r="B31" s="662" t="s">
        <v>548</v>
      </c>
      <c r="C31" s="663" t="s">
        <v>212</v>
      </c>
      <c r="Q31" s="672">
        <v>28</v>
      </c>
      <c r="R31" s="661">
        <v>3</v>
      </c>
      <c r="S31" s="662" t="s">
        <v>638</v>
      </c>
      <c r="T31" s="662" t="s">
        <v>64</v>
      </c>
      <c r="U31" s="159"/>
      <c r="V31" s="47"/>
    </row>
    <row r="32" spans="1:23" x14ac:dyDescent="0.25">
      <c r="A32" s="682" t="s">
        <v>512</v>
      </c>
      <c r="B32" s="683" t="s">
        <v>533</v>
      </c>
      <c r="C32" s="683" t="s">
        <v>212</v>
      </c>
      <c r="Q32" s="680">
        <v>30</v>
      </c>
      <c r="R32" s="443">
        <v>2</v>
      </c>
      <c r="S32" t="s">
        <v>783</v>
      </c>
      <c r="T32" s="246" t="s">
        <v>1</v>
      </c>
      <c r="U32" s="675"/>
      <c r="V32" s="676"/>
      <c r="W32" s="246"/>
    </row>
    <row r="33" spans="1:18" x14ac:dyDescent="0.25">
      <c r="A33" s="320"/>
      <c r="B33" s="318"/>
      <c r="C33" s="319"/>
      <c r="R33" s="667">
        <f>SUM(R3:R32)</f>
        <v>1218</v>
      </c>
    </row>
    <row r="34" spans="1:18" x14ac:dyDescent="0.25">
      <c r="A34" s="320"/>
      <c r="B34" s="318"/>
      <c r="C34" s="319"/>
    </row>
    <row r="35" spans="1:18" x14ac:dyDescent="0.25">
      <c r="A35" s="320"/>
      <c r="B35" s="318"/>
      <c r="C35" s="319"/>
    </row>
    <row r="36" spans="1:18" x14ac:dyDescent="0.25">
      <c r="A36" s="320"/>
      <c r="B36" s="318"/>
      <c r="C36" s="318"/>
    </row>
    <row r="37" spans="1:18" x14ac:dyDescent="0.25">
      <c r="A37" s="656"/>
    </row>
  </sheetData>
  <mergeCells count="5">
    <mergeCell ref="G10:H10"/>
    <mergeCell ref="G2:H2"/>
    <mergeCell ref="R2:S2"/>
    <mergeCell ref="A8:B8"/>
    <mergeCell ref="L2:N2"/>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7"/>
  <sheetViews>
    <sheetView zoomScale="80" zoomScaleNormal="80" workbookViewId="0"/>
  </sheetViews>
  <sheetFormatPr defaultColWidth="11.42578125" defaultRowHeight="15" x14ac:dyDescent="0.25"/>
  <cols>
    <col min="1" max="1" width="31" bestFit="1" customWidth="1"/>
    <col min="2" max="2" width="15.5703125" bestFit="1" customWidth="1"/>
    <col min="3" max="6" width="13.85546875" bestFit="1" customWidth="1"/>
    <col min="7" max="7" width="15.140625" bestFit="1" customWidth="1"/>
    <col min="8" max="12" width="13.85546875" bestFit="1" customWidth="1"/>
    <col min="13" max="13" width="17.28515625" bestFit="1" customWidth="1"/>
    <col min="14" max="16" width="13.85546875" bestFit="1" customWidth="1"/>
    <col min="17" max="17" width="12.85546875" bestFit="1" customWidth="1"/>
    <col min="18" max="19" width="13.85546875" bestFit="1" customWidth="1"/>
    <col min="20" max="30" width="12.85546875" bestFit="1" customWidth="1"/>
  </cols>
  <sheetData>
    <row r="1" spans="1:30" ht="30.75" x14ac:dyDescent="0.25">
      <c r="M1" s="8" t="s">
        <v>3</v>
      </c>
      <c r="N1" s="8" t="s">
        <v>4</v>
      </c>
      <c r="O1" s="8" t="s">
        <v>5</v>
      </c>
      <c r="P1" s="8" t="s">
        <v>6</v>
      </c>
      <c r="Q1" s="8" t="s">
        <v>7</v>
      </c>
      <c r="R1" s="8" t="s">
        <v>8</v>
      </c>
      <c r="S1" s="8" t="s">
        <v>9</v>
      </c>
      <c r="T1" s="9"/>
      <c r="U1" s="9"/>
      <c r="V1" s="9"/>
      <c r="W1" s="9"/>
      <c r="X1" s="9"/>
      <c r="Y1" s="9"/>
      <c r="Z1" s="9"/>
      <c r="AA1" s="9"/>
      <c r="AB1" s="9"/>
      <c r="AC1" s="9"/>
      <c r="AD1" s="9"/>
    </row>
    <row r="2" spans="1:30" x14ac:dyDescent="0.25">
      <c r="C2" s="10" t="s">
        <v>10</v>
      </c>
      <c r="D2" s="706" t="s">
        <v>11</v>
      </c>
      <c r="E2" s="706"/>
      <c r="F2" s="707" t="s">
        <v>12</v>
      </c>
      <c r="G2" s="707"/>
      <c r="H2" s="708" t="s">
        <v>13</v>
      </c>
      <c r="I2" s="708"/>
      <c r="K2" t="s">
        <v>14</v>
      </c>
      <c r="M2" s="11">
        <v>11</v>
      </c>
      <c r="N2" s="12">
        <v>14.98</v>
      </c>
      <c r="O2" s="12">
        <v>5.95</v>
      </c>
      <c r="P2" s="12">
        <v>5.49</v>
      </c>
      <c r="Q2" s="12">
        <v>0.68</v>
      </c>
      <c r="R2" s="13">
        <v>27.09</v>
      </c>
      <c r="S2" s="9"/>
      <c r="T2" s="9"/>
      <c r="U2" s="9"/>
      <c r="V2" s="9"/>
      <c r="W2" s="9"/>
      <c r="X2" s="9"/>
      <c r="Y2" s="9"/>
      <c r="Z2" s="9"/>
      <c r="AA2" s="9"/>
      <c r="AB2" s="9"/>
      <c r="AC2" s="9"/>
      <c r="AD2" s="9"/>
    </row>
    <row r="3" spans="1:30" ht="15.75" thickBot="1" x14ac:dyDescent="0.3">
      <c r="A3" s="14" t="s">
        <v>15</v>
      </c>
      <c r="B3" s="15">
        <f>B4+B5+B6+B7</f>
        <v>71304</v>
      </c>
      <c r="C3" s="16">
        <f>C4+C5+C6+C7</f>
        <v>71472.679999999993</v>
      </c>
      <c r="D3" s="5" t="s">
        <v>16</v>
      </c>
      <c r="E3" s="5" t="s">
        <v>17</v>
      </c>
      <c r="F3" s="5" t="s">
        <v>16</v>
      </c>
      <c r="G3" s="5" t="s">
        <v>18</v>
      </c>
      <c r="H3" s="5" t="s">
        <v>16</v>
      </c>
      <c r="I3" s="6" t="s">
        <v>19</v>
      </c>
      <c r="J3" s="17" t="s">
        <v>20</v>
      </c>
      <c r="K3" s="7">
        <v>14480</v>
      </c>
      <c r="M3" s="11">
        <v>10</v>
      </c>
      <c r="N3" s="18">
        <v>14.23</v>
      </c>
      <c r="O3" s="18">
        <v>5.59</v>
      </c>
      <c r="P3" s="18">
        <v>5.07</v>
      </c>
      <c r="Q3" s="18">
        <v>0.62</v>
      </c>
      <c r="R3" s="19">
        <v>25.52</v>
      </c>
      <c r="S3" s="9"/>
      <c r="T3" s="9"/>
      <c r="U3" s="9"/>
      <c r="V3" s="9"/>
      <c r="W3" s="9"/>
      <c r="X3" s="9"/>
      <c r="Y3" s="9"/>
      <c r="Z3" s="9"/>
      <c r="AA3" s="9"/>
      <c r="AB3" s="9"/>
      <c r="AC3" s="9"/>
      <c r="AD3" s="9"/>
    </row>
    <row r="4" spans="1:30" x14ac:dyDescent="0.25">
      <c r="A4" s="14" t="s">
        <v>21</v>
      </c>
      <c r="B4" s="15">
        <v>40146</v>
      </c>
      <c r="C4" s="255">
        <v>40240.67</v>
      </c>
      <c r="D4" s="20">
        <v>45</v>
      </c>
      <c r="E4" s="5">
        <f>D4*(C4-B4)</f>
        <v>4260.1499999999214</v>
      </c>
      <c r="F4" s="21">
        <v>0.5</v>
      </c>
      <c r="G4" s="5">
        <f>(C4-B4)*F4</f>
        <v>47.334999999999127</v>
      </c>
      <c r="H4" s="21">
        <v>7</v>
      </c>
      <c r="I4" s="6">
        <f>(C4-B4)*H4</f>
        <v>662.68999999998778</v>
      </c>
      <c r="J4" s="5">
        <f>H4*C4</f>
        <v>281684.69</v>
      </c>
      <c r="K4">
        <f>K3*0.59</f>
        <v>8543.1999999999989</v>
      </c>
      <c r="M4" s="11">
        <v>9</v>
      </c>
      <c r="N4" s="12">
        <v>13.49</v>
      </c>
      <c r="O4" s="12">
        <v>5.24</v>
      </c>
      <c r="P4" s="12">
        <v>4.66</v>
      </c>
      <c r="Q4" s="12">
        <v>0.56999999999999995</v>
      </c>
      <c r="R4" s="13">
        <v>23.95</v>
      </c>
      <c r="S4" s="9"/>
      <c r="T4" s="9"/>
      <c r="U4" s="9"/>
      <c r="V4" s="9"/>
      <c r="W4" s="9"/>
      <c r="X4" s="9"/>
      <c r="Y4" s="9"/>
      <c r="Z4" s="9"/>
      <c r="AA4" s="9"/>
      <c r="AB4" s="9"/>
      <c r="AC4" s="9"/>
      <c r="AD4" s="9"/>
    </row>
    <row r="5" spans="1:30" x14ac:dyDescent="0.25">
      <c r="A5" s="14" t="s">
        <v>22</v>
      </c>
      <c r="B5" s="15">
        <v>15594</v>
      </c>
      <c r="C5" s="24">
        <v>15630.92</v>
      </c>
      <c r="D5" s="22">
        <v>75</v>
      </c>
      <c r="E5" s="5">
        <f>D5*(C5-B5)</f>
        <v>2769.0000000000055</v>
      </c>
      <c r="F5" s="23">
        <v>0.7</v>
      </c>
      <c r="G5" s="5">
        <f>(C5-B5)*F5</f>
        <v>25.844000000000051</v>
      </c>
      <c r="H5" s="23">
        <v>10</v>
      </c>
      <c r="I5" s="6">
        <f>(C5-B5)*H5</f>
        <v>369.20000000000073</v>
      </c>
      <c r="J5" s="5">
        <f>H5*C5</f>
        <v>156309.20000000001</v>
      </c>
      <c r="K5">
        <f>K3*0.21</f>
        <v>3040.7999999999997</v>
      </c>
      <c r="M5" s="11">
        <v>8</v>
      </c>
      <c r="N5" s="18">
        <v>12.74</v>
      </c>
      <c r="O5" s="18">
        <v>4.8899999999999997</v>
      </c>
      <c r="P5" s="18">
        <v>4.25</v>
      </c>
      <c r="Q5" s="18">
        <v>0.51</v>
      </c>
      <c r="R5" s="19">
        <v>22.39</v>
      </c>
      <c r="S5" s="9"/>
      <c r="T5" s="9"/>
      <c r="U5" s="9"/>
      <c r="V5" s="9"/>
      <c r="W5" s="9"/>
      <c r="X5" s="9"/>
      <c r="Y5" s="9"/>
      <c r="Z5" s="9"/>
      <c r="AA5" s="9"/>
      <c r="AB5" s="9"/>
      <c r="AC5" s="9"/>
      <c r="AD5" s="9"/>
    </row>
    <row r="6" spans="1:30" x14ac:dyDescent="0.25">
      <c r="A6" s="14" t="s">
        <v>23</v>
      </c>
      <c r="B6" s="15">
        <v>13868</v>
      </c>
      <c r="C6" s="24">
        <v>13900.78</v>
      </c>
      <c r="D6" s="20">
        <v>90</v>
      </c>
      <c r="E6" s="5">
        <f>D6*(C6-B6)</f>
        <v>2950.2000000000589</v>
      </c>
      <c r="F6" s="21">
        <v>1</v>
      </c>
      <c r="G6" s="5">
        <f>(C6-B6)*F6</f>
        <v>32.780000000000655</v>
      </c>
      <c r="H6" s="21">
        <v>19</v>
      </c>
      <c r="I6" s="6">
        <f>(C6-B6)*H6</f>
        <v>622.82000000001244</v>
      </c>
      <c r="J6" s="5">
        <f>H6*C6</f>
        <v>264114.82</v>
      </c>
      <c r="K6">
        <f>K3*0.18</f>
        <v>2606.4</v>
      </c>
      <c r="M6" s="11">
        <v>7</v>
      </c>
      <c r="N6" s="12">
        <v>12</v>
      </c>
      <c r="O6" s="12">
        <v>4.53</v>
      </c>
      <c r="P6" s="12">
        <v>3.84</v>
      </c>
      <c r="Q6" s="12">
        <v>0.46</v>
      </c>
      <c r="R6" s="13">
        <v>20.83</v>
      </c>
      <c r="S6" s="9"/>
      <c r="T6" s="9"/>
      <c r="U6" s="9"/>
      <c r="V6" s="9"/>
      <c r="W6" s="9"/>
      <c r="X6" s="9"/>
      <c r="Y6" s="9"/>
      <c r="Z6" s="9"/>
      <c r="AA6" s="9"/>
      <c r="AB6" s="9"/>
      <c r="AC6" s="9"/>
      <c r="AD6" s="9"/>
    </row>
    <row r="7" spans="1:30" ht="15.75" thickBot="1" x14ac:dyDescent="0.3">
      <c r="A7" s="14" t="s">
        <v>24</v>
      </c>
      <c r="B7" s="15">
        <v>1696</v>
      </c>
      <c r="C7" s="25">
        <v>1700.31</v>
      </c>
      <c r="D7" s="22">
        <v>300</v>
      </c>
      <c r="E7" s="5">
        <f>D7*(C7-B7)</f>
        <v>1292.9999999999836</v>
      </c>
      <c r="F7" s="23">
        <v>2.5</v>
      </c>
      <c r="G7" s="5">
        <f>(C7-B7)*F7</f>
        <v>10.774999999999864</v>
      </c>
      <c r="H7" s="23">
        <v>35</v>
      </c>
      <c r="I7" s="6">
        <f>(C7-B7)*H7</f>
        <v>150.84999999999809</v>
      </c>
      <c r="J7" s="5">
        <f>H7*C7</f>
        <v>59510.85</v>
      </c>
      <c r="K7">
        <f>K3*0.02</f>
        <v>289.60000000000002</v>
      </c>
      <c r="M7" s="11">
        <v>6</v>
      </c>
      <c r="N7" s="18">
        <v>11.26</v>
      </c>
      <c r="O7" s="18">
        <v>4.17</v>
      </c>
      <c r="P7" s="18">
        <v>3.44</v>
      </c>
      <c r="Q7" s="18">
        <v>0.41</v>
      </c>
      <c r="R7" s="19">
        <v>19.27</v>
      </c>
      <c r="S7" s="9"/>
      <c r="T7" s="9"/>
      <c r="U7" s="9"/>
      <c r="V7" s="9"/>
      <c r="W7" s="9"/>
      <c r="X7" s="9"/>
      <c r="Y7" s="9"/>
      <c r="Z7" s="9"/>
      <c r="AA7" s="9"/>
      <c r="AB7" s="9"/>
      <c r="AC7" s="9"/>
      <c r="AD7" s="9"/>
    </row>
    <row r="8" spans="1:30" x14ac:dyDescent="0.25">
      <c r="C8" s="26">
        <f>C4/$C$3</f>
        <v>0.56302170283806352</v>
      </c>
      <c r="J8" s="27">
        <f>J7+J6+J5+J4</f>
        <v>761619.56</v>
      </c>
      <c r="M8" s="11">
        <v>5</v>
      </c>
      <c r="N8" s="12">
        <v>10.52</v>
      </c>
      <c r="O8" s="12">
        <v>3.81</v>
      </c>
      <c r="P8" s="12">
        <v>3.03</v>
      </c>
      <c r="Q8" s="12">
        <v>0.35</v>
      </c>
      <c r="R8" s="13">
        <v>17.72</v>
      </c>
      <c r="S8" s="9"/>
      <c r="T8" s="9"/>
      <c r="U8" s="9"/>
      <c r="V8" s="9"/>
      <c r="W8" s="9"/>
      <c r="X8" s="9"/>
      <c r="Y8" s="9"/>
      <c r="Z8" s="9"/>
      <c r="AA8" s="9"/>
      <c r="AB8" s="9"/>
      <c r="AC8" s="9"/>
      <c r="AD8" s="9"/>
    </row>
    <row r="9" spans="1:30" x14ac:dyDescent="0.25">
      <c r="C9" s="28">
        <f>C5/$C$3</f>
        <v>0.21869782971619367</v>
      </c>
      <c r="E9" s="166">
        <f>C4-B4</f>
        <v>94.669999999998254</v>
      </c>
      <c r="M9" s="11">
        <v>4</v>
      </c>
      <c r="N9" s="18">
        <v>9.8000000000000007</v>
      </c>
      <c r="O9" s="18">
        <v>3.46</v>
      </c>
      <c r="P9" s="18">
        <v>2.63</v>
      </c>
      <c r="Q9" s="18">
        <v>0.3</v>
      </c>
      <c r="R9" s="19">
        <v>16.170000000000002</v>
      </c>
      <c r="S9" s="9"/>
      <c r="T9" s="9"/>
      <c r="U9" s="9"/>
      <c r="V9" s="9"/>
      <c r="W9" s="9"/>
      <c r="X9" s="9"/>
      <c r="Y9" s="9"/>
      <c r="Z9" s="9"/>
      <c r="AA9" s="9"/>
      <c r="AB9" s="9"/>
      <c r="AC9" s="9"/>
      <c r="AD9" s="9"/>
    </row>
    <row r="10" spans="1:30" x14ac:dyDescent="0.25">
      <c r="B10" s="29">
        <f>B11/B13</f>
        <v>0.47009380721923127</v>
      </c>
      <c r="C10" s="28">
        <f>C6/$C$3</f>
        <v>0.19449081803005011</v>
      </c>
      <c r="E10" s="166">
        <f>C5-B5</f>
        <v>36.920000000000073</v>
      </c>
      <c r="M10" s="11">
        <v>3</v>
      </c>
      <c r="N10" s="12">
        <v>9.09</v>
      </c>
      <c r="O10" s="12">
        <v>3.1</v>
      </c>
      <c r="P10" s="12">
        <v>2.21</v>
      </c>
      <c r="Q10" s="12">
        <v>0.24</v>
      </c>
      <c r="R10" s="13">
        <v>14.63</v>
      </c>
      <c r="S10" s="9"/>
      <c r="T10" s="9"/>
      <c r="U10" s="9"/>
      <c r="V10" s="9"/>
      <c r="W10" s="9"/>
      <c r="X10" s="9"/>
      <c r="Y10" s="9"/>
      <c r="Z10" s="9"/>
      <c r="AA10" s="9"/>
      <c r="AB10" s="9"/>
      <c r="AC10" s="9"/>
      <c r="AD10" s="9"/>
    </row>
    <row r="11" spans="1:30" x14ac:dyDescent="0.25">
      <c r="A11" s="30" t="s">
        <v>25</v>
      </c>
      <c r="B11" s="31">
        <v>10000</v>
      </c>
      <c r="C11" s="28">
        <f>C7/$C$3</f>
        <v>2.3789649415692823E-2</v>
      </c>
      <c r="E11" s="166">
        <f>C6-B6</f>
        <v>32.780000000000655</v>
      </c>
      <c r="M11" s="11">
        <v>2</v>
      </c>
      <c r="N11" s="18">
        <v>8.42</v>
      </c>
      <c r="O11" s="18">
        <v>2.73</v>
      </c>
      <c r="P11" s="18">
        <v>1.77</v>
      </c>
      <c r="Q11" s="18">
        <v>0.18</v>
      </c>
      <c r="R11" s="19">
        <v>13.09</v>
      </c>
      <c r="S11" s="9"/>
      <c r="T11" s="9"/>
      <c r="U11" s="9"/>
      <c r="V11" s="9"/>
      <c r="W11" s="9"/>
      <c r="X11" s="9"/>
      <c r="Y11" s="9"/>
      <c r="Z11" s="9"/>
      <c r="AA11" s="9"/>
      <c r="AB11" s="9"/>
      <c r="AC11" s="9"/>
      <c r="AD11" s="9"/>
    </row>
    <row r="12" spans="1:30" ht="15.75" thickBot="1" x14ac:dyDescent="0.3">
      <c r="A12" s="30" t="s">
        <v>26</v>
      </c>
      <c r="B12" s="32">
        <f>E7+E6+E5+E4</f>
        <v>11272.349999999969</v>
      </c>
      <c r="E12" s="166">
        <f>C7-B7</f>
        <v>4.3099999999999454</v>
      </c>
      <c r="M12" s="11">
        <v>1</v>
      </c>
      <c r="N12" s="12">
        <v>7.85</v>
      </c>
      <c r="O12" s="12">
        <v>2.34</v>
      </c>
      <c r="P12" s="12">
        <v>1.23</v>
      </c>
      <c r="Q12" s="12">
        <v>0.1</v>
      </c>
      <c r="R12" s="13">
        <v>11.53</v>
      </c>
      <c r="S12" s="9"/>
      <c r="T12" s="9"/>
      <c r="U12" s="9"/>
      <c r="V12" s="9"/>
      <c r="W12" s="9"/>
      <c r="X12" s="9"/>
      <c r="Y12" s="9"/>
      <c r="Z12" s="9"/>
      <c r="AA12" s="9"/>
      <c r="AB12" s="9"/>
      <c r="AC12" s="9"/>
      <c r="AD12" s="9"/>
    </row>
    <row r="13" spans="1:30" ht="15.75" thickBot="1" x14ac:dyDescent="0.3">
      <c r="A13" s="33" t="s">
        <v>27</v>
      </c>
      <c r="B13" s="34">
        <f>B11+B12</f>
        <v>21272.349999999969</v>
      </c>
      <c r="P13" s="9"/>
      <c r="Q13" s="9"/>
      <c r="R13" s="9"/>
      <c r="S13" s="9"/>
      <c r="T13" s="9"/>
      <c r="U13" s="9"/>
      <c r="V13" s="9"/>
      <c r="W13" s="9"/>
      <c r="X13" s="9"/>
      <c r="Y13" s="9"/>
      <c r="Z13" s="9"/>
      <c r="AA13" s="9"/>
      <c r="AB13" s="9"/>
      <c r="AC13" s="9"/>
      <c r="AD13" s="9"/>
    </row>
    <row r="14" spans="1:30" x14ac:dyDescent="0.25">
      <c r="P14" s="9"/>
      <c r="Q14" s="9"/>
      <c r="R14" s="9"/>
      <c r="S14" s="9"/>
      <c r="T14" s="9"/>
      <c r="U14" s="9"/>
      <c r="V14" s="9"/>
      <c r="W14" s="9"/>
      <c r="X14" s="9"/>
      <c r="Y14" s="9"/>
      <c r="Z14" s="9"/>
      <c r="AA14" s="9"/>
      <c r="AB14" s="9"/>
      <c r="AC14" s="9"/>
      <c r="AD14" s="9"/>
    </row>
    <row r="15" spans="1:30" x14ac:dyDescent="0.25">
      <c r="A15" s="3"/>
      <c r="B15" s="35" t="s">
        <v>28</v>
      </c>
      <c r="C15" s="35" t="s">
        <v>29</v>
      </c>
      <c r="D15" s="35" t="s">
        <v>30</v>
      </c>
      <c r="E15" s="35" t="s">
        <v>31</v>
      </c>
      <c r="F15" s="35" t="s">
        <v>32</v>
      </c>
      <c r="G15" s="35" t="s">
        <v>33</v>
      </c>
      <c r="H15" s="35" t="s">
        <v>34</v>
      </c>
      <c r="I15" s="35" t="s">
        <v>35</v>
      </c>
      <c r="J15" s="35" t="s">
        <v>36</v>
      </c>
      <c r="K15" s="35" t="s">
        <v>37</v>
      </c>
      <c r="L15" s="35" t="s">
        <v>38</v>
      </c>
      <c r="M15" s="35" t="s">
        <v>39</v>
      </c>
      <c r="N15" s="35" t="s">
        <v>40</v>
      </c>
      <c r="O15" s="35" t="s">
        <v>41</v>
      </c>
      <c r="P15" s="35" t="s">
        <v>42</v>
      </c>
      <c r="Q15" s="35" t="s">
        <v>43</v>
      </c>
      <c r="R15" s="35" t="s">
        <v>28</v>
      </c>
      <c r="S15" s="35" t="s">
        <v>29</v>
      </c>
      <c r="T15" s="35" t="s">
        <v>30</v>
      </c>
      <c r="U15" s="35" t="s">
        <v>31</v>
      </c>
      <c r="V15" s="35" t="s">
        <v>32</v>
      </c>
      <c r="W15" s="35" t="s">
        <v>33</v>
      </c>
      <c r="X15" s="35" t="s">
        <v>34</v>
      </c>
      <c r="Y15" s="35" t="s">
        <v>35</v>
      </c>
      <c r="Z15" s="35" t="s">
        <v>36</v>
      </c>
      <c r="AA15" s="35" t="s">
        <v>37</v>
      </c>
      <c r="AB15" s="35" t="s">
        <v>38</v>
      </c>
      <c r="AC15" s="35" t="s">
        <v>39</v>
      </c>
      <c r="AD15" s="35" t="s">
        <v>40</v>
      </c>
    </row>
    <row r="16" spans="1:30" x14ac:dyDescent="0.25">
      <c r="A16" s="36" t="s">
        <v>44</v>
      </c>
      <c r="B16" s="36">
        <v>3396</v>
      </c>
      <c r="C16" s="36">
        <f>B16+1</f>
        <v>3397</v>
      </c>
      <c r="D16" s="36">
        <f t="shared" ref="D16:AD16" si="0">C16+1</f>
        <v>3398</v>
      </c>
      <c r="E16" s="36">
        <f t="shared" si="0"/>
        <v>3399</v>
      </c>
      <c r="F16" s="36">
        <f t="shared" si="0"/>
        <v>3400</v>
      </c>
      <c r="G16" s="36">
        <f t="shared" si="0"/>
        <v>3401</v>
      </c>
      <c r="H16" s="36">
        <f t="shared" si="0"/>
        <v>3402</v>
      </c>
      <c r="I16" s="36">
        <f t="shared" si="0"/>
        <v>3403</v>
      </c>
      <c r="J16" s="36">
        <f t="shared" si="0"/>
        <v>3404</v>
      </c>
      <c r="K16" s="36">
        <f t="shared" si="0"/>
        <v>3405</v>
      </c>
      <c r="L16" s="36">
        <f t="shared" si="0"/>
        <v>3406</v>
      </c>
      <c r="M16" s="36">
        <f t="shared" si="0"/>
        <v>3407</v>
      </c>
      <c r="N16" s="36">
        <f t="shared" si="0"/>
        <v>3408</v>
      </c>
      <c r="O16" s="36">
        <f t="shared" si="0"/>
        <v>3409</v>
      </c>
      <c r="P16" s="36">
        <f t="shared" si="0"/>
        <v>3410</v>
      </c>
      <c r="Q16" s="36">
        <f t="shared" si="0"/>
        <v>3411</v>
      </c>
      <c r="R16" s="36">
        <f t="shared" si="0"/>
        <v>3412</v>
      </c>
      <c r="S16" s="36">
        <f t="shared" si="0"/>
        <v>3413</v>
      </c>
      <c r="T16" s="36">
        <f t="shared" si="0"/>
        <v>3414</v>
      </c>
      <c r="U16" s="36">
        <f t="shared" si="0"/>
        <v>3415</v>
      </c>
      <c r="V16" s="36">
        <f t="shared" si="0"/>
        <v>3416</v>
      </c>
      <c r="W16" s="36">
        <f t="shared" si="0"/>
        <v>3417</v>
      </c>
      <c r="X16" s="36">
        <f t="shared" si="0"/>
        <v>3418</v>
      </c>
      <c r="Y16" s="36">
        <f t="shared" si="0"/>
        <v>3419</v>
      </c>
      <c r="Z16" s="36">
        <f t="shared" si="0"/>
        <v>3420</v>
      </c>
      <c r="AA16" s="36">
        <f t="shared" si="0"/>
        <v>3421</v>
      </c>
      <c r="AB16" s="36">
        <f t="shared" si="0"/>
        <v>3422</v>
      </c>
      <c r="AC16" s="36">
        <f t="shared" si="0"/>
        <v>3423</v>
      </c>
      <c r="AD16" s="36">
        <f t="shared" si="0"/>
        <v>3424</v>
      </c>
    </row>
    <row r="17" spans="1:30" x14ac:dyDescent="0.25">
      <c r="A17" s="36"/>
      <c r="B17" s="37">
        <f>B18+B19+B20+B21</f>
        <v>70738.680000000008</v>
      </c>
      <c r="C17" s="37">
        <f t="shared" ref="C17:AD17" si="1">C18+C19+C20+C21</f>
        <v>70759.509999999995</v>
      </c>
      <c r="D17" s="37">
        <f t="shared" si="1"/>
        <v>70780.340000000011</v>
      </c>
      <c r="E17" s="37">
        <f t="shared" si="1"/>
        <v>70801.17</v>
      </c>
      <c r="F17" s="37">
        <f t="shared" si="1"/>
        <v>70822</v>
      </c>
      <c r="G17" s="37">
        <f t="shared" si="1"/>
        <v>70842.83</v>
      </c>
      <c r="H17" s="37">
        <f t="shared" si="1"/>
        <v>70863.659999999989</v>
      </c>
      <c r="I17" s="37">
        <f t="shared" si="1"/>
        <v>70884.490000000005</v>
      </c>
      <c r="J17" s="37">
        <f t="shared" si="1"/>
        <v>70905.319999999992</v>
      </c>
      <c r="K17" s="37">
        <f t="shared" si="1"/>
        <v>70926.150000000009</v>
      </c>
      <c r="L17" s="37">
        <f t="shared" si="1"/>
        <v>70946.98</v>
      </c>
      <c r="M17" s="37">
        <f t="shared" si="1"/>
        <v>70967.81</v>
      </c>
      <c r="N17" s="37">
        <f t="shared" si="1"/>
        <v>70988.639999999999</v>
      </c>
      <c r="O17" s="37">
        <f t="shared" si="1"/>
        <v>71009.47</v>
      </c>
      <c r="P17" s="37">
        <f t="shared" si="1"/>
        <v>71030.3</v>
      </c>
      <c r="Q17" s="37">
        <f t="shared" si="1"/>
        <v>71051.13</v>
      </c>
      <c r="R17" s="37">
        <f t="shared" si="1"/>
        <v>71071.960000000006</v>
      </c>
      <c r="S17" s="37">
        <f t="shared" si="1"/>
        <v>71092.789999999994</v>
      </c>
      <c r="T17" s="37">
        <f t="shared" si="1"/>
        <v>71113.62</v>
      </c>
      <c r="U17" s="37">
        <f t="shared" si="1"/>
        <v>71134.45</v>
      </c>
      <c r="V17" s="37">
        <f t="shared" si="1"/>
        <v>71155.28</v>
      </c>
      <c r="W17" s="37">
        <f t="shared" si="1"/>
        <v>71176.110000000015</v>
      </c>
      <c r="X17" s="37">
        <f t="shared" si="1"/>
        <v>71196.94</v>
      </c>
      <c r="Y17" s="37">
        <f t="shared" si="1"/>
        <v>71217.77</v>
      </c>
      <c r="Z17" s="37">
        <f t="shared" si="1"/>
        <v>71238.599999999991</v>
      </c>
      <c r="AA17" s="37">
        <f t="shared" si="1"/>
        <v>71259.430000000008</v>
      </c>
      <c r="AB17" s="37">
        <f t="shared" si="1"/>
        <v>71280.259999999995</v>
      </c>
      <c r="AC17" s="37">
        <f t="shared" si="1"/>
        <v>71301.090000000011</v>
      </c>
      <c r="AD17" s="37">
        <f t="shared" si="1"/>
        <v>71321.919999999998</v>
      </c>
    </row>
    <row r="18" spans="1:30" x14ac:dyDescent="0.25">
      <c r="A18" s="38" t="s">
        <v>45</v>
      </c>
      <c r="B18" s="39">
        <f>B16*$N$6</f>
        <v>40752</v>
      </c>
      <c r="C18" s="39">
        <f t="shared" ref="C18:AD18" si="2">C16*$N$6</f>
        <v>40764</v>
      </c>
      <c r="D18" s="39">
        <f t="shared" si="2"/>
        <v>40776</v>
      </c>
      <c r="E18" s="39">
        <f t="shared" si="2"/>
        <v>40788</v>
      </c>
      <c r="F18" s="39">
        <f t="shared" si="2"/>
        <v>40800</v>
      </c>
      <c r="G18" s="39">
        <f t="shared" si="2"/>
        <v>40812</v>
      </c>
      <c r="H18" s="39">
        <f t="shared" si="2"/>
        <v>40824</v>
      </c>
      <c r="I18" s="39">
        <f t="shared" si="2"/>
        <v>40836</v>
      </c>
      <c r="J18" s="39">
        <f t="shared" si="2"/>
        <v>40848</v>
      </c>
      <c r="K18" s="39">
        <f t="shared" si="2"/>
        <v>40860</v>
      </c>
      <c r="L18" s="39">
        <f t="shared" si="2"/>
        <v>40872</v>
      </c>
      <c r="M18" s="39">
        <f t="shared" si="2"/>
        <v>40884</v>
      </c>
      <c r="N18" s="39">
        <f t="shared" si="2"/>
        <v>40896</v>
      </c>
      <c r="O18" s="39">
        <f t="shared" si="2"/>
        <v>40908</v>
      </c>
      <c r="P18" s="39">
        <f t="shared" si="2"/>
        <v>40920</v>
      </c>
      <c r="Q18" s="39">
        <f t="shared" si="2"/>
        <v>40932</v>
      </c>
      <c r="R18" s="39">
        <f t="shared" si="2"/>
        <v>40944</v>
      </c>
      <c r="S18" s="39">
        <f t="shared" si="2"/>
        <v>40956</v>
      </c>
      <c r="T18" s="39">
        <f t="shared" si="2"/>
        <v>40968</v>
      </c>
      <c r="U18" s="39">
        <f t="shared" si="2"/>
        <v>40980</v>
      </c>
      <c r="V18" s="39">
        <f t="shared" si="2"/>
        <v>40992</v>
      </c>
      <c r="W18" s="39">
        <f t="shared" si="2"/>
        <v>41004</v>
      </c>
      <c r="X18" s="39">
        <f t="shared" si="2"/>
        <v>41016</v>
      </c>
      <c r="Y18" s="39">
        <f t="shared" si="2"/>
        <v>41028</v>
      </c>
      <c r="Z18" s="39">
        <f t="shared" si="2"/>
        <v>41040</v>
      </c>
      <c r="AA18" s="39">
        <f t="shared" si="2"/>
        <v>41052</v>
      </c>
      <c r="AB18" s="39">
        <f t="shared" si="2"/>
        <v>41064</v>
      </c>
      <c r="AC18" s="39">
        <f t="shared" si="2"/>
        <v>41076</v>
      </c>
      <c r="AD18" s="39">
        <f t="shared" si="2"/>
        <v>41088</v>
      </c>
    </row>
    <row r="19" spans="1:30" x14ac:dyDescent="0.25">
      <c r="A19" s="38" t="s">
        <v>46</v>
      </c>
      <c r="B19" s="39">
        <f>B16*$O$6</f>
        <v>15383.880000000001</v>
      </c>
      <c r="C19" s="39">
        <f t="shared" ref="C19:AD19" si="3">C16*$O$6</f>
        <v>15388.410000000002</v>
      </c>
      <c r="D19" s="39">
        <f t="shared" si="3"/>
        <v>15392.94</v>
      </c>
      <c r="E19" s="39">
        <f t="shared" si="3"/>
        <v>15397.470000000001</v>
      </c>
      <c r="F19" s="39">
        <f t="shared" si="3"/>
        <v>15402</v>
      </c>
      <c r="G19" s="39">
        <f t="shared" si="3"/>
        <v>15406.53</v>
      </c>
      <c r="H19" s="39">
        <f t="shared" si="3"/>
        <v>15411.060000000001</v>
      </c>
      <c r="I19" s="39">
        <f t="shared" si="3"/>
        <v>15415.59</v>
      </c>
      <c r="J19" s="39">
        <f t="shared" si="3"/>
        <v>15420.12</v>
      </c>
      <c r="K19" s="39">
        <f t="shared" si="3"/>
        <v>15424.650000000001</v>
      </c>
      <c r="L19" s="39">
        <f t="shared" si="3"/>
        <v>15429.18</v>
      </c>
      <c r="M19" s="39">
        <f t="shared" si="3"/>
        <v>15433.710000000001</v>
      </c>
      <c r="N19" s="39">
        <f t="shared" si="3"/>
        <v>15438.240000000002</v>
      </c>
      <c r="O19" s="39">
        <f t="shared" si="3"/>
        <v>15442.77</v>
      </c>
      <c r="P19" s="39">
        <f t="shared" si="3"/>
        <v>15447.300000000001</v>
      </c>
      <c r="Q19" s="39">
        <f t="shared" si="3"/>
        <v>15451.830000000002</v>
      </c>
      <c r="R19" s="39">
        <f t="shared" si="3"/>
        <v>15456.36</v>
      </c>
      <c r="S19" s="39">
        <f t="shared" si="3"/>
        <v>15460.890000000001</v>
      </c>
      <c r="T19" s="39">
        <f t="shared" si="3"/>
        <v>15465.42</v>
      </c>
      <c r="U19" s="39">
        <f t="shared" si="3"/>
        <v>15469.95</v>
      </c>
      <c r="V19" s="39">
        <f t="shared" si="3"/>
        <v>15474.480000000001</v>
      </c>
      <c r="W19" s="39">
        <f t="shared" si="3"/>
        <v>15479.01</v>
      </c>
      <c r="X19" s="39">
        <f t="shared" si="3"/>
        <v>15483.54</v>
      </c>
      <c r="Y19" s="39">
        <f t="shared" si="3"/>
        <v>15488.070000000002</v>
      </c>
      <c r="Z19" s="39">
        <f t="shared" si="3"/>
        <v>15492.6</v>
      </c>
      <c r="AA19" s="39">
        <f t="shared" si="3"/>
        <v>15497.130000000001</v>
      </c>
      <c r="AB19" s="39">
        <f t="shared" si="3"/>
        <v>15501.660000000002</v>
      </c>
      <c r="AC19" s="39">
        <f t="shared" si="3"/>
        <v>15506.19</v>
      </c>
      <c r="AD19" s="39">
        <f t="shared" si="3"/>
        <v>15510.720000000001</v>
      </c>
    </row>
    <row r="20" spans="1:30" x14ac:dyDescent="0.25">
      <c r="A20" s="38" t="s">
        <v>47</v>
      </c>
      <c r="B20" s="39">
        <f>B16*$P$6</f>
        <v>13040.64</v>
      </c>
      <c r="C20" s="39">
        <f t="shared" ref="C20:AD20" si="4">C16*$P$6</f>
        <v>13044.48</v>
      </c>
      <c r="D20" s="39">
        <f t="shared" si="4"/>
        <v>13048.32</v>
      </c>
      <c r="E20" s="39">
        <f t="shared" si="4"/>
        <v>13052.16</v>
      </c>
      <c r="F20" s="39">
        <f t="shared" si="4"/>
        <v>13056</v>
      </c>
      <c r="G20" s="39">
        <f t="shared" si="4"/>
        <v>13059.84</v>
      </c>
      <c r="H20" s="39">
        <f t="shared" si="4"/>
        <v>13063.68</v>
      </c>
      <c r="I20" s="39">
        <f t="shared" si="4"/>
        <v>13067.519999999999</v>
      </c>
      <c r="J20" s="39">
        <f t="shared" si="4"/>
        <v>13071.359999999999</v>
      </c>
      <c r="K20" s="39">
        <f t="shared" si="4"/>
        <v>13075.199999999999</v>
      </c>
      <c r="L20" s="39">
        <f t="shared" si="4"/>
        <v>13079.039999999999</v>
      </c>
      <c r="M20" s="39">
        <f t="shared" si="4"/>
        <v>13082.88</v>
      </c>
      <c r="N20" s="39">
        <f t="shared" si="4"/>
        <v>13086.72</v>
      </c>
      <c r="O20" s="39">
        <f t="shared" si="4"/>
        <v>13090.56</v>
      </c>
      <c r="P20" s="39">
        <f t="shared" si="4"/>
        <v>13094.4</v>
      </c>
      <c r="Q20" s="39">
        <f t="shared" si="4"/>
        <v>13098.24</v>
      </c>
      <c r="R20" s="39">
        <f t="shared" si="4"/>
        <v>13102.08</v>
      </c>
      <c r="S20" s="39">
        <f t="shared" si="4"/>
        <v>13105.92</v>
      </c>
      <c r="T20" s="39">
        <f t="shared" si="4"/>
        <v>13109.76</v>
      </c>
      <c r="U20" s="39">
        <f t="shared" si="4"/>
        <v>13113.6</v>
      </c>
      <c r="V20" s="39">
        <f t="shared" si="4"/>
        <v>13117.439999999999</v>
      </c>
      <c r="W20" s="39">
        <f t="shared" si="4"/>
        <v>13121.279999999999</v>
      </c>
      <c r="X20" s="39">
        <f t="shared" si="4"/>
        <v>13125.119999999999</v>
      </c>
      <c r="Y20" s="39">
        <f t="shared" si="4"/>
        <v>13128.96</v>
      </c>
      <c r="Z20" s="39">
        <f t="shared" si="4"/>
        <v>13132.8</v>
      </c>
      <c r="AA20" s="39">
        <f t="shared" si="4"/>
        <v>13136.64</v>
      </c>
      <c r="AB20" s="39">
        <f t="shared" si="4"/>
        <v>13140.48</v>
      </c>
      <c r="AC20" s="39">
        <f t="shared" si="4"/>
        <v>13144.32</v>
      </c>
      <c r="AD20" s="39">
        <f t="shared" si="4"/>
        <v>13148.16</v>
      </c>
    </row>
    <row r="21" spans="1:30" x14ac:dyDescent="0.25">
      <c r="A21" s="38" t="s">
        <v>48</v>
      </c>
      <c r="B21" s="39">
        <f>B16*$Q$6</f>
        <v>1562.16</v>
      </c>
      <c r="C21" s="39">
        <f t="shared" ref="C21:AD21" si="5">C16*$Q$6</f>
        <v>1562.6200000000001</v>
      </c>
      <c r="D21" s="39">
        <f t="shared" si="5"/>
        <v>1563.0800000000002</v>
      </c>
      <c r="E21" s="39">
        <f t="shared" si="5"/>
        <v>1563.54</v>
      </c>
      <c r="F21" s="39">
        <f t="shared" si="5"/>
        <v>1564</v>
      </c>
      <c r="G21" s="39">
        <f t="shared" si="5"/>
        <v>1564.46</v>
      </c>
      <c r="H21" s="39">
        <f t="shared" si="5"/>
        <v>1564.92</v>
      </c>
      <c r="I21" s="39">
        <f t="shared" si="5"/>
        <v>1565.38</v>
      </c>
      <c r="J21" s="39">
        <f t="shared" si="5"/>
        <v>1565.8400000000001</v>
      </c>
      <c r="K21" s="39">
        <f t="shared" si="5"/>
        <v>1566.3</v>
      </c>
      <c r="L21" s="39">
        <f t="shared" si="5"/>
        <v>1566.76</v>
      </c>
      <c r="M21" s="39">
        <f t="shared" si="5"/>
        <v>1567.22</v>
      </c>
      <c r="N21" s="39">
        <f t="shared" si="5"/>
        <v>1567.68</v>
      </c>
      <c r="O21" s="39">
        <f t="shared" si="5"/>
        <v>1568.14</v>
      </c>
      <c r="P21" s="39">
        <f t="shared" si="5"/>
        <v>1568.6000000000001</v>
      </c>
      <c r="Q21" s="39">
        <f t="shared" si="5"/>
        <v>1569.0600000000002</v>
      </c>
      <c r="R21" s="39">
        <f t="shared" si="5"/>
        <v>1569.52</v>
      </c>
      <c r="S21" s="39">
        <f t="shared" si="5"/>
        <v>1569.98</v>
      </c>
      <c r="T21" s="39">
        <f t="shared" si="5"/>
        <v>1570.44</v>
      </c>
      <c r="U21" s="39">
        <f t="shared" si="5"/>
        <v>1570.9</v>
      </c>
      <c r="V21" s="39">
        <f t="shared" si="5"/>
        <v>1571.3600000000001</v>
      </c>
      <c r="W21" s="39">
        <f t="shared" si="5"/>
        <v>1571.8200000000002</v>
      </c>
      <c r="X21" s="39">
        <f t="shared" si="5"/>
        <v>1572.28</v>
      </c>
      <c r="Y21" s="39">
        <f t="shared" si="5"/>
        <v>1572.74</v>
      </c>
      <c r="Z21" s="39">
        <f t="shared" si="5"/>
        <v>1573.2</v>
      </c>
      <c r="AA21" s="39">
        <f t="shared" si="5"/>
        <v>1573.66</v>
      </c>
      <c r="AB21" s="39">
        <f t="shared" si="5"/>
        <v>1574.1200000000001</v>
      </c>
      <c r="AC21" s="39">
        <f t="shared" si="5"/>
        <v>1574.5800000000002</v>
      </c>
      <c r="AD21" s="39">
        <f t="shared" si="5"/>
        <v>1575.04</v>
      </c>
    </row>
    <row r="22" spans="1:30" x14ac:dyDescent="0.25">
      <c r="A22" s="38" t="s">
        <v>49</v>
      </c>
      <c r="B22" s="39">
        <f>MIN(B$18,$C$4)</f>
        <v>40240.67</v>
      </c>
      <c r="C22" s="39">
        <f t="shared" ref="C22:AD22" si="6">MIN(C$18,$C$4)</f>
        <v>40240.67</v>
      </c>
      <c r="D22" s="39">
        <f t="shared" si="6"/>
        <v>40240.67</v>
      </c>
      <c r="E22" s="39">
        <f t="shared" si="6"/>
        <v>40240.67</v>
      </c>
      <c r="F22" s="39">
        <f t="shared" si="6"/>
        <v>40240.67</v>
      </c>
      <c r="G22" s="39">
        <f t="shared" si="6"/>
        <v>40240.67</v>
      </c>
      <c r="H22" s="39">
        <f t="shared" si="6"/>
        <v>40240.67</v>
      </c>
      <c r="I22" s="39">
        <f t="shared" si="6"/>
        <v>40240.67</v>
      </c>
      <c r="J22" s="39">
        <f t="shared" si="6"/>
        <v>40240.67</v>
      </c>
      <c r="K22" s="39">
        <f t="shared" si="6"/>
        <v>40240.67</v>
      </c>
      <c r="L22" s="39">
        <f t="shared" si="6"/>
        <v>40240.67</v>
      </c>
      <c r="M22" s="39">
        <f t="shared" si="6"/>
        <v>40240.67</v>
      </c>
      <c r="N22" s="39">
        <f t="shared" si="6"/>
        <v>40240.67</v>
      </c>
      <c r="O22" s="39">
        <f t="shared" si="6"/>
        <v>40240.67</v>
      </c>
      <c r="P22" s="39">
        <f t="shared" si="6"/>
        <v>40240.67</v>
      </c>
      <c r="Q22" s="39">
        <f t="shared" si="6"/>
        <v>40240.67</v>
      </c>
      <c r="R22" s="39">
        <f t="shared" si="6"/>
        <v>40240.67</v>
      </c>
      <c r="S22" s="39">
        <f t="shared" si="6"/>
        <v>40240.67</v>
      </c>
      <c r="T22" s="39">
        <f t="shared" si="6"/>
        <v>40240.67</v>
      </c>
      <c r="U22" s="39">
        <f t="shared" si="6"/>
        <v>40240.67</v>
      </c>
      <c r="V22" s="39">
        <f t="shared" si="6"/>
        <v>40240.67</v>
      </c>
      <c r="W22" s="39">
        <f t="shared" si="6"/>
        <v>40240.67</v>
      </c>
      <c r="X22" s="39">
        <f t="shared" si="6"/>
        <v>40240.67</v>
      </c>
      <c r="Y22" s="39">
        <f t="shared" si="6"/>
        <v>40240.67</v>
      </c>
      <c r="Z22" s="39">
        <f t="shared" si="6"/>
        <v>40240.67</v>
      </c>
      <c r="AA22" s="39">
        <f t="shared" si="6"/>
        <v>40240.67</v>
      </c>
      <c r="AB22" s="39">
        <f t="shared" si="6"/>
        <v>40240.67</v>
      </c>
      <c r="AC22" s="39">
        <f t="shared" si="6"/>
        <v>40240.67</v>
      </c>
      <c r="AD22" s="39">
        <f t="shared" si="6"/>
        <v>40240.67</v>
      </c>
    </row>
    <row r="23" spans="1:30" x14ac:dyDescent="0.25">
      <c r="A23" s="38" t="s">
        <v>50</v>
      </c>
      <c r="B23" s="39">
        <f>MIN(B$19,$C$5)</f>
        <v>15383.880000000001</v>
      </c>
      <c r="C23" s="39">
        <f t="shared" ref="C23:AD23" si="7">MIN(C$19,$C$5)</f>
        <v>15388.410000000002</v>
      </c>
      <c r="D23" s="39">
        <f t="shared" si="7"/>
        <v>15392.94</v>
      </c>
      <c r="E23" s="39">
        <f t="shared" si="7"/>
        <v>15397.470000000001</v>
      </c>
      <c r="F23" s="39">
        <f t="shared" si="7"/>
        <v>15402</v>
      </c>
      <c r="G23" s="39">
        <f t="shared" si="7"/>
        <v>15406.53</v>
      </c>
      <c r="H23" s="39">
        <f t="shared" si="7"/>
        <v>15411.060000000001</v>
      </c>
      <c r="I23" s="39">
        <f t="shared" si="7"/>
        <v>15415.59</v>
      </c>
      <c r="J23" s="39">
        <f t="shared" si="7"/>
        <v>15420.12</v>
      </c>
      <c r="K23" s="39">
        <f t="shared" si="7"/>
        <v>15424.650000000001</v>
      </c>
      <c r="L23" s="39">
        <f t="shared" si="7"/>
        <v>15429.18</v>
      </c>
      <c r="M23" s="39">
        <f t="shared" si="7"/>
        <v>15433.710000000001</v>
      </c>
      <c r="N23" s="39">
        <f t="shared" si="7"/>
        <v>15438.240000000002</v>
      </c>
      <c r="O23" s="39">
        <f t="shared" si="7"/>
        <v>15442.77</v>
      </c>
      <c r="P23" s="39">
        <f t="shared" si="7"/>
        <v>15447.300000000001</v>
      </c>
      <c r="Q23" s="39">
        <f t="shared" si="7"/>
        <v>15451.830000000002</v>
      </c>
      <c r="R23" s="39">
        <f t="shared" si="7"/>
        <v>15456.36</v>
      </c>
      <c r="S23" s="39">
        <f t="shared" si="7"/>
        <v>15460.890000000001</v>
      </c>
      <c r="T23" s="39">
        <f t="shared" si="7"/>
        <v>15465.42</v>
      </c>
      <c r="U23" s="39">
        <f t="shared" si="7"/>
        <v>15469.95</v>
      </c>
      <c r="V23" s="39">
        <f t="shared" si="7"/>
        <v>15474.480000000001</v>
      </c>
      <c r="W23" s="39">
        <f t="shared" si="7"/>
        <v>15479.01</v>
      </c>
      <c r="X23" s="39">
        <f t="shared" si="7"/>
        <v>15483.54</v>
      </c>
      <c r="Y23" s="39">
        <f t="shared" si="7"/>
        <v>15488.070000000002</v>
      </c>
      <c r="Z23" s="39">
        <f t="shared" si="7"/>
        <v>15492.6</v>
      </c>
      <c r="AA23" s="39">
        <f t="shared" si="7"/>
        <v>15497.130000000001</v>
      </c>
      <c r="AB23" s="39">
        <f t="shared" si="7"/>
        <v>15501.660000000002</v>
      </c>
      <c r="AC23" s="39">
        <f t="shared" si="7"/>
        <v>15506.19</v>
      </c>
      <c r="AD23" s="39">
        <f t="shared" si="7"/>
        <v>15510.720000000001</v>
      </c>
    </row>
    <row r="24" spans="1:30" x14ac:dyDescent="0.25">
      <c r="A24" s="38" t="s">
        <v>51</v>
      </c>
      <c r="B24" s="39">
        <f>MIN(B$20,$C$6)</f>
        <v>13040.64</v>
      </c>
      <c r="C24" s="39">
        <f t="shared" ref="C24:AD24" si="8">MIN(C$20,$C$6)</f>
        <v>13044.48</v>
      </c>
      <c r="D24" s="39">
        <f t="shared" si="8"/>
        <v>13048.32</v>
      </c>
      <c r="E24" s="39">
        <f t="shared" si="8"/>
        <v>13052.16</v>
      </c>
      <c r="F24" s="39">
        <f t="shared" si="8"/>
        <v>13056</v>
      </c>
      <c r="G24" s="39">
        <f t="shared" si="8"/>
        <v>13059.84</v>
      </c>
      <c r="H24" s="39">
        <f t="shared" si="8"/>
        <v>13063.68</v>
      </c>
      <c r="I24" s="39">
        <f t="shared" si="8"/>
        <v>13067.519999999999</v>
      </c>
      <c r="J24" s="39">
        <f t="shared" si="8"/>
        <v>13071.359999999999</v>
      </c>
      <c r="K24" s="39">
        <f t="shared" si="8"/>
        <v>13075.199999999999</v>
      </c>
      <c r="L24" s="39">
        <f t="shared" si="8"/>
        <v>13079.039999999999</v>
      </c>
      <c r="M24" s="39">
        <f t="shared" si="8"/>
        <v>13082.88</v>
      </c>
      <c r="N24" s="39">
        <f t="shared" si="8"/>
        <v>13086.72</v>
      </c>
      <c r="O24" s="39">
        <f t="shared" si="8"/>
        <v>13090.56</v>
      </c>
      <c r="P24" s="39">
        <f t="shared" si="8"/>
        <v>13094.4</v>
      </c>
      <c r="Q24" s="39">
        <f t="shared" si="8"/>
        <v>13098.24</v>
      </c>
      <c r="R24" s="39">
        <f t="shared" si="8"/>
        <v>13102.08</v>
      </c>
      <c r="S24" s="39">
        <f t="shared" si="8"/>
        <v>13105.92</v>
      </c>
      <c r="T24" s="39">
        <f t="shared" si="8"/>
        <v>13109.76</v>
      </c>
      <c r="U24" s="39">
        <f t="shared" si="8"/>
        <v>13113.6</v>
      </c>
      <c r="V24" s="39">
        <f t="shared" si="8"/>
        <v>13117.439999999999</v>
      </c>
      <c r="W24" s="39">
        <f t="shared" si="8"/>
        <v>13121.279999999999</v>
      </c>
      <c r="X24" s="39">
        <f t="shared" si="8"/>
        <v>13125.119999999999</v>
      </c>
      <c r="Y24" s="39">
        <f t="shared" si="8"/>
        <v>13128.96</v>
      </c>
      <c r="Z24" s="39">
        <f t="shared" si="8"/>
        <v>13132.8</v>
      </c>
      <c r="AA24" s="39">
        <f t="shared" si="8"/>
        <v>13136.64</v>
      </c>
      <c r="AB24" s="39">
        <f t="shared" si="8"/>
        <v>13140.48</v>
      </c>
      <c r="AC24" s="39">
        <f t="shared" si="8"/>
        <v>13144.32</v>
      </c>
      <c r="AD24" s="39">
        <f t="shared" si="8"/>
        <v>13148.16</v>
      </c>
    </row>
    <row r="25" spans="1:30" x14ac:dyDescent="0.25">
      <c r="A25" s="38" t="s">
        <v>52</v>
      </c>
      <c r="B25" s="39">
        <f>MIN(B$21,$C$7)</f>
        <v>1562.16</v>
      </c>
      <c r="C25" s="39">
        <f t="shared" ref="C25:AD25" si="9">MIN(C$21,$C$7)</f>
        <v>1562.6200000000001</v>
      </c>
      <c r="D25" s="39">
        <f t="shared" si="9"/>
        <v>1563.0800000000002</v>
      </c>
      <c r="E25" s="39">
        <f t="shared" si="9"/>
        <v>1563.54</v>
      </c>
      <c r="F25" s="39">
        <f t="shared" si="9"/>
        <v>1564</v>
      </c>
      <c r="G25" s="39">
        <f t="shared" si="9"/>
        <v>1564.46</v>
      </c>
      <c r="H25" s="39">
        <f t="shared" si="9"/>
        <v>1564.92</v>
      </c>
      <c r="I25" s="39">
        <f t="shared" si="9"/>
        <v>1565.38</v>
      </c>
      <c r="J25" s="39">
        <f t="shared" si="9"/>
        <v>1565.8400000000001</v>
      </c>
      <c r="K25" s="39">
        <f t="shared" si="9"/>
        <v>1566.3</v>
      </c>
      <c r="L25" s="39">
        <f t="shared" si="9"/>
        <v>1566.76</v>
      </c>
      <c r="M25" s="39">
        <f t="shared" si="9"/>
        <v>1567.22</v>
      </c>
      <c r="N25" s="39">
        <f t="shared" si="9"/>
        <v>1567.68</v>
      </c>
      <c r="O25" s="39">
        <f t="shared" si="9"/>
        <v>1568.14</v>
      </c>
      <c r="P25" s="39">
        <f t="shared" si="9"/>
        <v>1568.6000000000001</v>
      </c>
      <c r="Q25" s="39">
        <f t="shared" si="9"/>
        <v>1569.0600000000002</v>
      </c>
      <c r="R25" s="39">
        <f t="shared" si="9"/>
        <v>1569.52</v>
      </c>
      <c r="S25" s="39">
        <f t="shared" si="9"/>
        <v>1569.98</v>
      </c>
      <c r="T25" s="39">
        <f t="shared" si="9"/>
        <v>1570.44</v>
      </c>
      <c r="U25" s="39">
        <f t="shared" si="9"/>
        <v>1570.9</v>
      </c>
      <c r="V25" s="39">
        <f t="shared" si="9"/>
        <v>1571.3600000000001</v>
      </c>
      <c r="W25" s="39">
        <f t="shared" si="9"/>
        <v>1571.8200000000002</v>
      </c>
      <c r="X25" s="39">
        <f t="shared" si="9"/>
        <v>1572.28</v>
      </c>
      <c r="Y25" s="39">
        <f t="shared" si="9"/>
        <v>1572.74</v>
      </c>
      <c r="Z25" s="39">
        <f t="shared" si="9"/>
        <v>1573.2</v>
      </c>
      <c r="AA25" s="39">
        <f t="shared" si="9"/>
        <v>1573.66</v>
      </c>
      <c r="AB25" s="39">
        <f t="shared" si="9"/>
        <v>1574.1200000000001</v>
      </c>
      <c r="AC25" s="39">
        <f t="shared" si="9"/>
        <v>1574.5800000000002</v>
      </c>
      <c r="AD25" s="39">
        <f t="shared" si="9"/>
        <v>1575.04</v>
      </c>
    </row>
    <row r="26" spans="1:30" x14ac:dyDescent="0.25">
      <c r="A26" s="40" t="s">
        <v>53</v>
      </c>
      <c r="B26" s="41">
        <v>0</v>
      </c>
      <c r="C26" s="41">
        <f>IF(C22&gt;$B$4,(C22-$B$4)*$H$4,0)</f>
        <v>662.68999999998778</v>
      </c>
      <c r="D26" s="41">
        <v>0</v>
      </c>
      <c r="E26" s="41">
        <f>IF(E22&gt;$B$4,(E22-$B$4)*$H$4,0)</f>
        <v>662.68999999998778</v>
      </c>
      <c r="F26" s="41">
        <v>0</v>
      </c>
      <c r="G26" s="41">
        <f>IF(G22&gt;$B$4,(G22-$B$4)*$H$4,0)</f>
        <v>662.68999999998778</v>
      </c>
      <c r="H26" s="41">
        <v>0</v>
      </c>
      <c r="I26" s="41">
        <v>0</v>
      </c>
      <c r="J26" s="41">
        <f>IF(J22&gt;$B$4,(J22-$B$4)*$H$4,0)</f>
        <v>662.68999999998778</v>
      </c>
      <c r="K26" s="41">
        <v>0</v>
      </c>
      <c r="L26" s="41">
        <f>IF(L22&gt;$B$4,(L22-$B$4)*$H$4,0)</f>
        <v>662.68999999998778</v>
      </c>
      <c r="M26" s="41">
        <v>0</v>
      </c>
      <c r="N26" s="41">
        <f>IF(N22&gt;$B$4,(N22-$B$4)*$H$4,0)</f>
        <v>662.68999999998778</v>
      </c>
      <c r="O26" s="41">
        <v>0</v>
      </c>
      <c r="P26" s="41">
        <f>IF(P22&gt;$B$4,(P22-$B$4)*$H$4,0)</f>
        <v>662.68999999998778</v>
      </c>
      <c r="Q26" s="41">
        <v>0</v>
      </c>
      <c r="R26" s="41">
        <f>IF(R22&gt;$B$4,(R22-$B$4)*$H$4,0)</f>
        <v>662.68999999998778</v>
      </c>
      <c r="S26" s="41">
        <v>0</v>
      </c>
      <c r="T26" s="41">
        <f>IF(T22&gt;$B$4,(T22-$B$4)*$H$4,0)</f>
        <v>662.68999999998778</v>
      </c>
      <c r="U26" s="41">
        <v>0</v>
      </c>
      <c r="V26" s="41">
        <f>IF(V22&gt;$B$4,(V22-$B$4)*$H$4,0)</f>
        <v>662.68999999998778</v>
      </c>
      <c r="W26" s="41">
        <v>0</v>
      </c>
      <c r="X26" s="41">
        <f>IF(X22&gt;$B$4,(X22-$B$4)*$H$4,0)</f>
        <v>662.68999999998778</v>
      </c>
      <c r="Y26" s="41">
        <v>0</v>
      </c>
      <c r="Z26" s="41">
        <f>IF(Z22&gt;$B$4,(Z22-$B$4)*$H$4,0)</f>
        <v>662.68999999998778</v>
      </c>
      <c r="AA26" s="41">
        <v>0</v>
      </c>
      <c r="AB26" s="41">
        <f>IF(AB22&gt;$B$4,(AB22-$B$4)*$H$4,0)</f>
        <v>662.68999999998778</v>
      </c>
      <c r="AC26" s="41">
        <v>0</v>
      </c>
      <c r="AD26" s="41">
        <f>IF(AD22&gt;$B$4,(AD22-$B$4)*$H$4,0)</f>
        <v>662.68999999998778</v>
      </c>
    </row>
    <row r="27" spans="1:30" x14ac:dyDescent="0.25">
      <c r="A27" s="40" t="s">
        <v>54</v>
      </c>
      <c r="B27" s="41">
        <v>0</v>
      </c>
      <c r="C27" s="41">
        <f>IF(C23&gt;$B$5,(C23-$B$5)*$H$5,0)</f>
        <v>0</v>
      </c>
      <c r="D27" s="41">
        <v>0</v>
      </c>
      <c r="E27" s="41">
        <f>IF(E23&gt;$B$5,(E23-$B$5)*$H$5,0)</f>
        <v>0</v>
      </c>
      <c r="F27" s="41">
        <v>0</v>
      </c>
      <c r="G27" s="41">
        <f>IF(G23&gt;$B$5,(G23-$B$5)*$H$5,0)</f>
        <v>0</v>
      </c>
      <c r="H27" s="41">
        <v>0</v>
      </c>
      <c r="I27" s="41">
        <v>0</v>
      </c>
      <c r="J27" s="41">
        <f>IF(J23&gt;$B$5,(J23-$B$5)*$H$5,0)</f>
        <v>0</v>
      </c>
      <c r="K27" s="41">
        <v>0</v>
      </c>
      <c r="L27" s="41">
        <f>IF(L23&gt;$B$5,(L23-$B$5)*$H$5,0)</f>
        <v>0</v>
      </c>
      <c r="M27" s="41">
        <v>0</v>
      </c>
      <c r="N27" s="41">
        <f>IF(N23&gt;$B$5,(N23-$B$5)*$H$5,0)</f>
        <v>0</v>
      </c>
      <c r="O27" s="41">
        <v>0</v>
      </c>
      <c r="P27" s="41">
        <f>IF(P23&gt;$B$5,(P23-$B$5)*$H$5,0)</f>
        <v>0</v>
      </c>
      <c r="Q27" s="41">
        <v>0</v>
      </c>
      <c r="R27" s="41">
        <f>IF(R23&gt;$B$5,(R23-$B$5)*$H$5,0)</f>
        <v>0</v>
      </c>
      <c r="S27" s="41">
        <v>0</v>
      </c>
      <c r="T27" s="41">
        <f>IF(T23&gt;$B$5,(T23-$B$5)*$H$5,0)</f>
        <v>0</v>
      </c>
      <c r="U27" s="41">
        <v>0</v>
      </c>
      <c r="V27" s="41">
        <f>IF(V23&gt;$B$5,(V23-$B$5)*$H$5,0)</f>
        <v>0</v>
      </c>
      <c r="W27" s="41">
        <v>0</v>
      </c>
      <c r="X27" s="41">
        <f>IF(X23&gt;$B$5,(X23-$B$5)*$H$5,0)</f>
        <v>0</v>
      </c>
      <c r="Y27" s="41">
        <v>0</v>
      </c>
      <c r="Z27" s="41">
        <f>IF(Z23&gt;$B$5,(Z23-$B$5)*$H$5,0)</f>
        <v>0</v>
      </c>
      <c r="AA27" s="41">
        <v>0</v>
      </c>
      <c r="AB27" s="41">
        <f>IF(AB23&gt;$B$5,(AB23-$B$5)*$H$5,0)</f>
        <v>0</v>
      </c>
      <c r="AC27" s="41">
        <v>0</v>
      </c>
      <c r="AD27" s="41">
        <f>IF(AD23&gt;$B$5,(AD23-$B$5)*$H$5,0)</f>
        <v>0</v>
      </c>
    </row>
    <row r="28" spans="1:30" x14ac:dyDescent="0.25">
      <c r="A28" s="40" t="s">
        <v>55</v>
      </c>
      <c r="B28" s="41">
        <v>0</v>
      </c>
      <c r="C28" s="41">
        <f>IF(C24&gt;$B$6,(C24-$B$6)*$H$6,0)</f>
        <v>0</v>
      </c>
      <c r="D28" s="41">
        <v>0</v>
      </c>
      <c r="E28" s="41">
        <f>IF(E24&gt;$B$6,(E24-$B$6)*$H$6,0)</f>
        <v>0</v>
      </c>
      <c r="F28" s="41">
        <v>0</v>
      </c>
      <c r="G28" s="41">
        <f>IF(G24&gt;$B$6,(G24-$B$6)*$H$6,0)</f>
        <v>0</v>
      </c>
      <c r="H28" s="41">
        <v>0</v>
      </c>
      <c r="I28" s="41">
        <v>0</v>
      </c>
      <c r="J28" s="41">
        <f>IF(J24&gt;$B$6,(J24-$B$6)*$H$6,0)</f>
        <v>0</v>
      </c>
      <c r="K28" s="41">
        <v>0</v>
      </c>
      <c r="L28" s="41">
        <f>IF(L24&gt;$B$6,(L24-$B$6)*$H$6,0)</f>
        <v>0</v>
      </c>
      <c r="M28" s="41">
        <v>0</v>
      </c>
      <c r="N28" s="41">
        <f>IF(N24&gt;$B$6,(N24-$B$6)*$H$6,0)</f>
        <v>0</v>
      </c>
      <c r="O28" s="41">
        <v>0</v>
      </c>
      <c r="P28" s="41">
        <f>IF(P24&gt;$B$6,(P24-$B$6)*$H$6,0)</f>
        <v>0</v>
      </c>
      <c r="Q28" s="41">
        <v>0</v>
      </c>
      <c r="R28" s="41">
        <f>IF(R24&gt;$B$6,(R24-$B$6)*$H$6,0)</f>
        <v>0</v>
      </c>
      <c r="S28" s="41">
        <v>0</v>
      </c>
      <c r="T28" s="41">
        <f>IF(T24&gt;$B$6,(T24-$B$6)*$H$6,0)</f>
        <v>0</v>
      </c>
      <c r="U28" s="41">
        <v>0</v>
      </c>
      <c r="V28" s="41">
        <f>IF(V24&gt;$B$6,(V24-$B$6)*$H$6,0)</f>
        <v>0</v>
      </c>
      <c r="W28" s="41">
        <v>0</v>
      </c>
      <c r="X28" s="41">
        <f>IF(X24&gt;$B$6,(X24-$B$6)*$H$6,0)</f>
        <v>0</v>
      </c>
      <c r="Y28" s="41">
        <v>0</v>
      </c>
      <c r="Z28" s="41">
        <f>IF(Z24&gt;$B$6,(Z24-$B$6)*$H$6,0)</f>
        <v>0</v>
      </c>
      <c r="AA28" s="41">
        <v>0</v>
      </c>
      <c r="AB28" s="41">
        <f>IF(AB24&gt;$B$6,(AB24-$B$6)*$H$6,0)</f>
        <v>0</v>
      </c>
      <c r="AC28" s="41">
        <v>0</v>
      </c>
      <c r="AD28" s="41">
        <f>IF(AD24&gt;$B$6,(AD24-$B$6)*$H$6,0)</f>
        <v>0</v>
      </c>
    </row>
    <row r="29" spans="1:30" x14ac:dyDescent="0.25">
      <c r="A29" s="40" t="s">
        <v>56</v>
      </c>
      <c r="B29" s="41">
        <v>0</v>
      </c>
      <c r="C29" s="41">
        <f>IF(C25&gt;$B$7,(C25-$B$7)*$H$7,0)</f>
        <v>0</v>
      </c>
      <c r="D29" s="41">
        <v>0</v>
      </c>
      <c r="E29" s="41">
        <f>IF(E25&gt;$B$7,(E25-$B$7)*$H$7,0)</f>
        <v>0</v>
      </c>
      <c r="F29" s="41">
        <v>0</v>
      </c>
      <c r="G29" s="41">
        <f>IF(G25&gt;$B$7,(G25-$B$7)*$H$7,0)</f>
        <v>0</v>
      </c>
      <c r="H29" s="41">
        <v>0</v>
      </c>
      <c r="I29" s="41">
        <v>0</v>
      </c>
      <c r="J29" s="41">
        <f>IF(J25&gt;$B$7,(J25-$B$7)*$H$7,0)</f>
        <v>0</v>
      </c>
      <c r="K29" s="41">
        <v>0</v>
      </c>
      <c r="L29" s="41">
        <f>IF(L25&gt;$B$7,(L25-$B$7)*$H$7,0)</f>
        <v>0</v>
      </c>
      <c r="M29" s="41">
        <v>0</v>
      </c>
      <c r="N29" s="41">
        <f>IF(N25&gt;$B$7,(N25-$B$7)*$H$7,0)</f>
        <v>0</v>
      </c>
      <c r="O29" s="41">
        <v>0</v>
      </c>
      <c r="P29" s="41">
        <f>IF(P25&gt;$B$7,(P25-$B$7)*$H$7,0)</f>
        <v>0</v>
      </c>
      <c r="Q29" s="41">
        <v>0</v>
      </c>
      <c r="R29" s="41">
        <f>IF(R25&gt;$B$7,(R25-$B$7)*$H$7,0)</f>
        <v>0</v>
      </c>
      <c r="S29" s="41">
        <v>0</v>
      </c>
      <c r="T29" s="41">
        <f>IF(T25&gt;$B$7,(T25-$B$7)*$H$7,0)</f>
        <v>0</v>
      </c>
      <c r="U29" s="41">
        <v>0</v>
      </c>
      <c r="V29" s="41">
        <f>IF(V25&gt;$B$7,(V25-$B$7)*$H$7,0)</f>
        <v>0</v>
      </c>
      <c r="W29" s="41">
        <v>0</v>
      </c>
      <c r="X29" s="41">
        <f>IF(X25&gt;$B$7,(X25-$B$7)*$H$7,0)</f>
        <v>0</v>
      </c>
      <c r="Y29" s="41">
        <v>0</v>
      </c>
      <c r="Z29" s="41">
        <f>IF(Z25&gt;$B$7,(Z25-$B$7)*$H$7,0)</f>
        <v>0</v>
      </c>
      <c r="AA29" s="41">
        <v>0</v>
      </c>
      <c r="AB29" s="41">
        <f>IF(AB25&gt;$B$7,(AB25-$B$7)*$H$7,0)</f>
        <v>0</v>
      </c>
      <c r="AC29" s="41">
        <v>0</v>
      </c>
      <c r="AD29" s="41">
        <f>IF(AD25&gt;$B$7,(AD25-$B$7)*$H$7,0)</f>
        <v>0</v>
      </c>
    </row>
    <row r="30" spans="1:30" x14ac:dyDescent="0.25">
      <c r="A30" s="42" t="s">
        <v>57</v>
      </c>
      <c r="B30" s="43">
        <f>G4+G5+G6+G7</f>
        <v>116.7339999999997</v>
      </c>
      <c r="C30" s="43">
        <f t="shared" ref="C30:AD30" si="10">B30</f>
        <v>116.7339999999997</v>
      </c>
      <c r="D30" s="43">
        <f t="shared" si="10"/>
        <v>116.7339999999997</v>
      </c>
      <c r="E30" s="43">
        <f t="shared" si="10"/>
        <v>116.7339999999997</v>
      </c>
      <c r="F30" s="43">
        <f t="shared" si="10"/>
        <v>116.7339999999997</v>
      </c>
      <c r="G30" s="43">
        <f t="shared" si="10"/>
        <v>116.7339999999997</v>
      </c>
      <c r="H30" s="43">
        <f t="shared" si="10"/>
        <v>116.7339999999997</v>
      </c>
      <c r="I30" s="43">
        <f t="shared" si="10"/>
        <v>116.7339999999997</v>
      </c>
      <c r="J30" s="43">
        <f t="shared" si="10"/>
        <v>116.7339999999997</v>
      </c>
      <c r="K30" s="43">
        <f t="shared" si="10"/>
        <v>116.7339999999997</v>
      </c>
      <c r="L30" s="43">
        <f t="shared" si="10"/>
        <v>116.7339999999997</v>
      </c>
      <c r="M30" s="43">
        <f t="shared" si="10"/>
        <v>116.7339999999997</v>
      </c>
      <c r="N30" s="43">
        <f t="shared" si="10"/>
        <v>116.7339999999997</v>
      </c>
      <c r="O30" s="43">
        <f t="shared" si="10"/>
        <v>116.7339999999997</v>
      </c>
      <c r="P30" s="43">
        <f t="shared" si="10"/>
        <v>116.7339999999997</v>
      </c>
      <c r="Q30" s="43">
        <f t="shared" si="10"/>
        <v>116.7339999999997</v>
      </c>
      <c r="R30" s="43">
        <f t="shared" si="10"/>
        <v>116.7339999999997</v>
      </c>
      <c r="S30" s="43">
        <f t="shared" si="10"/>
        <v>116.7339999999997</v>
      </c>
      <c r="T30" s="43">
        <f t="shared" si="10"/>
        <v>116.7339999999997</v>
      </c>
      <c r="U30" s="43">
        <f t="shared" si="10"/>
        <v>116.7339999999997</v>
      </c>
      <c r="V30" s="43">
        <f t="shared" si="10"/>
        <v>116.7339999999997</v>
      </c>
      <c r="W30" s="43">
        <f t="shared" si="10"/>
        <v>116.7339999999997</v>
      </c>
      <c r="X30" s="43">
        <f t="shared" si="10"/>
        <v>116.7339999999997</v>
      </c>
      <c r="Y30" s="43">
        <f t="shared" si="10"/>
        <v>116.7339999999997</v>
      </c>
      <c r="Z30" s="43">
        <f t="shared" si="10"/>
        <v>116.7339999999997</v>
      </c>
      <c r="AA30" s="43">
        <f t="shared" si="10"/>
        <v>116.7339999999997</v>
      </c>
      <c r="AB30" s="43">
        <f t="shared" si="10"/>
        <v>116.7339999999997</v>
      </c>
      <c r="AC30" s="43">
        <f t="shared" si="10"/>
        <v>116.7339999999997</v>
      </c>
      <c r="AD30" s="43">
        <f t="shared" si="10"/>
        <v>116.7339999999997</v>
      </c>
    </row>
    <row r="31" spans="1:30" x14ac:dyDescent="0.25">
      <c r="A31" s="44" t="s">
        <v>58</v>
      </c>
      <c r="B31" s="45">
        <f t="shared" ref="B31:AD31" si="11">B26+B27+B28+B29-B30</f>
        <v>-116.7339999999997</v>
      </c>
      <c r="C31" s="45">
        <f t="shared" si="11"/>
        <v>545.95599999998808</v>
      </c>
      <c r="D31" s="45">
        <f t="shared" si="11"/>
        <v>-116.7339999999997</v>
      </c>
      <c r="E31" s="45">
        <f t="shared" si="11"/>
        <v>545.95599999998808</v>
      </c>
      <c r="F31" s="45">
        <f t="shared" si="11"/>
        <v>-116.7339999999997</v>
      </c>
      <c r="G31" s="45">
        <f t="shared" si="11"/>
        <v>545.95599999998808</v>
      </c>
      <c r="H31" s="45">
        <f t="shared" si="11"/>
        <v>-116.7339999999997</v>
      </c>
      <c r="I31" s="45">
        <f t="shared" si="11"/>
        <v>-116.7339999999997</v>
      </c>
      <c r="J31" s="45">
        <f t="shared" si="11"/>
        <v>545.95599999998808</v>
      </c>
      <c r="K31" s="45">
        <f t="shared" si="11"/>
        <v>-116.7339999999997</v>
      </c>
      <c r="L31" s="45">
        <f t="shared" si="11"/>
        <v>545.95599999998808</v>
      </c>
      <c r="M31" s="45">
        <f t="shared" si="11"/>
        <v>-116.7339999999997</v>
      </c>
      <c r="N31" s="45">
        <f t="shared" si="11"/>
        <v>545.95599999998808</v>
      </c>
      <c r="O31" s="45">
        <f t="shared" si="11"/>
        <v>-116.7339999999997</v>
      </c>
      <c r="P31" s="45">
        <f t="shared" si="11"/>
        <v>545.95599999998808</v>
      </c>
      <c r="Q31" s="45">
        <f t="shared" si="11"/>
        <v>-116.7339999999997</v>
      </c>
      <c r="R31" s="45">
        <f t="shared" si="11"/>
        <v>545.95599999998808</v>
      </c>
      <c r="S31" s="45">
        <f t="shared" si="11"/>
        <v>-116.7339999999997</v>
      </c>
      <c r="T31" s="45">
        <f t="shared" si="11"/>
        <v>545.95599999998808</v>
      </c>
      <c r="U31" s="45">
        <f t="shared" si="11"/>
        <v>-116.7339999999997</v>
      </c>
      <c r="V31" s="45">
        <f t="shared" si="11"/>
        <v>545.95599999998808</v>
      </c>
      <c r="W31" s="45">
        <f t="shared" si="11"/>
        <v>-116.7339999999997</v>
      </c>
      <c r="X31" s="45">
        <f t="shared" si="11"/>
        <v>545.95599999998808</v>
      </c>
      <c r="Y31" s="45">
        <f t="shared" si="11"/>
        <v>-116.7339999999997</v>
      </c>
      <c r="Z31" s="45">
        <f t="shared" si="11"/>
        <v>545.95599999998808</v>
      </c>
      <c r="AA31" s="45">
        <f t="shared" si="11"/>
        <v>-116.7339999999997</v>
      </c>
      <c r="AB31" s="45">
        <f t="shared" si="11"/>
        <v>545.95599999998808</v>
      </c>
      <c r="AC31" s="45">
        <f t="shared" si="11"/>
        <v>-116.7339999999997</v>
      </c>
      <c r="AD31" s="45">
        <f t="shared" si="11"/>
        <v>545.95599999998808</v>
      </c>
    </row>
    <row r="32" spans="1:30" x14ac:dyDescent="0.25">
      <c r="A32" s="46" t="s">
        <v>59</v>
      </c>
      <c r="B32" s="45">
        <f>-B12-B11+B31</f>
        <v>-21389.08399999997</v>
      </c>
      <c r="C32" s="45">
        <f t="shared" ref="C32:AD32" si="12">B32+C31</f>
        <v>-20843.127999999982</v>
      </c>
      <c r="D32" s="45">
        <f t="shared" si="12"/>
        <v>-20959.861999999983</v>
      </c>
      <c r="E32" s="45">
        <f t="shared" si="12"/>
        <v>-20413.905999999995</v>
      </c>
      <c r="F32" s="45">
        <f t="shared" si="12"/>
        <v>-20530.639999999996</v>
      </c>
      <c r="G32" s="45">
        <f t="shared" si="12"/>
        <v>-19984.684000000008</v>
      </c>
      <c r="H32" s="45">
        <f t="shared" si="12"/>
        <v>-20101.418000000009</v>
      </c>
      <c r="I32" s="45">
        <f t="shared" si="12"/>
        <v>-20218.152000000009</v>
      </c>
      <c r="J32" s="45">
        <f t="shared" si="12"/>
        <v>-19672.196000000022</v>
      </c>
      <c r="K32" s="45">
        <f t="shared" si="12"/>
        <v>-19788.930000000022</v>
      </c>
      <c r="L32" s="45">
        <f t="shared" si="12"/>
        <v>-19242.974000000035</v>
      </c>
      <c r="M32" s="45">
        <f t="shared" si="12"/>
        <v>-19359.708000000035</v>
      </c>
      <c r="N32" s="45">
        <f t="shared" si="12"/>
        <v>-18813.752000000048</v>
      </c>
      <c r="O32" s="45">
        <f t="shared" si="12"/>
        <v>-18930.486000000048</v>
      </c>
      <c r="P32" s="45">
        <f t="shared" si="12"/>
        <v>-18384.530000000061</v>
      </c>
      <c r="Q32" s="45">
        <f t="shared" si="12"/>
        <v>-18501.264000000061</v>
      </c>
      <c r="R32" s="45">
        <f t="shared" si="12"/>
        <v>-17955.308000000074</v>
      </c>
      <c r="S32" s="45">
        <f t="shared" si="12"/>
        <v>-18072.042000000074</v>
      </c>
      <c r="T32" s="45">
        <f t="shared" si="12"/>
        <v>-17526.086000000087</v>
      </c>
      <c r="U32" s="45">
        <f t="shared" si="12"/>
        <v>-17642.820000000087</v>
      </c>
      <c r="V32" s="45">
        <f t="shared" si="12"/>
        <v>-17096.8640000001</v>
      </c>
      <c r="W32" s="45">
        <f t="shared" si="12"/>
        <v>-17213.5980000001</v>
      </c>
      <c r="X32" s="45">
        <f t="shared" si="12"/>
        <v>-16667.642000000113</v>
      </c>
      <c r="Y32" s="45">
        <f t="shared" si="12"/>
        <v>-16784.376000000113</v>
      </c>
      <c r="Z32" s="45">
        <f t="shared" si="12"/>
        <v>-16238.420000000126</v>
      </c>
      <c r="AA32" s="45">
        <f t="shared" si="12"/>
        <v>-16355.154000000126</v>
      </c>
      <c r="AB32" s="45">
        <f t="shared" si="12"/>
        <v>-15809.198000000139</v>
      </c>
      <c r="AC32" s="45">
        <f t="shared" si="12"/>
        <v>-15925.932000000139</v>
      </c>
      <c r="AD32" s="45">
        <f t="shared" si="12"/>
        <v>-15379.976000000152</v>
      </c>
    </row>
    <row r="33" spans="1:30" x14ac:dyDescent="0.25">
      <c r="B33" s="47">
        <f>B32/$B$13</f>
        <v>-1.0054875930491929</v>
      </c>
      <c r="C33" s="47">
        <f t="shared" ref="C33:AD33" si="13">C32/$B$13</f>
        <v>-0.97982253958777532</v>
      </c>
      <c r="D33" s="47">
        <f t="shared" si="13"/>
        <v>-0.98531013263696832</v>
      </c>
      <c r="E33" s="47">
        <f t="shared" si="13"/>
        <v>-0.95964507917555064</v>
      </c>
      <c r="F33" s="47">
        <f t="shared" si="13"/>
        <v>-0.96513267222474364</v>
      </c>
      <c r="G33" s="47">
        <f t="shared" si="13"/>
        <v>-0.93946761876332596</v>
      </c>
      <c r="H33" s="47">
        <f t="shared" si="13"/>
        <v>-0.94495521181251896</v>
      </c>
      <c r="I33" s="47">
        <f t="shared" si="13"/>
        <v>-0.95044280486171195</v>
      </c>
      <c r="J33" s="47">
        <f t="shared" si="13"/>
        <v>-0.92477775140029428</v>
      </c>
      <c r="K33" s="47">
        <f t="shared" si="13"/>
        <v>-0.93026534444948727</v>
      </c>
      <c r="L33" s="47">
        <f t="shared" si="13"/>
        <v>-0.9046002909880696</v>
      </c>
      <c r="M33" s="47">
        <f t="shared" si="13"/>
        <v>-0.9100878840372626</v>
      </c>
      <c r="N33" s="47">
        <f t="shared" si="13"/>
        <v>-0.88442283057584492</v>
      </c>
      <c r="O33" s="47">
        <f t="shared" si="13"/>
        <v>-0.88991042362503792</v>
      </c>
      <c r="P33" s="47">
        <f t="shared" si="13"/>
        <v>-0.86424537016362024</v>
      </c>
      <c r="Q33" s="47">
        <f t="shared" si="13"/>
        <v>-0.86973296321281324</v>
      </c>
      <c r="R33" s="47">
        <f t="shared" si="13"/>
        <v>-0.84406790975139556</v>
      </c>
      <c r="S33" s="47">
        <f t="shared" si="13"/>
        <v>-0.84955550280058856</v>
      </c>
      <c r="T33" s="47">
        <f t="shared" si="13"/>
        <v>-0.82389044933917088</v>
      </c>
      <c r="U33" s="47">
        <f t="shared" si="13"/>
        <v>-0.82937804238836388</v>
      </c>
      <c r="V33" s="47">
        <f t="shared" si="13"/>
        <v>-0.8037129889269462</v>
      </c>
      <c r="W33" s="47">
        <f t="shared" si="13"/>
        <v>-0.8092005819761392</v>
      </c>
      <c r="X33" s="47">
        <f t="shared" si="13"/>
        <v>-0.78353552851472152</v>
      </c>
      <c r="Y33" s="47">
        <f t="shared" si="13"/>
        <v>-0.78902312156391452</v>
      </c>
      <c r="Z33" s="47">
        <f t="shared" si="13"/>
        <v>-0.76335806810249685</v>
      </c>
      <c r="AA33" s="47">
        <f t="shared" si="13"/>
        <v>-0.76884566115168984</v>
      </c>
      <c r="AB33" s="47">
        <f t="shared" si="13"/>
        <v>-0.74318060769027217</v>
      </c>
      <c r="AC33" s="47">
        <f t="shared" si="13"/>
        <v>-0.74866820073946516</v>
      </c>
      <c r="AD33" s="47">
        <f t="shared" si="13"/>
        <v>-0.72300314727804749</v>
      </c>
    </row>
    <row r="34" spans="1:30"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row>
    <row r="35" spans="1:30"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row>
    <row r="37" spans="1:30" x14ac:dyDescent="0.25">
      <c r="B37" s="403">
        <f>B18/B17</f>
        <v>0.5760921747479596</v>
      </c>
      <c r="C37" s="403">
        <f t="shared" ref="C37:P37" si="14">C18/C17</f>
        <v>0.57609217474795971</v>
      </c>
      <c r="D37" s="403">
        <f t="shared" si="14"/>
        <v>0.5760921747479596</v>
      </c>
      <c r="E37" s="403">
        <f t="shared" si="14"/>
        <v>0.57609217474795971</v>
      </c>
      <c r="F37" s="403">
        <f t="shared" si="14"/>
        <v>0.57609217474795971</v>
      </c>
      <c r="G37" s="403">
        <f t="shared" si="14"/>
        <v>0.57609217474795971</v>
      </c>
      <c r="H37" s="403">
        <f t="shared" si="14"/>
        <v>0.57609217474795982</v>
      </c>
      <c r="I37" s="403">
        <f t="shared" si="14"/>
        <v>0.5760921747479596</v>
      </c>
      <c r="J37" s="403">
        <f t="shared" si="14"/>
        <v>0.57609217474795971</v>
      </c>
      <c r="K37" s="403">
        <f t="shared" si="14"/>
        <v>0.5760921747479596</v>
      </c>
      <c r="L37" s="403">
        <f t="shared" si="14"/>
        <v>0.57609217474795971</v>
      </c>
      <c r="M37" s="403">
        <f t="shared" si="14"/>
        <v>0.57609217474795971</v>
      </c>
      <c r="N37" s="403">
        <f t="shared" si="14"/>
        <v>0.57609217474795971</v>
      </c>
      <c r="O37" s="403">
        <f t="shared" si="14"/>
        <v>0.57609217474795971</v>
      </c>
      <c r="P37" s="403">
        <f t="shared" si="14"/>
        <v>0.5760921747479596</v>
      </c>
    </row>
    <row r="38" spans="1:30" x14ac:dyDescent="0.25">
      <c r="B38" s="403">
        <f>B19/B17</f>
        <v>0.21747479596735478</v>
      </c>
      <c r="C38" s="403">
        <f t="shared" ref="C38:P38" si="15">C19/C17</f>
        <v>0.21747479596735481</v>
      </c>
      <c r="D38" s="403">
        <f t="shared" si="15"/>
        <v>0.21747479596735475</v>
      </c>
      <c r="E38" s="403">
        <f t="shared" si="15"/>
        <v>0.21747479596735481</v>
      </c>
      <c r="F38" s="403">
        <f t="shared" si="15"/>
        <v>0.21747479596735478</v>
      </c>
      <c r="G38" s="403">
        <f t="shared" si="15"/>
        <v>0.21747479596735478</v>
      </c>
      <c r="H38" s="403">
        <f t="shared" si="15"/>
        <v>0.21747479596735483</v>
      </c>
      <c r="I38" s="403">
        <f t="shared" si="15"/>
        <v>0.21747479596735475</v>
      </c>
      <c r="J38" s="403">
        <f t="shared" si="15"/>
        <v>0.21747479596735481</v>
      </c>
      <c r="K38" s="403">
        <f t="shared" si="15"/>
        <v>0.21747479596735478</v>
      </c>
      <c r="L38" s="403">
        <f t="shared" si="15"/>
        <v>0.21747479596735481</v>
      </c>
      <c r="M38" s="403">
        <f t="shared" si="15"/>
        <v>0.21747479596735481</v>
      </c>
      <c r="N38" s="403">
        <f t="shared" si="15"/>
        <v>0.21747479596735481</v>
      </c>
      <c r="O38" s="403">
        <f t="shared" si="15"/>
        <v>0.21747479596735478</v>
      </c>
      <c r="P38" s="403">
        <f t="shared" si="15"/>
        <v>0.21747479596735478</v>
      </c>
    </row>
    <row r="39" spans="1:30" x14ac:dyDescent="0.25">
      <c r="B39" s="403">
        <f>B20/B17</f>
        <v>0.18434949591934707</v>
      </c>
      <c r="C39" s="403">
        <f t="shared" ref="C39:P39" si="16">C20/C17</f>
        <v>0.1843494959193471</v>
      </c>
      <c r="D39" s="403">
        <f t="shared" si="16"/>
        <v>0.18434949591934707</v>
      </c>
      <c r="E39" s="403">
        <f t="shared" si="16"/>
        <v>0.1843494959193471</v>
      </c>
      <c r="F39" s="403">
        <f t="shared" si="16"/>
        <v>0.1843494959193471</v>
      </c>
      <c r="G39" s="403">
        <f t="shared" si="16"/>
        <v>0.1843494959193471</v>
      </c>
      <c r="H39" s="403">
        <f t="shared" si="16"/>
        <v>0.18434949591934713</v>
      </c>
      <c r="I39" s="403">
        <f t="shared" si="16"/>
        <v>0.18434949591934707</v>
      </c>
      <c r="J39" s="403">
        <f t="shared" si="16"/>
        <v>0.1843494959193471</v>
      </c>
      <c r="K39" s="403">
        <f t="shared" si="16"/>
        <v>0.18434949591934705</v>
      </c>
      <c r="L39" s="403">
        <f t="shared" si="16"/>
        <v>0.1843494959193471</v>
      </c>
      <c r="M39" s="403">
        <f t="shared" si="16"/>
        <v>0.1843494959193471</v>
      </c>
      <c r="N39" s="403">
        <f t="shared" si="16"/>
        <v>0.1843494959193471</v>
      </c>
      <c r="O39" s="403">
        <f t="shared" si="16"/>
        <v>0.18434949591934707</v>
      </c>
      <c r="P39" s="403">
        <f t="shared" si="16"/>
        <v>0.18434949591934707</v>
      </c>
    </row>
    <row r="40" spans="1:30" x14ac:dyDescent="0.25">
      <c r="B40" s="403">
        <f>B21/B17</f>
        <v>2.2083533365338453E-2</v>
      </c>
      <c r="C40" s="403">
        <f t="shared" ref="C40:P40" si="17">C21/C17</f>
        <v>2.2083533365338456E-2</v>
      </c>
      <c r="D40" s="403">
        <f t="shared" si="17"/>
        <v>2.2083533365338453E-2</v>
      </c>
      <c r="E40" s="403">
        <f t="shared" si="17"/>
        <v>2.2083533365338453E-2</v>
      </c>
      <c r="F40" s="403">
        <f t="shared" si="17"/>
        <v>2.2083533365338453E-2</v>
      </c>
      <c r="G40" s="403">
        <f t="shared" si="17"/>
        <v>2.2083533365338453E-2</v>
      </c>
      <c r="H40" s="403">
        <f t="shared" si="17"/>
        <v>2.208353336533846E-2</v>
      </c>
      <c r="I40" s="403">
        <f t="shared" si="17"/>
        <v>2.2083533365338453E-2</v>
      </c>
      <c r="J40" s="403">
        <f t="shared" si="17"/>
        <v>2.208353336533846E-2</v>
      </c>
      <c r="K40" s="403">
        <f t="shared" si="17"/>
        <v>2.2083533365338449E-2</v>
      </c>
      <c r="L40" s="403">
        <f t="shared" si="17"/>
        <v>2.2083533365338456E-2</v>
      </c>
      <c r="M40" s="403">
        <f t="shared" si="17"/>
        <v>2.2083533365338456E-2</v>
      </c>
      <c r="N40" s="403">
        <f t="shared" si="17"/>
        <v>2.2083533365338456E-2</v>
      </c>
      <c r="O40" s="403">
        <f t="shared" si="17"/>
        <v>2.2083533365338456E-2</v>
      </c>
      <c r="P40" s="403">
        <f t="shared" si="17"/>
        <v>2.2083533365338456E-2</v>
      </c>
    </row>
    <row r="41" spans="1:30" x14ac:dyDescent="0.25">
      <c r="G41" s="166">
        <f t="shared" ref="G41" si="18">G21-B7</f>
        <v>-131.53999999999996</v>
      </c>
      <c r="I41" s="166">
        <f t="shared" ref="I41" si="19">I21-B7</f>
        <v>-130.61999999999989</v>
      </c>
    </row>
    <row r="43" spans="1:30" x14ac:dyDescent="0.25">
      <c r="D43">
        <v>46500</v>
      </c>
    </row>
    <row r="44" spans="1:30" x14ac:dyDescent="0.25">
      <c r="D44">
        <f>D43*D37</f>
        <v>26788.28612578012</v>
      </c>
    </row>
    <row r="45" spans="1:30" x14ac:dyDescent="0.25">
      <c r="D45">
        <f>D38*D43</f>
        <v>10112.578012481996</v>
      </c>
    </row>
    <row r="46" spans="1:30" x14ac:dyDescent="0.25">
      <c r="D46">
        <f>D39*D43</f>
        <v>8572.2515602496387</v>
      </c>
    </row>
    <row r="47" spans="1:30" x14ac:dyDescent="0.25">
      <c r="D47">
        <f>D40*D43</f>
        <v>1026.884301488238</v>
      </c>
    </row>
  </sheetData>
  <mergeCells count="3">
    <mergeCell ref="D2:E2"/>
    <mergeCell ref="F2:G2"/>
    <mergeCell ref="H2:I2"/>
  </mergeCells>
  <conditionalFormatting sqref="B32:AD32">
    <cfRule type="cellIs" dxfId="266" priority="1" operator="lessThan">
      <formula>0</formula>
    </cfRule>
    <cfRule type="cellIs" dxfId="265" priority="2" operator="greaterThan">
      <formula>0</formula>
    </cfRule>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27"/>
  <sheetViews>
    <sheetView zoomScale="80" zoomScaleNormal="80" workbookViewId="0">
      <selection activeCell="AN16" sqref="AN16"/>
    </sheetView>
  </sheetViews>
  <sheetFormatPr defaultColWidth="11.42578125" defaultRowHeight="15.75" x14ac:dyDescent="0.25"/>
  <cols>
    <col min="1" max="1" width="7.28515625" customWidth="1"/>
    <col min="2" max="6" width="7" customWidth="1"/>
    <col min="7" max="7" width="6.28515625" bestFit="1" customWidth="1"/>
    <col min="8" max="8" width="7.7109375" style="273" customWidth="1"/>
    <col min="9" max="23" width="6.28515625" bestFit="1" customWidth="1"/>
    <col min="24" max="24" width="6.28515625" style="9" customWidth="1"/>
    <col min="25" max="25" width="5.7109375" customWidth="1"/>
    <col min="26" max="43" width="4" bestFit="1" customWidth="1"/>
    <col min="44" max="44" width="3" bestFit="1" customWidth="1"/>
    <col min="45" max="45" width="5.5703125" bestFit="1" customWidth="1"/>
  </cols>
  <sheetData>
    <row r="1" spans="1:45" x14ac:dyDescent="0.25">
      <c r="A1" s="184" t="s">
        <v>215</v>
      </c>
      <c r="B1" s="184"/>
      <c r="C1" s="184"/>
      <c r="D1" s="184"/>
      <c r="E1" s="184"/>
      <c r="F1" s="184"/>
      <c r="G1" s="184"/>
      <c r="H1" s="271"/>
      <c r="I1" s="184"/>
      <c r="J1" s="184"/>
      <c r="K1" s="184"/>
      <c r="L1" s="184"/>
      <c r="M1" s="184"/>
      <c r="N1" s="184"/>
      <c r="O1" s="184"/>
      <c r="P1" s="184"/>
      <c r="Q1" s="184"/>
      <c r="R1" s="184"/>
      <c r="S1" s="184"/>
      <c r="T1" s="184"/>
      <c r="U1" s="184"/>
      <c r="V1" s="184"/>
      <c r="W1" s="184"/>
      <c r="X1" s="266"/>
      <c r="Y1" s="185" t="s">
        <v>216</v>
      </c>
    </row>
    <row r="2" spans="1:45" x14ac:dyDescent="0.25">
      <c r="A2" s="245" t="s">
        <v>173</v>
      </c>
      <c r="B2" s="186">
        <v>17</v>
      </c>
      <c r="C2" s="186">
        <v>18</v>
      </c>
      <c r="D2" s="186">
        <v>19</v>
      </c>
      <c r="E2" s="186">
        <v>20</v>
      </c>
      <c r="F2" s="186">
        <v>21</v>
      </c>
      <c r="G2" s="275">
        <v>22</v>
      </c>
      <c r="H2" s="186">
        <v>23</v>
      </c>
      <c r="I2" s="186">
        <v>24</v>
      </c>
      <c r="J2" s="186">
        <v>25</v>
      </c>
      <c r="K2" s="186">
        <v>26</v>
      </c>
      <c r="L2" s="186">
        <v>27</v>
      </c>
      <c r="M2" s="276">
        <v>28</v>
      </c>
      <c r="N2" s="276">
        <v>29</v>
      </c>
      <c r="O2" s="276">
        <v>30</v>
      </c>
      <c r="P2" s="276">
        <v>31</v>
      </c>
      <c r="Q2" s="186">
        <v>32</v>
      </c>
      <c r="R2" s="186">
        <v>33</v>
      </c>
      <c r="S2" s="186">
        <v>34</v>
      </c>
      <c r="T2" s="186">
        <v>35</v>
      </c>
      <c r="U2" s="186">
        <v>36</v>
      </c>
      <c r="V2" s="186">
        <v>37</v>
      </c>
      <c r="W2" s="186">
        <v>38</v>
      </c>
      <c r="X2" s="267"/>
      <c r="Y2" s="184" t="s">
        <v>217</v>
      </c>
    </row>
    <row r="3" spans="1:45" ht="16.5" thickBot="1" x14ac:dyDescent="0.3">
      <c r="A3" s="187">
        <v>0.05</v>
      </c>
      <c r="B3" s="182">
        <v>3.2</v>
      </c>
      <c r="C3" s="182">
        <v>3.7</v>
      </c>
      <c r="D3" s="182">
        <v>4.0999999999999996</v>
      </c>
      <c r="E3" s="182">
        <v>4.4000000000000004</v>
      </c>
      <c r="F3" s="306">
        <v>4.5999999999999996</v>
      </c>
      <c r="G3" s="272">
        <v>4.7</v>
      </c>
      <c r="H3" s="306">
        <v>4.55</v>
      </c>
      <c r="I3" s="182">
        <v>4.4000000000000004</v>
      </c>
      <c r="J3" s="182">
        <v>4.25</v>
      </c>
      <c r="K3" s="182">
        <v>4.0999999999999996</v>
      </c>
      <c r="L3" s="182">
        <v>3.95</v>
      </c>
      <c r="M3" s="277">
        <v>3.8</v>
      </c>
      <c r="N3" s="277">
        <v>3.6500000000000004</v>
      </c>
      <c r="O3" s="277">
        <v>3.5</v>
      </c>
      <c r="P3" s="277">
        <v>3.3499999999999996</v>
      </c>
      <c r="Q3" s="182">
        <v>3.1500000000000004</v>
      </c>
      <c r="R3" s="182">
        <v>2.95</v>
      </c>
      <c r="S3" s="182">
        <v>2.65</v>
      </c>
      <c r="T3" s="182">
        <v>2.2999999999999998</v>
      </c>
      <c r="U3" s="182">
        <v>1.9</v>
      </c>
      <c r="V3" s="182">
        <v>1.4500000000000002</v>
      </c>
      <c r="W3" s="182">
        <v>0.95</v>
      </c>
      <c r="X3" s="268"/>
      <c r="Y3" s="184"/>
    </row>
    <row r="4" spans="1:45" ht="16.5" thickBot="1" x14ac:dyDescent="0.3">
      <c r="A4" s="187">
        <v>0.06</v>
      </c>
      <c r="B4" s="182">
        <v>3.5700000000000003</v>
      </c>
      <c r="C4" s="182">
        <v>4.07</v>
      </c>
      <c r="D4" s="182">
        <v>4.47</v>
      </c>
      <c r="E4" s="182">
        <v>4.7699999999999996</v>
      </c>
      <c r="F4" s="306">
        <v>4.97</v>
      </c>
      <c r="G4" s="272">
        <v>5.07</v>
      </c>
      <c r="H4" s="306">
        <v>4.92</v>
      </c>
      <c r="I4" s="182">
        <v>4.7699999999999996</v>
      </c>
      <c r="J4" s="182">
        <v>4.62</v>
      </c>
      <c r="K4" s="182">
        <v>4.47</v>
      </c>
      <c r="L4" s="182">
        <v>4.32</v>
      </c>
      <c r="M4" s="277">
        <v>4.17</v>
      </c>
      <c r="N4" s="277">
        <v>4.0199999999999996</v>
      </c>
      <c r="O4" s="277">
        <v>3.87</v>
      </c>
      <c r="P4" s="277">
        <v>3.7199999999999998</v>
      </c>
      <c r="Q4" s="182">
        <v>3.5199999999999996</v>
      </c>
      <c r="R4" s="182">
        <v>3.3200000000000003</v>
      </c>
      <c r="S4" s="182">
        <v>3.0199999999999996</v>
      </c>
      <c r="T4" s="182">
        <v>2.67</v>
      </c>
      <c r="U4" s="182">
        <v>2.27</v>
      </c>
      <c r="V4" s="182">
        <v>1.8199999999999998</v>
      </c>
      <c r="W4" s="182">
        <v>1.3199999999999998</v>
      </c>
      <c r="X4" s="268"/>
      <c r="Y4" s="157" t="s">
        <v>218</v>
      </c>
      <c r="Z4" s="157">
        <v>0</v>
      </c>
      <c r="AA4" s="157">
        <v>5</v>
      </c>
      <c r="AB4" s="157">
        <v>10</v>
      </c>
      <c r="AC4" s="157">
        <v>15</v>
      </c>
      <c r="AD4" s="157">
        <v>20</v>
      </c>
      <c r="AE4" s="157">
        <v>25</v>
      </c>
      <c r="AF4" s="157">
        <v>30</v>
      </c>
      <c r="AG4" s="157">
        <v>35</v>
      </c>
      <c r="AH4" s="157">
        <v>40</v>
      </c>
      <c r="AI4" s="157">
        <v>45</v>
      </c>
      <c r="AJ4" s="157">
        <v>50</v>
      </c>
      <c r="AK4" s="157">
        <v>55</v>
      </c>
      <c r="AL4" s="157">
        <v>60</v>
      </c>
      <c r="AM4" s="157">
        <v>65</v>
      </c>
      <c r="AN4" s="157">
        <v>70</v>
      </c>
      <c r="AO4" s="157">
        <v>75</v>
      </c>
      <c r="AP4" s="157">
        <v>80</v>
      </c>
      <c r="AQ4" s="157">
        <v>85</v>
      </c>
      <c r="AR4" s="157">
        <v>90</v>
      </c>
      <c r="AS4" s="157" t="s">
        <v>219</v>
      </c>
    </row>
    <row r="5" spans="1:45" ht="16.5" thickBot="1" x14ac:dyDescent="0.3">
      <c r="A5" s="187">
        <v>7.0000000000000007E-2</v>
      </c>
      <c r="B5" s="182">
        <v>3.92</v>
      </c>
      <c r="C5" s="182">
        <v>4.42</v>
      </c>
      <c r="D5" s="182">
        <v>4.82</v>
      </c>
      <c r="E5" s="182">
        <v>5.12</v>
      </c>
      <c r="F5" s="306">
        <v>5.32</v>
      </c>
      <c r="G5" s="278">
        <v>5.42</v>
      </c>
      <c r="H5" s="306">
        <v>5.27</v>
      </c>
      <c r="I5" s="182">
        <v>5.12</v>
      </c>
      <c r="J5" s="182">
        <v>4.97</v>
      </c>
      <c r="K5" s="182">
        <v>4.82</v>
      </c>
      <c r="L5" s="182">
        <v>4.67</v>
      </c>
      <c r="M5" s="277">
        <v>4.5199999999999996</v>
      </c>
      <c r="N5" s="277">
        <v>4.37</v>
      </c>
      <c r="O5" s="277">
        <v>4.22</v>
      </c>
      <c r="P5" s="277">
        <v>4.07</v>
      </c>
      <c r="Q5" s="182">
        <v>3.87</v>
      </c>
      <c r="R5" s="182">
        <v>3.67</v>
      </c>
      <c r="S5" s="182">
        <v>3.37</v>
      </c>
      <c r="T5" s="182">
        <v>3.0199999999999996</v>
      </c>
      <c r="U5" s="182">
        <v>2.62</v>
      </c>
      <c r="V5" s="182">
        <v>2.17</v>
      </c>
      <c r="W5" s="182">
        <v>1.67</v>
      </c>
      <c r="X5" s="268"/>
      <c r="Y5" s="157">
        <v>9</v>
      </c>
      <c r="Z5" s="157">
        <v>100</v>
      </c>
      <c r="AA5" s="157">
        <v>100</v>
      </c>
      <c r="AB5" s="157">
        <v>100</v>
      </c>
      <c r="AC5" s="157">
        <v>100</v>
      </c>
      <c r="AD5" s="157">
        <v>100</v>
      </c>
      <c r="AE5" s="157">
        <v>100</v>
      </c>
      <c r="AF5" s="157">
        <v>100</v>
      </c>
      <c r="AG5" s="157">
        <v>100</v>
      </c>
      <c r="AH5" s="157">
        <v>100</v>
      </c>
      <c r="AI5" s="157">
        <v>100</v>
      </c>
      <c r="AJ5" s="157">
        <v>100</v>
      </c>
      <c r="AK5" s="157">
        <v>100</v>
      </c>
      <c r="AL5" s="157">
        <v>100</v>
      </c>
      <c r="AM5" s="157">
        <v>100</v>
      </c>
      <c r="AN5" s="157">
        <v>100</v>
      </c>
      <c r="AO5" s="157">
        <v>100</v>
      </c>
      <c r="AP5" s="157">
        <v>100</v>
      </c>
      <c r="AQ5" s="157">
        <v>100</v>
      </c>
      <c r="AR5" s="157">
        <v>99</v>
      </c>
      <c r="AS5" s="157">
        <v>99.95</v>
      </c>
    </row>
    <row r="6" spans="1:45" ht="19.5" thickBot="1" x14ac:dyDescent="0.35">
      <c r="A6" s="187">
        <v>0.08</v>
      </c>
      <c r="B6" s="325">
        <v>4.24</v>
      </c>
      <c r="C6" s="325">
        <v>4.74</v>
      </c>
      <c r="D6" s="325">
        <v>5.14</v>
      </c>
      <c r="E6" s="325">
        <v>5.44</v>
      </c>
      <c r="F6" s="325">
        <v>5.64</v>
      </c>
      <c r="G6" s="272">
        <v>5.74</v>
      </c>
      <c r="H6" s="325">
        <v>5.59</v>
      </c>
      <c r="I6" s="325">
        <v>5.44</v>
      </c>
      <c r="J6" s="325">
        <v>5.29</v>
      </c>
      <c r="K6" s="325">
        <v>5.14</v>
      </c>
      <c r="L6" s="325">
        <v>4.99</v>
      </c>
      <c r="M6" s="277">
        <v>4.84</v>
      </c>
      <c r="N6" s="277">
        <v>4.6900000000000004</v>
      </c>
      <c r="O6" s="277">
        <v>4.54</v>
      </c>
      <c r="P6" s="277">
        <v>4.3899999999999997</v>
      </c>
      <c r="Q6" s="325">
        <v>4.1900000000000004</v>
      </c>
      <c r="R6" s="325">
        <v>3.99</v>
      </c>
      <c r="S6" s="325">
        <v>3.6900000000000004</v>
      </c>
      <c r="T6" s="325">
        <v>3.34</v>
      </c>
      <c r="U6" s="325">
        <v>2.94</v>
      </c>
      <c r="V6" s="325">
        <v>2.4900000000000002</v>
      </c>
      <c r="W6" s="325">
        <v>1.9900000000000002</v>
      </c>
      <c r="X6" s="269"/>
      <c r="Y6" s="157">
        <v>8.9</v>
      </c>
      <c r="Z6" s="157">
        <v>100</v>
      </c>
      <c r="AA6" s="157">
        <v>100</v>
      </c>
      <c r="AB6" s="157">
        <v>100</v>
      </c>
      <c r="AC6" s="157">
        <v>100</v>
      </c>
      <c r="AD6" s="157">
        <v>100</v>
      </c>
      <c r="AE6" s="157">
        <v>100</v>
      </c>
      <c r="AF6" s="157">
        <v>100</v>
      </c>
      <c r="AG6" s="157">
        <v>100</v>
      </c>
      <c r="AH6" s="157">
        <v>100</v>
      </c>
      <c r="AI6" s="157">
        <v>100</v>
      </c>
      <c r="AJ6" s="157">
        <v>100</v>
      </c>
      <c r="AK6" s="157">
        <v>100</v>
      </c>
      <c r="AL6" s="157">
        <v>100</v>
      </c>
      <c r="AM6" s="157">
        <v>100</v>
      </c>
      <c r="AN6" s="157">
        <v>100</v>
      </c>
      <c r="AO6" s="157">
        <v>100</v>
      </c>
      <c r="AP6" s="157">
        <v>100</v>
      </c>
      <c r="AQ6" s="157">
        <v>100</v>
      </c>
      <c r="AR6" s="157">
        <v>98</v>
      </c>
      <c r="AS6" s="157">
        <v>99.89</v>
      </c>
    </row>
    <row r="7" spans="1:45" ht="16.5" thickBot="1" x14ac:dyDescent="0.3">
      <c r="A7" s="187">
        <v>0.09</v>
      </c>
      <c r="B7" s="325">
        <v>4.53</v>
      </c>
      <c r="C7" s="325">
        <v>5.03</v>
      </c>
      <c r="D7" s="325">
        <v>5.43</v>
      </c>
      <c r="E7" s="325">
        <v>5.73</v>
      </c>
      <c r="F7" s="325">
        <v>5.93</v>
      </c>
      <c r="G7" s="278">
        <v>6.03</v>
      </c>
      <c r="H7" s="325">
        <v>5.88</v>
      </c>
      <c r="I7" s="325">
        <v>5.73</v>
      </c>
      <c r="J7" s="325">
        <v>5.58</v>
      </c>
      <c r="K7" s="325">
        <v>5.43</v>
      </c>
      <c r="L7" s="325">
        <v>5.28</v>
      </c>
      <c r="M7" s="277">
        <v>5.13</v>
      </c>
      <c r="N7" s="277">
        <v>4.9800000000000004</v>
      </c>
      <c r="O7" s="277">
        <v>4.83</v>
      </c>
      <c r="P7" s="277">
        <v>4.68</v>
      </c>
      <c r="Q7" s="325">
        <v>4.4800000000000004</v>
      </c>
      <c r="R7" s="325">
        <v>4.28</v>
      </c>
      <c r="S7" s="325">
        <v>3.9800000000000004</v>
      </c>
      <c r="T7" s="325">
        <v>3.63</v>
      </c>
      <c r="U7" s="325">
        <v>3.2300000000000004</v>
      </c>
      <c r="V7" s="325">
        <v>2.78</v>
      </c>
      <c r="W7" s="325">
        <v>2.2799999999999998</v>
      </c>
      <c r="X7" s="268"/>
      <c r="Y7" s="157">
        <v>8.8000000000000007</v>
      </c>
      <c r="Z7" s="157">
        <v>100</v>
      </c>
      <c r="AA7" s="157">
        <v>100</v>
      </c>
      <c r="AB7" s="157">
        <v>100</v>
      </c>
      <c r="AC7" s="157">
        <v>100</v>
      </c>
      <c r="AD7" s="157">
        <v>100</v>
      </c>
      <c r="AE7" s="157">
        <v>100</v>
      </c>
      <c r="AF7" s="157">
        <v>100</v>
      </c>
      <c r="AG7" s="157">
        <v>100</v>
      </c>
      <c r="AH7" s="157">
        <v>100</v>
      </c>
      <c r="AI7" s="157">
        <v>100</v>
      </c>
      <c r="AJ7" s="157">
        <v>100</v>
      </c>
      <c r="AK7" s="157">
        <v>100</v>
      </c>
      <c r="AL7" s="157">
        <v>100</v>
      </c>
      <c r="AM7" s="157">
        <v>100</v>
      </c>
      <c r="AN7" s="157">
        <v>100</v>
      </c>
      <c r="AO7" s="157">
        <v>100</v>
      </c>
      <c r="AP7" s="157">
        <v>100</v>
      </c>
      <c r="AQ7" s="157">
        <v>100</v>
      </c>
      <c r="AR7" s="157">
        <v>97</v>
      </c>
      <c r="AS7" s="157">
        <v>99.84</v>
      </c>
    </row>
    <row r="8" spans="1:45" ht="19.5" thickBot="1" x14ac:dyDescent="0.35">
      <c r="A8" s="188">
        <v>0.1</v>
      </c>
      <c r="B8" s="189">
        <v>4.8099999999999996</v>
      </c>
      <c r="C8" s="189">
        <v>5.31</v>
      </c>
      <c r="D8" s="189">
        <v>5.71</v>
      </c>
      <c r="E8" s="189">
        <v>6.01</v>
      </c>
      <c r="F8" s="189">
        <v>6.21</v>
      </c>
      <c r="G8" s="272">
        <v>6.31</v>
      </c>
      <c r="H8" s="189">
        <v>6.16</v>
      </c>
      <c r="I8" s="189">
        <v>6.01</v>
      </c>
      <c r="J8" s="189">
        <v>5.86</v>
      </c>
      <c r="K8" s="189">
        <v>5.71</v>
      </c>
      <c r="L8" s="189">
        <v>5.56</v>
      </c>
      <c r="M8" s="190">
        <v>5.41</v>
      </c>
      <c r="N8" s="190">
        <v>5.26</v>
      </c>
      <c r="O8" s="190">
        <v>5.1100000000000003</v>
      </c>
      <c r="P8" s="190">
        <v>4.96</v>
      </c>
      <c r="Q8" s="189">
        <v>4.76</v>
      </c>
      <c r="R8" s="189">
        <v>4.5599999999999996</v>
      </c>
      <c r="S8" s="189">
        <v>4.26</v>
      </c>
      <c r="T8" s="189">
        <v>3.91</v>
      </c>
      <c r="U8" s="189">
        <v>3.51</v>
      </c>
      <c r="V8" s="189">
        <v>3.0599999999999996</v>
      </c>
      <c r="W8" s="189">
        <v>2.56</v>
      </c>
      <c r="X8" s="268"/>
      <c r="Y8" s="157">
        <v>8.6999999999999993</v>
      </c>
      <c r="Z8" s="157">
        <v>100</v>
      </c>
      <c r="AA8" s="157">
        <v>100</v>
      </c>
      <c r="AB8" s="157">
        <v>100</v>
      </c>
      <c r="AC8" s="157">
        <v>100</v>
      </c>
      <c r="AD8" s="157">
        <v>100</v>
      </c>
      <c r="AE8" s="157">
        <v>100</v>
      </c>
      <c r="AF8" s="157">
        <v>100</v>
      </c>
      <c r="AG8" s="157">
        <v>100</v>
      </c>
      <c r="AH8" s="157">
        <v>100</v>
      </c>
      <c r="AI8" s="157">
        <v>100</v>
      </c>
      <c r="AJ8" s="157">
        <v>100</v>
      </c>
      <c r="AK8" s="157">
        <v>100</v>
      </c>
      <c r="AL8" s="157">
        <v>100</v>
      </c>
      <c r="AM8" s="157">
        <v>100</v>
      </c>
      <c r="AN8" s="157">
        <v>100</v>
      </c>
      <c r="AO8" s="157">
        <v>100</v>
      </c>
      <c r="AP8" s="157">
        <v>100</v>
      </c>
      <c r="AQ8" s="157">
        <v>100</v>
      </c>
      <c r="AR8" s="157">
        <v>96</v>
      </c>
      <c r="AS8" s="157">
        <v>99.79</v>
      </c>
    </row>
    <row r="9" spans="1:45" ht="16.5" thickBot="1" x14ac:dyDescent="0.3">
      <c r="A9" s="187">
        <v>0.11</v>
      </c>
      <c r="B9" s="182">
        <v>5.0599999999999996</v>
      </c>
      <c r="C9" s="182">
        <v>5.56</v>
      </c>
      <c r="D9" s="182">
        <v>5.96</v>
      </c>
      <c r="E9" s="182">
        <v>6.26</v>
      </c>
      <c r="F9" s="306">
        <v>6.46</v>
      </c>
      <c r="G9" s="278">
        <v>6.56</v>
      </c>
      <c r="H9" s="306">
        <v>6.41</v>
      </c>
      <c r="I9" s="182">
        <v>6.26</v>
      </c>
      <c r="J9" s="182">
        <v>6.11</v>
      </c>
      <c r="K9" s="182">
        <v>5.96</v>
      </c>
      <c r="L9" s="182">
        <v>5.81</v>
      </c>
      <c r="M9" s="277">
        <v>5.66</v>
      </c>
      <c r="N9" s="277">
        <v>5.51</v>
      </c>
      <c r="O9" s="277">
        <v>5.36</v>
      </c>
      <c r="P9" s="277">
        <v>5.21</v>
      </c>
      <c r="Q9" s="182">
        <v>5.01</v>
      </c>
      <c r="R9" s="182">
        <v>4.8099999999999996</v>
      </c>
      <c r="S9" s="182">
        <v>4.51</v>
      </c>
      <c r="T9" s="182">
        <v>4.16</v>
      </c>
      <c r="U9" s="182">
        <v>3.76</v>
      </c>
      <c r="V9" s="182">
        <v>3.3099999999999996</v>
      </c>
      <c r="W9" s="182">
        <v>2.81</v>
      </c>
      <c r="X9" s="268"/>
      <c r="Y9" s="157">
        <v>8.6</v>
      </c>
      <c r="Z9" s="157">
        <v>100</v>
      </c>
      <c r="AA9" s="157">
        <v>100</v>
      </c>
      <c r="AB9" s="157">
        <v>100</v>
      </c>
      <c r="AC9" s="157">
        <v>100</v>
      </c>
      <c r="AD9" s="157">
        <v>100</v>
      </c>
      <c r="AE9" s="157">
        <v>100</v>
      </c>
      <c r="AF9" s="157">
        <v>100</v>
      </c>
      <c r="AG9" s="157">
        <v>100</v>
      </c>
      <c r="AH9" s="157">
        <v>100</v>
      </c>
      <c r="AI9" s="157">
        <v>100</v>
      </c>
      <c r="AJ9" s="157">
        <v>100</v>
      </c>
      <c r="AK9" s="157">
        <v>100</v>
      </c>
      <c r="AL9" s="157">
        <v>100</v>
      </c>
      <c r="AM9" s="157">
        <v>100</v>
      </c>
      <c r="AN9" s="157">
        <v>100</v>
      </c>
      <c r="AO9" s="157">
        <v>100</v>
      </c>
      <c r="AP9" s="157">
        <v>100</v>
      </c>
      <c r="AQ9" s="157">
        <v>98</v>
      </c>
      <c r="AR9" s="157">
        <v>95</v>
      </c>
      <c r="AS9" s="157">
        <v>99.63</v>
      </c>
    </row>
    <row r="10" spans="1:45" ht="19.5" thickBot="1" x14ac:dyDescent="0.35">
      <c r="A10" s="188">
        <v>0.12</v>
      </c>
      <c r="B10" s="189">
        <v>5.3</v>
      </c>
      <c r="C10" s="189">
        <v>5.8</v>
      </c>
      <c r="D10" s="189">
        <v>6.2</v>
      </c>
      <c r="E10" s="189">
        <v>6.5</v>
      </c>
      <c r="F10" s="189">
        <v>6.7</v>
      </c>
      <c r="G10" s="272">
        <v>6.8</v>
      </c>
      <c r="H10" s="189">
        <v>6.65</v>
      </c>
      <c r="I10" s="189">
        <v>6.5</v>
      </c>
      <c r="J10" s="189">
        <v>6.35</v>
      </c>
      <c r="K10" s="189">
        <v>6.2</v>
      </c>
      <c r="L10" s="189">
        <v>6.05</v>
      </c>
      <c r="M10" s="190">
        <v>5.9</v>
      </c>
      <c r="N10" s="190">
        <v>5.75</v>
      </c>
      <c r="O10" s="190">
        <v>5.6</v>
      </c>
      <c r="P10" s="190">
        <v>5.45</v>
      </c>
      <c r="Q10" s="190">
        <v>5.25</v>
      </c>
      <c r="R10" s="190">
        <v>5.05</v>
      </c>
      <c r="S10" s="190">
        <v>4.75</v>
      </c>
      <c r="T10" s="190">
        <v>4.4000000000000004</v>
      </c>
      <c r="U10" s="190">
        <v>4</v>
      </c>
      <c r="V10" s="190">
        <v>3.55</v>
      </c>
      <c r="W10" s="190">
        <v>3.05</v>
      </c>
      <c r="X10" s="267"/>
      <c r="Y10" s="157">
        <v>8.5</v>
      </c>
      <c r="Z10" s="157">
        <v>100</v>
      </c>
      <c r="AA10" s="157">
        <v>100</v>
      </c>
      <c r="AB10" s="157">
        <v>100</v>
      </c>
      <c r="AC10" s="157">
        <v>100</v>
      </c>
      <c r="AD10" s="157">
        <v>100</v>
      </c>
      <c r="AE10" s="157">
        <v>100</v>
      </c>
      <c r="AF10" s="157">
        <v>100</v>
      </c>
      <c r="AG10" s="157">
        <v>100</v>
      </c>
      <c r="AH10" s="157">
        <v>100</v>
      </c>
      <c r="AI10" s="157">
        <v>100</v>
      </c>
      <c r="AJ10" s="157">
        <v>100</v>
      </c>
      <c r="AK10" s="157">
        <v>100</v>
      </c>
      <c r="AL10" s="157">
        <v>100</v>
      </c>
      <c r="AM10" s="157">
        <v>100</v>
      </c>
      <c r="AN10" s="157">
        <v>100</v>
      </c>
      <c r="AO10" s="157">
        <v>100</v>
      </c>
      <c r="AP10" s="157">
        <v>100</v>
      </c>
      <c r="AQ10" s="157">
        <v>98</v>
      </c>
      <c r="AR10" s="157">
        <v>94</v>
      </c>
      <c r="AS10" s="157">
        <v>99.58</v>
      </c>
    </row>
    <row r="11" spans="1:45" ht="16.5" thickBot="1" x14ac:dyDescent="0.3">
      <c r="A11" s="187">
        <v>0.13</v>
      </c>
      <c r="B11" s="182">
        <v>5.52</v>
      </c>
      <c r="C11" s="182">
        <v>6.02</v>
      </c>
      <c r="D11" s="182">
        <v>6.42</v>
      </c>
      <c r="E11" s="182">
        <v>6.72</v>
      </c>
      <c r="F11" s="306">
        <v>6.92</v>
      </c>
      <c r="G11" s="279">
        <v>7.02</v>
      </c>
      <c r="H11" s="306">
        <v>6.87</v>
      </c>
      <c r="I11" s="182">
        <v>6.72</v>
      </c>
      <c r="J11" s="182">
        <v>6.57</v>
      </c>
      <c r="K11" s="182">
        <v>6.42</v>
      </c>
      <c r="L11" s="182">
        <v>6.27</v>
      </c>
      <c r="M11" s="277">
        <v>6.12</v>
      </c>
      <c r="N11" s="277">
        <v>5.97</v>
      </c>
      <c r="O11" s="277">
        <v>5.82</v>
      </c>
      <c r="P11" s="277">
        <v>5.67</v>
      </c>
      <c r="Q11" s="182">
        <v>5.47</v>
      </c>
      <c r="R11" s="182">
        <v>5.27</v>
      </c>
      <c r="S11" s="182">
        <v>4.97</v>
      </c>
      <c r="T11" s="182">
        <v>4.62</v>
      </c>
      <c r="U11" s="182">
        <v>4.22</v>
      </c>
      <c r="V11" s="182">
        <v>3.7699999999999996</v>
      </c>
      <c r="W11" s="182">
        <v>3.2699999999999996</v>
      </c>
      <c r="X11" s="268"/>
      <c r="Y11" s="157">
        <v>8.4</v>
      </c>
      <c r="Z11" s="157">
        <v>100</v>
      </c>
      <c r="AA11" s="157">
        <v>100</v>
      </c>
      <c r="AB11" s="157">
        <v>100</v>
      </c>
      <c r="AC11" s="157">
        <v>100</v>
      </c>
      <c r="AD11" s="157">
        <v>100</v>
      </c>
      <c r="AE11" s="157">
        <v>100</v>
      </c>
      <c r="AF11" s="157">
        <v>100</v>
      </c>
      <c r="AG11" s="157">
        <v>100</v>
      </c>
      <c r="AH11" s="157">
        <v>100</v>
      </c>
      <c r="AI11" s="157">
        <v>100</v>
      </c>
      <c r="AJ11" s="157">
        <v>100</v>
      </c>
      <c r="AK11" s="157">
        <v>100</v>
      </c>
      <c r="AL11" s="157">
        <v>100</v>
      </c>
      <c r="AM11" s="157">
        <v>100</v>
      </c>
      <c r="AN11" s="157">
        <v>100</v>
      </c>
      <c r="AO11" s="157">
        <v>100</v>
      </c>
      <c r="AP11" s="157">
        <v>99</v>
      </c>
      <c r="AQ11" s="157">
        <v>96</v>
      </c>
      <c r="AR11" s="157">
        <v>93</v>
      </c>
      <c r="AS11" s="157">
        <v>99.37</v>
      </c>
    </row>
    <row r="12" spans="1:45" ht="16.5" thickBot="1" x14ac:dyDescent="0.3">
      <c r="A12" s="187">
        <v>0.14000000000000001</v>
      </c>
      <c r="B12" s="182">
        <v>5.72</v>
      </c>
      <c r="C12" s="182">
        <v>6.22</v>
      </c>
      <c r="D12" s="182">
        <v>6.62</v>
      </c>
      <c r="E12" s="182">
        <v>6.92</v>
      </c>
      <c r="F12" s="306">
        <v>7.1199999999999992</v>
      </c>
      <c r="G12" s="272">
        <v>7.2200000000000006</v>
      </c>
      <c r="H12" s="306">
        <v>7.07</v>
      </c>
      <c r="I12" s="182">
        <v>6.92</v>
      </c>
      <c r="J12" s="182">
        <v>6.77</v>
      </c>
      <c r="K12" s="182">
        <v>6.62</v>
      </c>
      <c r="L12" s="182">
        <v>6.47</v>
      </c>
      <c r="M12" s="277">
        <v>6.32</v>
      </c>
      <c r="N12" s="277">
        <v>6.17</v>
      </c>
      <c r="O12" s="277">
        <v>6.02</v>
      </c>
      <c r="P12" s="277">
        <v>5.87</v>
      </c>
      <c r="Q12" s="182">
        <v>5.67</v>
      </c>
      <c r="R12" s="182">
        <v>5.47</v>
      </c>
      <c r="S12" s="182">
        <v>5.17</v>
      </c>
      <c r="T12" s="182">
        <v>4.82</v>
      </c>
      <c r="U12" s="182">
        <v>4.42</v>
      </c>
      <c r="V12" s="182">
        <v>3.9699999999999998</v>
      </c>
      <c r="W12" s="182">
        <v>3.4699999999999998</v>
      </c>
      <c r="X12" s="268"/>
      <c r="Y12" s="157">
        <v>8.3000000000000007</v>
      </c>
      <c r="Z12" s="157">
        <v>100</v>
      </c>
      <c r="AA12" s="157">
        <v>100</v>
      </c>
      <c r="AB12" s="157">
        <v>100</v>
      </c>
      <c r="AC12" s="157">
        <v>100</v>
      </c>
      <c r="AD12" s="157">
        <v>100</v>
      </c>
      <c r="AE12" s="157">
        <v>100</v>
      </c>
      <c r="AF12" s="157">
        <v>100</v>
      </c>
      <c r="AG12" s="157">
        <v>100</v>
      </c>
      <c r="AH12" s="157">
        <v>100</v>
      </c>
      <c r="AI12" s="157">
        <v>100</v>
      </c>
      <c r="AJ12" s="157">
        <v>100</v>
      </c>
      <c r="AK12" s="157">
        <v>100</v>
      </c>
      <c r="AL12" s="157">
        <v>100</v>
      </c>
      <c r="AM12" s="157">
        <v>100</v>
      </c>
      <c r="AN12" s="157">
        <v>100</v>
      </c>
      <c r="AO12" s="157">
        <v>100</v>
      </c>
      <c r="AP12" s="157">
        <v>99</v>
      </c>
      <c r="AQ12" s="157">
        <v>95</v>
      </c>
      <c r="AR12" s="157">
        <v>92</v>
      </c>
      <c r="AS12" s="157">
        <v>99.26</v>
      </c>
    </row>
    <row r="13" spans="1:45" ht="16.5" thickBot="1" x14ac:dyDescent="0.3">
      <c r="A13" s="187">
        <v>0.15</v>
      </c>
      <c r="B13" s="182">
        <v>5.91</v>
      </c>
      <c r="C13" s="182">
        <v>6.41</v>
      </c>
      <c r="D13" s="182">
        <v>6.81</v>
      </c>
      <c r="E13" s="182">
        <v>7.1099999999999994</v>
      </c>
      <c r="F13" s="306">
        <v>7.3100000000000005</v>
      </c>
      <c r="G13" s="272">
        <v>7.41</v>
      </c>
      <c r="H13" s="306">
        <v>7.26</v>
      </c>
      <c r="I13" s="182">
        <v>7.1099999999999994</v>
      </c>
      <c r="J13" s="182">
        <v>6.96</v>
      </c>
      <c r="K13" s="182">
        <v>6.81</v>
      </c>
      <c r="L13" s="182">
        <v>6.66</v>
      </c>
      <c r="M13" s="277">
        <v>6.51</v>
      </c>
      <c r="N13" s="277">
        <v>6.36</v>
      </c>
      <c r="O13" s="277">
        <v>6.21</v>
      </c>
      <c r="P13" s="277">
        <v>6.06</v>
      </c>
      <c r="Q13" s="182">
        <v>5.86</v>
      </c>
      <c r="R13" s="182">
        <v>5.66</v>
      </c>
      <c r="S13" s="182">
        <v>5.36</v>
      </c>
      <c r="T13" s="182">
        <v>5.01</v>
      </c>
      <c r="U13" s="182">
        <v>4.6100000000000003</v>
      </c>
      <c r="V13" s="182">
        <v>4.16</v>
      </c>
      <c r="W13" s="182">
        <v>3.66</v>
      </c>
      <c r="X13" s="268"/>
      <c r="Y13" s="157">
        <v>8.1999999999999993</v>
      </c>
      <c r="Z13" s="157">
        <v>100</v>
      </c>
      <c r="AA13" s="157">
        <v>100</v>
      </c>
      <c r="AB13" s="157">
        <v>100</v>
      </c>
      <c r="AC13" s="157">
        <v>100</v>
      </c>
      <c r="AD13" s="157">
        <v>100</v>
      </c>
      <c r="AE13" s="157">
        <v>100</v>
      </c>
      <c r="AF13" s="157">
        <v>100</v>
      </c>
      <c r="AG13" s="157">
        <v>100</v>
      </c>
      <c r="AH13" s="157">
        <v>100</v>
      </c>
      <c r="AI13" s="157">
        <v>100</v>
      </c>
      <c r="AJ13" s="157">
        <v>100</v>
      </c>
      <c r="AK13" s="157">
        <v>100</v>
      </c>
      <c r="AL13" s="157">
        <v>100</v>
      </c>
      <c r="AM13" s="157">
        <v>100</v>
      </c>
      <c r="AN13" s="157">
        <v>100</v>
      </c>
      <c r="AO13" s="157">
        <v>100</v>
      </c>
      <c r="AP13" s="157">
        <v>97</v>
      </c>
      <c r="AQ13" s="157">
        <v>94</v>
      </c>
      <c r="AR13" s="157">
        <v>91</v>
      </c>
      <c r="AS13" s="157">
        <v>99.05</v>
      </c>
    </row>
    <row r="14" spans="1:45" ht="16.5" thickBot="1" x14ac:dyDescent="0.3">
      <c r="A14" s="187">
        <v>0.16</v>
      </c>
      <c r="B14" s="182">
        <v>6.09</v>
      </c>
      <c r="C14" s="182">
        <v>6.59</v>
      </c>
      <c r="D14" s="182">
        <v>6.99</v>
      </c>
      <c r="E14" s="182">
        <v>7.2899999999999991</v>
      </c>
      <c r="F14" s="306">
        <v>7.49</v>
      </c>
      <c r="G14" s="278">
        <v>7.59</v>
      </c>
      <c r="H14" s="306">
        <v>7.4399999999999995</v>
      </c>
      <c r="I14" s="182">
        <v>7.2899999999999991</v>
      </c>
      <c r="J14" s="182">
        <v>7.1400000000000006</v>
      </c>
      <c r="K14" s="182">
        <v>6.99</v>
      </c>
      <c r="L14" s="182">
        <v>6.84</v>
      </c>
      <c r="M14" s="277">
        <v>6.69</v>
      </c>
      <c r="N14" s="277">
        <v>6.54</v>
      </c>
      <c r="O14" s="277">
        <v>6.39</v>
      </c>
      <c r="P14" s="277">
        <v>6.24</v>
      </c>
      <c r="Q14" s="182">
        <v>6.04</v>
      </c>
      <c r="R14" s="182">
        <v>5.84</v>
      </c>
      <c r="S14" s="182">
        <v>5.54</v>
      </c>
      <c r="T14" s="182">
        <v>5.19</v>
      </c>
      <c r="U14" s="182">
        <v>4.79</v>
      </c>
      <c r="V14" s="182">
        <v>4.34</v>
      </c>
      <c r="W14" s="182">
        <v>3.84</v>
      </c>
      <c r="X14" s="268"/>
      <c r="Y14" s="157">
        <v>8.1</v>
      </c>
      <c r="Z14" s="157">
        <v>100</v>
      </c>
      <c r="AA14" s="157">
        <v>100</v>
      </c>
      <c r="AB14" s="157">
        <v>100</v>
      </c>
      <c r="AC14" s="157">
        <v>100</v>
      </c>
      <c r="AD14" s="157">
        <v>100</v>
      </c>
      <c r="AE14" s="157">
        <v>100</v>
      </c>
      <c r="AF14" s="157">
        <v>100</v>
      </c>
      <c r="AG14" s="157">
        <v>100</v>
      </c>
      <c r="AH14" s="157">
        <v>100</v>
      </c>
      <c r="AI14" s="157">
        <v>100</v>
      </c>
      <c r="AJ14" s="157">
        <v>100</v>
      </c>
      <c r="AK14" s="157">
        <v>100</v>
      </c>
      <c r="AL14" s="157">
        <v>100</v>
      </c>
      <c r="AM14" s="157">
        <v>100</v>
      </c>
      <c r="AN14" s="157">
        <v>100</v>
      </c>
      <c r="AO14" s="157">
        <v>100</v>
      </c>
      <c r="AP14" s="157">
        <v>97</v>
      </c>
      <c r="AQ14" s="157">
        <v>93</v>
      </c>
      <c r="AR14" s="157">
        <v>90</v>
      </c>
      <c r="AS14" s="157">
        <v>98.95</v>
      </c>
    </row>
    <row r="15" spans="1:45" ht="19.5" thickBot="1" x14ac:dyDescent="0.35">
      <c r="A15" s="188">
        <v>0.17</v>
      </c>
      <c r="B15" s="189">
        <v>6.25</v>
      </c>
      <c r="C15" s="189">
        <v>6.75</v>
      </c>
      <c r="D15" s="189">
        <v>7.15</v>
      </c>
      <c r="E15" s="189">
        <v>7.4499999999999993</v>
      </c>
      <c r="F15" s="189">
        <v>7.65</v>
      </c>
      <c r="G15" s="272">
        <v>7.75</v>
      </c>
      <c r="H15" s="189">
        <v>7.6</v>
      </c>
      <c r="I15" s="189">
        <v>7.4499999999999993</v>
      </c>
      <c r="J15" s="189">
        <v>7.3000000000000007</v>
      </c>
      <c r="K15" s="189">
        <v>7.15</v>
      </c>
      <c r="L15" s="189">
        <v>7</v>
      </c>
      <c r="M15" s="190">
        <v>6.85</v>
      </c>
      <c r="N15" s="190">
        <v>6.7</v>
      </c>
      <c r="O15" s="190">
        <v>6.55</v>
      </c>
      <c r="P15" s="190">
        <v>6.4</v>
      </c>
      <c r="Q15" s="189">
        <v>6.2</v>
      </c>
      <c r="R15" s="189">
        <v>6</v>
      </c>
      <c r="S15" s="189">
        <v>5.7</v>
      </c>
      <c r="T15" s="189">
        <v>5.35</v>
      </c>
      <c r="U15" s="189">
        <v>4.95</v>
      </c>
      <c r="V15" s="189">
        <v>4.5</v>
      </c>
      <c r="W15" s="189">
        <v>4</v>
      </c>
      <c r="X15" s="269"/>
      <c r="Y15" s="157">
        <v>8</v>
      </c>
      <c r="Z15" s="157">
        <v>100</v>
      </c>
      <c r="AA15" s="157">
        <v>100</v>
      </c>
      <c r="AB15" s="157">
        <v>100</v>
      </c>
      <c r="AC15" s="157">
        <v>100</v>
      </c>
      <c r="AD15" s="157">
        <v>100</v>
      </c>
      <c r="AE15" s="157">
        <v>100</v>
      </c>
      <c r="AF15" s="157">
        <v>100</v>
      </c>
      <c r="AG15" s="157">
        <v>100</v>
      </c>
      <c r="AH15" s="157">
        <v>100</v>
      </c>
      <c r="AI15" s="157">
        <v>99</v>
      </c>
      <c r="AJ15" s="157">
        <v>100</v>
      </c>
      <c r="AK15" s="157">
        <v>100</v>
      </c>
      <c r="AL15" s="157">
        <v>100</v>
      </c>
      <c r="AM15" s="157">
        <v>100</v>
      </c>
      <c r="AN15" s="157">
        <v>100</v>
      </c>
      <c r="AO15" s="157">
        <v>99</v>
      </c>
      <c r="AP15" s="157">
        <v>95</v>
      </c>
      <c r="AQ15" s="157">
        <v>92</v>
      </c>
      <c r="AR15" s="157">
        <v>89</v>
      </c>
      <c r="AS15" s="157">
        <v>98.63</v>
      </c>
    </row>
    <row r="16" spans="1:45" ht="16.5" thickBot="1" x14ac:dyDescent="0.3">
      <c r="A16" s="187">
        <v>0.18</v>
      </c>
      <c r="B16" s="182">
        <v>6.4</v>
      </c>
      <c r="C16" s="182">
        <v>6.9</v>
      </c>
      <c r="D16" s="182">
        <v>7.3000000000000007</v>
      </c>
      <c r="E16" s="182">
        <v>7.6</v>
      </c>
      <c r="F16" s="306">
        <v>7.8000000000000007</v>
      </c>
      <c r="G16" s="279">
        <v>7.9</v>
      </c>
      <c r="H16" s="306">
        <v>7.75</v>
      </c>
      <c r="I16" s="182">
        <v>7.6</v>
      </c>
      <c r="J16" s="182">
        <v>7.4499999999999993</v>
      </c>
      <c r="K16" s="182">
        <v>7.3000000000000007</v>
      </c>
      <c r="L16" s="182">
        <v>7.15</v>
      </c>
      <c r="M16" s="277">
        <v>7</v>
      </c>
      <c r="N16" s="277">
        <v>6.85</v>
      </c>
      <c r="O16" s="277">
        <v>6.7</v>
      </c>
      <c r="P16" s="277">
        <v>6.55</v>
      </c>
      <c r="Q16" s="182">
        <v>6.35</v>
      </c>
      <c r="R16" s="182">
        <v>6.15</v>
      </c>
      <c r="S16" s="182">
        <v>5.85</v>
      </c>
      <c r="T16" s="182">
        <v>5.5</v>
      </c>
      <c r="U16" s="182">
        <v>5.0999999999999996</v>
      </c>
      <c r="V16" s="182">
        <v>4.6500000000000004</v>
      </c>
      <c r="W16" s="182">
        <v>4.1500000000000004</v>
      </c>
      <c r="X16" s="268"/>
      <c r="Y16" s="157">
        <v>7.9</v>
      </c>
      <c r="Z16" s="157">
        <v>100</v>
      </c>
      <c r="AA16" s="157">
        <v>100</v>
      </c>
      <c r="AB16" s="157">
        <v>100</v>
      </c>
      <c r="AC16" s="157">
        <v>100</v>
      </c>
      <c r="AD16" s="157">
        <v>100</v>
      </c>
      <c r="AE16" s="157">
        <v>100</v>
      </c>
      <c r="AF16" s="157">
        <v>100</v>
      </c>
      <c r="AG16" s="157">
        <v>100</v>
      </c>
      <c r="AH16" s="157">
        <v>100</v>
      </c>
      <c r="AI16" s="157">
        <v>99</v>
      </c>
      <c r="AJ16" s="157">
        <v>100</v>
      </c>
      <c r="AK16" s="157">
        <v>100</v>
      </c>
      <c r="AL16" s="157">
        <v>100</v>
      </c>
      <c r="AM16" s="157">
        <v>100</v>
      </c>
      <c r="AN16" s="157">
        <v>100</v>
      </c>
      <c r="AO16" s="157">
        <v>98</v>
      </c>
      <c r="AP16" s="157">
        <v>95</v>
      </c>
      <c r="AQ16" s="157">
        <v>92</v>
      </c>
      <c r="AR16" s="157">
        <v>88</v>
      </c>
      <c r="AS16" s="157">
        <v>98.53</v>
      </c>
    </row>
    <row r="17" spans="1:45" ht="16.5" thickBot="1" x14ac:dyDescent="0.3">
      <c r="A17" s="187">
        <v>0.19</v>
      </c>
      <c r="B17" s="182">
        <v>6.54</v>
      </c>
      <c r="C17" s="182">
        <v>7.0399999999999991</v>
      </c>
      <c r="D17" s="182">
        <v>7.4399999999999995</v>
      </c>
      <c r="E17" s="182">
        <v>7.74</v>
      </c>
      <c r="F17" s="306">
        <v>7.9399999999999995</v>
      </c>
      <c r="G17" s="278">
        <v>8.0399999999999991</v>
      </c>
      <c r="H17" s="306">
        <v>7.8900000000000006</v>
      </c>
      <c r="I17" s="182">
        <v>7.74</v>
      </c>
      <c r="J17" s="182">
        <v>7.59</v>
      </c>
      <c r="K17" s="182">
        <v>7.4399999999999995</v>
      </c>
      <c r="L17" s="182">
        <v>7.2899999999999991</v>
      </c>
      <c r="M17" s="277">
        <v>7.1400000000000006</v>
      </c>
      <c r="N17" s="277">
        <v>6.99</v>
      </c>
      <c r="O17" s="277">
        <v>6.84</v>
      </c>
      <c r="P17" s="277">
        <v>6.69</v>
      </c>
      <c r="Q17" s="182">
        <v>6.49</v>
      </c>
      <c r="R17" s="182">
        <v>6.29</v>
      </c>
      <c r="S17" s="182">
        <v>5.99</v>
      </c>
      <c r="T17" s="182">
        <v>5.64</v>
      </c>
      <c r="U17" s="182">
        <v>5.24</v>
      </c>
      <c r="V17" s="182">
        <v>4.79</v>
      </c>
      <c r="W17" s="182">
        <v>4.29</v>
      </c>
      <c r="X17" s="268"/>
      <c r="Y17" s="157">
        <v>7.8</v>
      </c>
      <c r="Z17" s="157">
        <v>100</v>
      </c>
      <c r="AA17" s="157">
        <v>100</v>
      </c>
      <c r="AB17" s="157">
        <v>100</v>
      </c>
      <c r="AC17" s="157">
        <v>100</v>
      </c>
      <c r="AD17" s="157">
        <v>100</v>
      </c>
      <c r="AE17" s="157">
        <v>100</v>
      </c>
      <c r="AF17" s="157">
        <v>100</v>
      </c>
      <c r="AG17" s="157">
        <v>100</v>
      </c>
      <c r="AH17" s="157">
        <v>100</v>
      </c>
      <c r="AI17" s="157">
        <v>98</v>
      </c>
      <c r="AJ17" s="157">
        <v>100</v>
      </c>
      <c r="AK17" s="157">
        <v>100</v>
      </c>
      <c r="AL17" s="157">
        <v>100</v>
      </c>
      <c r="AM17" s="157">
        <v>100</v>
      </c>
      <c r="AN17" s="157">
        <v>100</v>
      </c>
      <c r="AO17" s="157">
        <v>97</v>
      </c>
      <c r="AP17" s="157">
        <v>94</v>
      </c>
      <c r="AQ17" s="157">
        <v>91</v>
      </c>
      <c r="AR17" s="157">
        <v>87</v>
      </c>
      <c r="AS17" s="157">
        <v>98.26</v>
      </c>
    </row>
    <row r="18" spans="1:45" ht="19.5" thickBot="1" x14ac:dyDescent="0.35">
      <c r="A18" s="188">
        <v>0.2</v>
      </c>
      <c r="B18" s="289">
        <v>6.67</v>
      </c>
      <c r="C18" s="289">
        <v>7.17</v>
      </c>
      <c r="D18" s="289">
        <v>7.57</v>
      </c>
      <c r="E18" s="289">
        <v>7.8699999999999992</v>
      </c>
      <c r="F18" s="289">
        <v>8.07</v>
      </c>
      <c r="G18" s="189">
        <v>8.17</v>
      </c>
      <c r="H18" s="289">
        <v>8.02</v>
      </c>
      <c r="I18" s="289">
        <v>7.8699999999999992</v>
      </c>
      <c r="J18" s="289">
        <v>7.7200000000000006</v>
      </c>
      <c r="K18" s="289">
        <v>7.57</v>
      </c>
      <c r="L18" s="289">
        <v>7.42</v>
      </c>
      <c r="M18" s="289">
        <v>7.27</v>
      </c>
      <c r="N18" s="289">
        <v>7.1199999999999992</v>
      </c>
      <c r="O18" s="289">
        <v>6.97</v>
      </c>
      <c r="P18" s="289">
        <v>6.82</v>
      </c>
      <c r="Q18" s="289">
        <v>6.62</v>
      </c>
      <c r="R18" s="289">
        <v>6.42</v>
      </c>
      <c r="S18" s="289">
        <v>6.12</v>
      </c>
      <c r="T18" s="289">
        <v>5.77</v>
      </c>
      <c r="U18" s="289">
        <v>5.37</v>
      </c>
      <c r="V18" s="289">
        <v>4.92</v>
      </c>
      <c r="W18" s="289">
        <v>4.42</v>
      </c>
      <c r="X18" s="268"/>
      <c r="Y18" s="157">
        <v>7.7</v>
      </c>
      <c r="Z18" s="157">
        <v>100</v>
      </c>
      <c r="AA18" s="157">
        <v>100</v>
      </c>
      <c r="AB18" s="157">
        <v>100</v>
      </c>
      <c r="AC18" s="157">
        <v>100</v>
      </c>
      <c r="AD18" s="157">
        <v>100</v>
      </c>
      <c r="AE18" s="157">
        <v>100</v>
      </c>
      <c r="AF18" s="157">
        <v>100</v>
      </c>
      <c r="AG18" s="157">
        <v>100</v>
      </c>
      <c r="AH18" s="157">
        <v>100</v>
      </c>
      <c r="AI18" s="157">
        <v>97</v>
      </c>
      <c r="AJ18" s="157">
        <v>100</v>
      </c>
      <c r="AK18" s="157">
        <v>100</v>
      </c>
      <c r="AL18" s="157">
        <v>100</v>
      </c>
      <c r="AM18" s="157">
        <v>100</v>
      </c>
      <c r="AN18" s="157">
        <v>99</v>
      </c>
      <c r="AO18" s="157">
        <v>96</v>
      </c>
      <c r="AP18" s="157">
        <v>93</v>
      </c>
      <c r="AQ18" s="157">
        <v>89</v>
      </c>
      <c r="AR18" s="157">
        <v>86</v>
      </c>
      <c r="AS18" s="157">
        <v>97.89</v>
      </c>
    </row>
    <row r="19" spans="1:45" ht="16.5" customHeight="1" thickBot="1" x14ac:dyDescent="0.3">
      <c r="A19" s="187">
        <v>0.21</v>
      </c>
      <c r="B19" s="182">
        <v>6.8</v>
      </c>
      <c r="C19" s="182">
        <v>7.3000000000000007</v>
      </c>
      <c r="D19" s="182">
        <v>7.6999999999999993</v>
      </c>
      <c r="E19" s="182">
        <v>8</v>
      </c>
      <c r="F19" s="306">
        <v>8.1999999999999993</v>
      </c>
      <c r="G19" s="279">
        <v>8.3000000000000007</v>
      </c>
      <c r="H19" s="306">
        <v>8.15</v>
      </c>
      <c r="I19" s="182">
        <v>8</v>
      </c>
      <c r="J19" s="182">
        <v>7.85</v>
      </c>
      <c r="K19" s="182">
        <v>7.6999999999999993</v>
      </c>
      <c r="L19" s="182">
        <v>7.5500000000000007</v>
      </c>
      <c r="M19" s="277">
        <v>7.4</v>
      </c>
      <c r="N19" s="277">
        <v>7.25</v>
      </c>
      <c r="O19" s="277">
        <v>7.1</v>
      </c>
      <c r="P19" s="277">
        <v>6.95</v>
      </c>
      <c r="Q19" s="182">
        <v>6.75</v>
      </c>
      <c r="R19" s="182">
        <v>6.55</v>
      </c>
      <c r="S19" s="182">
        <v>6.25</v>
      </c>
      <c r="T19" s="182">
        <v>5.9</v>
      </c>
      <c r="U19" s="182">
        <v>5.5</v>
      </c>
      <c r="V19" s="182">
        <v>5.05</v>
      </c>
      <c r="W19" s="182">
        <v>4.55</v>
      </c>
      <c r="X19" s="268"/>
      <c r="Y19" s="157">
        <v>7.6</v>
      </c>
      <c r="Z19" s="157">
        <v>100</v>
      </c>
      <c r="AA19" s="157">
        <v>100</v>
      </c>
      <c r="AB19" s="157">
        <v>100</v>
      </c>
      <c r="AC19" s="157">
        <v>100</v>
      </c>
      <c r="AD19" s="157">
        <v>100</v>
      </c>
      <c r="AE19" s="157">
        <v>100</v>
      </c>
      <c r="AF19" s="157">
        <v>100</v>
      </c>
      <c r="AG19" s="157">
        <v>100</v>
      </c>
      <c r="AH19" s="157">
        <v>100</v>
      </c>
      <c r="AI19" s="157">
        <v>96</v>
      </c>
      <c r="AJ19" s="157">
        <v>100</v>
      </c>
      <c r="AK19" s="157">
        <v>100</v>
      </c>
      <c r="AL19" s="157">
        <v>100</v>
      </c>
      <c r="AM19" s="157">
        <v>100</v>
      </c>
      <c r="AN19" s="157">
        <v>98</v>
      </c>
      <c r="AO19" s="157">
        <v>95</v>
      </c>
      <c r="AP19" s="157">
        <v>91</v>
      </c>
      <c r="AQ19" s="157">
        <v>88</v>
      </c>
      <c r="AR19" s="157">
        <v>85</v>
      </c>
      <c r="AS19" s="157">
        <v>97.53</v>
      </c>
    </row>
    <row r="20" spans="1:45" ht="16.5" customHeight="1" thickBot="1" x14ac:dyDescent="0.3">
      <c r="A20" s="187">
        <v>0.22</v>
      </c>
      <c r="B20" s="182">
        <v>6.91</v>
      </c>
      <c r="C20" s="182">
        <v>7.41</v>
      </c>
      <c r="D20" s="182">
        <v>7.8100000000000005</v>
      </c>
      <c r="E20" s="182">
        <v>8.11</v>
      </c>
      <c r="F20" s="306">
        <v>8.31</v>
      </c>
      <c r="G20" s="272">
        <v>8.33</v>
      </c>
      <c r="H20" s="306">
        <v>8.26</v>
      </c>
      <c r="I20" s="182">
        <v>8.11</v>
      </c>
      <c r="J20" s="182">
        <v>7.9600000000000009</v>
      </c>
      <c r="K20" s="182">
        <v>7.8100000000000005</v>
      </c>
      <c r="L20" s="182">
        <v>7.66</v>
      </c>
      <c r="M20" s="277">
        <v>7.51</v>
      </c>
      <c r="N20" s="277">
        <v>7.3599999999999994</v>
      </c>
      <c r="O20" s="277">
        <v>7.2100000000000009</v>
      </c>
      <c r="P20" s="277">
        <v>7.0600000000000005</v>
      </c>
      <c r="Q20" s="182">
        <v>6.86</v>
      </c>
      <c r="R20" s="182">
        <v>6.66</v>
      </c>
      <c r="S20" s="182">
        <v>6.36</v>
      </c>
      <c r="T20" s="182">
        <v>6.01</v>
      </c>
      <c r="U20" s="182">
        <v>5.61</v>
      </c>
      <c r="V20" s="182">
        <v>5.16</v>
      </c>
      <c r="W20" s="182">
        <v>4.66</v>
      </c>
      <c r="X20" s="268"/>
      <c r="Y20" s="157">
        <v>7.5</v>
      </c>
      <c r="Z20" s="157">
        <v>100</v>
      </c>
      <c r="AA20" s="157">
        <v>100</v>
      </c>
      <c r="AB20" s="157">
        <v>100</v>
      </c>
      <c r="AC20" s="157">
        <v>100</v>
      </c>
      <c r="AD20" s="157">
        <v>100</v>
      </c>
      <c r="AE20" s="157">
        <v>100</v>
      </c>
      <c r="AF20" s="157">
        <v>100</v>
      </c>
      <c r="AG20" s="157">
        <v>100</v>
      </c>
      <c r="AH20" s="157">
        <v>100</v>
      </c>
      <c r="AI20" s="157">
        <v>96</v>
      </c>
      <c r="AJ20" s="157">
        <v>100</v>
      </c>
      <c r="AK20" s="157">
        <v>100</v>
      </c>
      <c r="AL20" s="157">
        <v>100</v>
      </c>
      <c r="AM20" s="157">
        <v>100</v>
      </c>
      <c r="AN20" s="157">
        <v>98</v>
      </c>
      <c r="AO20" s="157">
        <v>95</v>
      </c>
      <c r="AP20" s="157">
        <v>91</v>
      </c>
      <c r="AQ20" s="157">
        <v>88</v>
      </c>
      <c r="AR20" s="157">
        <v>84</v>
      </c>
      <c r="AS20" s="157">
        <v>97.47</v>
      </c>
    </row>
    <row r="21" spans="1:45" ht="16.5" customHeight="1" thickBot="1" x14ac:dyDescent="0.3">
      <c r="A21" s="187">
        <v>0.23</v>
      </c>
      <c r="B21" s="182">
        <v>7.01</v>
      </c>
      <c r="C21" s="182">
        <v>7.51</v>
      </c>
      <c r="D21" s="182">
        <v>7.91</v>
      </c>
      <c r="E21" s="182">
        <v>8.2100000000000009</v>
      </c>
      <c r="F21" s="306">
        <v>8.33</v>
      </c>
      <c r="G21" s="272">
        <v>8.33</v>
      </c>
      <c r="H21" s="306">
        <v>8.33</v>
      </c>
      <c r="I21" s="182">
        <v>8.2100000000000009</v>
      </c>
      <c r="J21" s="182">
        <v>8.06</v>
      </c>
      <c r="K21" s="182">
        <v>7.91</v>
      </c>
      <c r="L21" s="182">
        <v>7.76</v>
      </c>
      <c r="M21" s="277">
        <v>7.6099999999999994</v>
      </c>
      <c r="N21" s="277">
        <v>7.4600000000000009</v>
      </c>
      <c r="O21" s="277">
        <v>7.3100000000000005</v>
      </c>
      <c r="P21" s="277">
        <v>7.16</v>
      </c>
      <c r="Q21" s="182">
        <v>6.96</v>
      </c>
      <c r="R21" s="182">
        <v>6.76</v>
      </c>
      <c r="S21" s="182">
        <v>6.46</v>
      </c>
      <c r="T21" s="182">
        <v>6.11</v>
      </c>
      <c r="U21" s="182">
        <v>5.71</v>
      </c>
      <c r="V21" s="182">
        <v>5.26</v>
      </c>
      <c r="W21" s="182">
        <v>4.76</v>
      </c>
      <c r="X21" s="268"/>
      <c r="Y21" s="157">
        <v>7.4</v>
      </c>
      <c r="Z21" s="157">
        <v>100</v>
      </c>
      <c r="AA21" s="157">
        <v>100</v>
      </c>
      <c r="AB21" s="157">
        <v>100</v>
      </c>
      <c r="AC21" s="157">
        <v>100</v>
      </c>
      <c r="AD21" s="157">
        <v>100</v>
      </c>
      <c r="AE21" s="157">
        <v>100</v>
      </c>
      <c r="AF21" s="157">
        <v>100</v>
      </c>
      <c r="AG21" s="157">
        <v>100</v>
      </c>
      <c r="AH21" s="157">
        <v>99</v>
      </c>
      <c r="AI21" s="157">
        <v>96</v>
      </c>
      <c r="AJ21" s="157">
        <v>100</v>
      </c>
      <c r="AK21" s="157">
        <v>100</v>
      </c>
      <c r="AL21" s="157">
        <v>100</v>
      </c>
      <c r="AM21" s="157">
        <v>100</v>
      </c>
      <c r="AN21" s="157">
        <v>97</v>
      </c>
      <c r="AO21" s="157">
        <v>94</v>
      </c>
      <c r="AP21" s="157">
        <v>90</v>
      </c>
      <c r="AQ21" s="157">
        <v>87</v>
      </c>
      <c r="AR21" s="157">
        <v>83</v>
      </c>
      <c r="AS21" s="157">
        <v>97.16</v>
      </c>
    </row>
    <row r="22" spans="1:45" ht="16.5" customHeight="1" thickBot="1" x14ac:dyDescent="0.3">
      <c r="A22" s="187">
        <v>0.24</v>
      </c>
      <c r="B22" s="182">
        <v>7.1099999999999994</v>
      </c>
      <c r="C22" s="182">
        <v>7.6099999999999994</v>
      </c>
      <c r="D22" s="182">
        <v>8.01</v>
      </c>
      <c r="E22" s="182">
        <v>8.31</v>
      </c>
      <c r="F22" s="306">
        <v>8.33</v>
      </c>
      <c r="G22" s="272">
        <v>8.33</v>
      </c>
      <c r="H22" s="306">
        <v>8.33</v>
      </c>
      <c r="I22" s="182">
        <v>8.31</v>
      </c>
      <c r="J22" s="182">
        <v>8.16</v>
      </c>
      <c r="K22" s="182">
        <v>8.01</v>
      </c>
      <c r="L22" s="182">
        <v>7.8599999999999994</v>
      </c>
      <c r="M22" s="277">
        <v>7.7100000000000009</v>
      </c>
      <c r="N22" s="277">
        <v>7.5600000000000005</v>
      </c>
      <c r="O22" s="277">
        <v>7.41</v>
      </c>
      <c r="P22" s="277">
        <v>7.26</v>
      </c>
      <c r="Q22" s="182">
        <v>7.0600000000000005</v>
      </c>
      <c r="R22" s="182">
        <v>6.86</v>
      </c>
      <c r="S22" s="182">
        <v>6.56</v>
      </c>
      <c r="T22" s="182">
        <v>6.21</v>
      </c>
      <c r="U22" s="182">
        <v>5.81</v>
      </c>
      <c r="V22" s="182">
        <v>5.36</v>
      </c>
      <c r="W22" s="182">
        <v>4.8600000000000003</v>
      </c>
      <c r="X22" s="268"/>
      <c r="Y22" s="157">
        <v>7.3</v>
      </c>
      <c r="Z22" s="157">
        <v>100</v>
      </c>
      <c r="AA22" s="157">
        <v>100</v>
      </c>
      <c r="AB22" s="157">
        <v>100</v>
      </c>
      <c r="AC22" s="157">
        <v>100</v>
      </c>
      <c r="AD22" s="157">
        <v>100</v>
      </c>
      <c r="AE22" s="157">
        <v>100</v>
      </c>
      <c r="AF22" s="157">
        <v>100</v>
      </c>
      <c r="AG22" s="157">
        <v>100</v>
      </c>
      <c r="AH22" s="157">
        <v>98</v>
      </c>
      <c r="AI22" s="157">
        <v>95</v>
      </c>
      <c r="AJ22" s="157">
        <v>100</v>
      </c>
      <c r="AK22" s="157">
        <v>100</v>
      </c>
      <c r="AL22" s="157">
        <v>100</v>
      </c>
      <c r="AM22" s="157">
        <v>100</v>
      </c>
      <c r="AN22" s="157">
        <v>96</v>
      </c>
      <c r="AO22" s="157">
        <v>93</v>
      </c>
      <c r="AP22" s="157">
        <v>89</v>
      </c>
      <c r="AQ22" s="157">
        <v>86</v>
      </c>
      <c r="AR22" s="157">
        <v>82</v>
      </c>
      <c r="AS22" s="157">
        <v>96.79</v>
      </c>
    </row>
    <row r="23" spans="1:45" ht="16.5" customHeight="1" thickBot="1" x14ac:dyDescent="0.3">
      <c r="A23" s="187">
        <v>0.25</v>
      </c>
      <c r="B23" s="182">
        <v>7.1999999999999993</v>
      </c>
      <c r="C23" s="182">
        <v>7.6999999999999993</v>
      </c>
      <c r="D23" s="182">
        <v>8.1</v>
      </c>
      <c r="E23" s="182">
        <v>8.33</v>
      </c>
      <c r="F23" s="306">
        <v>8.33</v>
      </c>
      <c r="G23" s="272">
        <v>8.33</v>
      </c>
      <c r="H23" s="306">
        <v>8.33</v>
      </c>
      <c r="I23" s="182">
        <v>8.33</v>
      </c>
      <c r="J23" s="182">
        <v>8.25</v>
      </c>
      <c r="K23" s="182">
        <v>8.1</v>
      </c>
      <c r="L23" s="182">
        <v>7.9499999999999993</v>
      </c>
      <c r="M23" s="277">
        <v>7.8000000000000007</v>
      </c>
      <c r="N23" s="277">
        <v>7.65</v>
      </c>
      <c r="O23" s="277">
        <v>7.5</v>
      </c>
      <c r="P23" s="277">
        <v>7.35</v>
      </c>
      <c r="Q23" s="182">
        <v>7.15</v>
      </c>
      <c r="R23" s="182">
        <v>6.95</v>
      </c>
      <c r="S23" s="182">
        <v>6.65</v>
      </c>
      <c r="T23" s="182">
        <v>6.3</v>
      </c>
      <c r="U23" s="182">
        <v>5.9</v>
      </c>
      <c r="V23" s="182">
        <v>5.45</v>
      </c>
      <c r="W23" s="182">
        <v>4.95</v>
      </c>
      <c r="X23" s="268"/>
      <c r="Y23" s="157">
        <v>7.2</v>
      </c>
      <c r="Z23" s="157">
        <v>100</v>
      </c>
      <c r="AA23" s="157">
        <v>100</v>
      </c>
      <c r="AB23" s="157">
        <v>100</v>
      </c>
      <c r="AC23" s="157">
        <v>100</v>
      </c>
      <c r="AD23" s="157">
        <v>100</v>
      </c>
      <c r="AE23" s="157">
        <v>100</v>
      </c>
      <c r="AF23" s="157">
        <v>100</v>
      </c>
      <c r="AG23" s="157">
        <v>100</v>
      </c>
      <c r="AH23" s="157">
        <v>98</v>
      </c>
      <c r="AI23" s="157">
        <v>94</v>
      </c>
      <c r="AJ23" s="157">
        <v>100</v>
      </c>
      <c r="AK23" s="157">
        <v>100</v>
      </c>
      <c r="AL23" s="157">
        <v>100</v>
      </c>
      <c r="AM23" s="157">
        <v>99</v>
      </c>
      <c r="AN23" s="157">
        <v>95</v>
      </c>
      <c r="AO23" s="157">
        <v>92</v>
      </c>
      <c r="AP23" s="157">
        <v>88</v>
      </c>
      <c r="AQ23" s="157">
        <v>85</v>
      </c>
      <c r="AR23" s="157">
        <v>81</v>
      </c>
      <c r="AS23" s="157">
        <v>96.42</v>
      </c>
    </row>
    <row r="24" spans="1:45" ht="16.5" thickBot="1" x14ac:dyDescent="0.3">
      <c r="A24" s="187">
        <v>0.26</v>
      </c>
      <c r="B24" s="182">
        <v>7.2799999999999994</v>
      </c>
      <c r="C24" s="182">
        <v>7.7799999999999994</v>
      </c>
      <c r="D24" s="182">
        <v>8.18</v>
      </c>
      <c r="E24" s="182">
        <v>8.33</v>
      </c>
      <c r="F24" s="306">
        <v>8.33</v>
      </c>
      <c r="G24" s="272">
        <v>8.33</v>
      </c>
      <c r="H24" s="306">
        <v>8.33</v>
      </c>
      <c r="I24" s="182">
        <v>8.33</v>
      </c>
      <c r="J24" s="182">
        <v>8.33</v>
      </c>
      <c r="K24" s="182">
        <v>8.18</v>
      </c>
      <c r="L24" s="182">
        <v>8.0299999999999994</v>
      </c>
      <c r="M24" s="277">
        <v>7.8800000000000008</v>
      </c>
      <c r="N24" s="277">
        <v>7.73</v>
      </c>
      <c r="O24" s="277">
        <v>7.58</v>
      </c>
      <c r="P24" s="277">
        <v>7.43</v>
      </c>
      <c r="Q24" s="182">
        <v>7.23</v>
      </c>
      <c r="R24" s="182">
        <v>7.0299999999999994</v>
      </c>
      <c r="S24" s="182">
        <v>6.73</v>
      </c>
      <c r="T24" s="182">
        <v>6.38</v>
      </c>
      <c r="U24" s="182">
        <v>5.98</v>
      </c>
      <c r="V24" s="182">
        <v>5.53</v>
      </c>
      <c r="W24" s="182">
        <v>5.03</v>
      </c>
      <c r="X24" s="268"/>
      <c r="Y24" s="157">
        <v>7.1</v>
      </c>
      <c r="Z24" s="157">
        <v>100</v>
      </c>
      <c r="AA24" s="157">
        <v>100</v>
      </c>
      <c r="AB24" s="157">
        <v>100</v>
      </c>
      <c r="AC24" s="157">
        <v>100</v>
      </c>
      <c r="AD24" s="157">
        <v>100</v>
      </c>
      <c r="AE24" s="157">
        <v>100</v>
      </c>
      <c r="AF24" s="157">
        <v>100</v>
      </c>
      <c r="AG24" s="157">
        <v>100</v>
      </c>
      <c r="AH24" s="157">
        <v>97</v>
      </c>
      <c r="AI24" s="157">
        <v>94</v>
      </c>
      <c r="AJ24" s="157">
        <v>100</v>
      </c>
      <c r="AK24" s="157">
        <v>100</v>
      </c>
      <c r="AL24" s="157">
        <v>100</v>
      </c>
      <c r="AM24" s="157">
        <v>98</v>
      </c>
      <c r="AN24" s="157">
        <v>95</v>
      </c>
      <c r="AO24" s="157">
        <v>91</v>
      </c>
      <c r="AP24" s="157">
        <v>87</v>
      </c>
      <c r="AQ24" s="157">
        <v>84</v>
      </c>
      <c r="AR24" s="157">
        <v>80</v>
      </c>
      <c r="AS24" s="157">
        <v>96.11</v>
      </c>
    </row>
    <row r="25" spans="1:45" ht="16.5" customHeight="1" thickBot="1" x14ac:dyDescent="0.3">
      <c r="A25" s="187">
        <v>0.27</v>
      </c>
      <c r="B25" s="182">
        <v>7.3599999999999994</v>
      </c>
      <c r="C25" s="182">
        <v>7.8599999999999994</v>
      </c>
      <c r="D25" s="182">
        <v>8.26</v>
      </c>
      <c r="E25" s="182">
        <v>8.33</v>
      </c>
      <c r="F25" s="306">
        <v>8.33</v>
      </c>
      <c r="G25" s="272">
        <v>8.33</v>
      </c>
      <c r="H25" s="306">
        <v>8.33</v>
      </c>
      <c r="I25" s="182">
        <v>8.33</v>
      </c>
      <c r="J25" s="182">
        <v>8.33</v>
      </c>
      <c r="K25" s="182">
        <v>8.26</v>
      </c>
      <c r="L25" s="182">
        <v>8.11</v>
      </c>
      <c r="M25" s="277">
        <v>7.9600000000000009</v>
      </c>
      <c r="N25" s="277">
        <v>7.8100000000000005</v>
      </c>
      <c r="O25" s="277">
        <v>7.66</v>
      </c>
      <c r="P25" s="277">
        <v>7.51</v>
      </c>
      <c r="Q25" s="182">
        <v>7.3100000000000005</v>
      </c>
      <c r="R25" s="182">
        <v>7.1099999999999994</v>
      </c>
      <c r="S25" s="182">
        <v>6.81</v>
      </c>
      <c r="T25" s="182">
        <v>6.46</v>
      </c>
      <c r="U25" s="182">
        <v>6.06</v>
      </c>
      <c r="V25" s="182">
        <v>5.61</v>
      </c>
      <c r="W25" s="182">
        <v>5.1100000000000003</v>
      </c>
      <c r="X25" s="268"/>
      <c r="Y25" s="157">
        <v>7</v>
      </c>
      <c r="Z25" s="157">
        <v>100</v>
      </c>
      <c r="AA25" s="157">
        <v>100</v>
      </c>
      <c r="AB25" s="157">
        <v>100</v>
      </c>
      <c r="AC25" s="157">
        <v>100</v>
      </c>
      <c r="AD25" s="157">
        <v>100</v>
      </c>
      <c r="AE25" s="157">
        <v>100</v>
      </c>
      <c r="AF25" s="157">
        <v>100</v>
      </c>
      <c r="AG25" s="157">
        <v>100</v>
      </c>
      <c r="AH25" s="157">
        <v>96</v>
      </c>
      <c r="AI25" s="157">
        <v>93</v>
      </c>
      <c r="AJ25" s="157">
        <v>100</v>
      </c>
      <c r="AK25" s="157">
        <v>100</v>
      </c>
      <c r="AL25" s="157">
        <v>100</v>
      </c>
      <c r="AM25" s="157">
        <v>97</v>
      </c>
      <c r="AN25" s="157">
        <v>94</v>
      </c>
      <c r="AO25" s="157">
        <v>90</v>
      </c>
      <c r="AP25" s="157">
        <v>86</v>
      </c>
      <c r="AQ25" s="157">
        <v>82</v>
      </c>
      <c r="AR25" s="157">
        <v>79</v>
      </c>
      <c r="AS25" s="157">
        <v>95.79</v>
      </c>
    </row>
    <row r="26" spans="1:45" ht="16.5" customHeight="1" thickBot="1" x14ac:dyDescent="0.3">
      <c r="A26" s="187">
        <v>0.28000000000000003</v>
      </c>
      <c r="B26" s="182">
        <v>7.43</v>
      </c>
      <c r="C26" s="182">
        <v>7.93</v>
      </c>
      <c r="D26" s="182">
        <v>8.33</v>
      </c>
      <c r="E26" s="182">
        <v>8.33</v>
      </c>
      <c r="F26" s="306">
        <v>8.33</v>
      </c>
      <c r="G26" s="272">
        <v>8.33</v>
      </c>
      <c r="H26" s="306">
        <v>8.33</v>
      </c>
      <c r="I26" s="182">
        <v>8.33</v>
      </c>
      <c r="J26" s="182">
        <v>8.33</v>
      </c>
      <c r="K26" s="182">
        <v>8.33</v>
      </c>
      <c r="L26" s="182">
        <v>8.18</v>
      </c>
      <c r="M26" s="277">
        <v>8.0299999999999994</v>
      </c>
      <c r="N26" s="277">
        <v>7.8800000000000008</v>
      </c>
      <c r="O26" s="277">
        <v>7.73</v>
      </c>
      <c r="P26" s="277">
        <v>7.58</v>
      </c>
      <c r="Q26" s="182">
        <v>7.3800000000000008</v>
      </c>
      <c r="R26" s="182">
        <v>7.18</v>
      </c>
      <c r="S26" s="182">
        <v>6.88</v>
      </c>
      <c r="T26" s="182">
        <v>6.53</v>
      </c>
      <c r="U26" s="182">
        <v>6.13</v>
      </c>
      <c r="V26" s="182">
        <v>5.68</v>
      </c>
      <c r="W26" s="182">
        <v>5.18</v>
      </c>
      <c r="X26" s="268"/>
      <c r="Y26" s="157">
        <v>6.9</v>
      </c>
      <c r="Z26" s="157">
        <v>100</v>
      </c>
      <c r="AA26" s="157">
        <v>100</v>
      </c>
      <c r="AB26" s="157">
        <v>100</v>
      </c>
      <c r="AC26" s="157">
        <v>100</v>
      </c>
      <c r="AD26" s="157">
        <v>100</v>
      </c>
      <c r="AE26" s="157">
        <v>100</v>
      </c>
      <c r="AF26" s="157">
        <v>100</v>
      </c>
      <c r="AG26" s="157">
        <v>100</v>
      </c>
      <c r="AH26" s="157">
        <v>96</v>
      </c>
      <c r="AI26" s="157">
        <v>92</v>
      </c>
      <c r="AJ26" s="157">
        <v>100</v>
      </c>
      <c r="AK26" s="157">
        <v>100</v>
      </c>
      <c r="AL26" s="157">
        <v>100</v>
      </c>
      <c r="AM26" s="157">
        <v>96</v>
      </c>
      <c r="AN26" s="157">
        <v>93</v>
      </c>
      <c r="AO26" s="157">
        <v>89</v>
      </c>
      <c r="AP26" s="157">
        <v>85</v>
      </c>
      <c r="AQ26" s="157">
        <v>82</v>
      </c>
      <c r="AR26" s="157">
        <v>78</v>
      </c>
      <c r="AS26" s="157">
        <v>95.32</v>
      </c>
    </row>
    <row r="27" spans="1:45" ht="16.5" thickBot="1" x14ac:dyDescent="0.3">
      <c r="A27" s="187">
        <v>0.28999999999999998</v>
      </c>
      <c r="B27" s="182">
        <v>7.5</v>
      </c>
      <c r="C27" s="182">
        <v>8</v>
      </c>
      <c r="D27" s="182">
        <v>8.33</v>
      </c>
      <c r="E27" s="182">
        <v>8.33</v>
      </c>
      <c r="F27" s="306">
        <v>8.33</v>
      </c>
      <c r="G27" s="272">
        <v>8.33</v>
      </c>
      <c r="H27" s="306">
        <v>8.33</v>
      </c>
      <c r="I27" s="182">
        <v>8.33</v>
      </c>
      <c r="J27" s="182">
        <v>8.33</v>
      </c>
      <c r="K27" s="182">
        <v>8.33</v>
      </c>
      <c r="L27" s="182">
        <v>8.25</v>
      </c>
      <c r="M27" s="277">
        <v>8.1</v>
      </c>
      <c r="N27" s="277">
        <v>7.9499999999999993</v>
      </c>
      <c r="O27" s="277">
        <v>7.8000000000000007</v>
      </c>
      <c r="P27" s="277">
        <v>7.65</v>
      </c>
      <c r="Q27" s="182">
        <v>7.4499999999999993</v>
      </c>
      <c r="R27" s="182">
        <v>7.25</v>
      </c>
      <c r="S27" s="182">
        <v>6.95</v>
      </c>
      <c r="T27" s="182">
        <v>6.6</v>
      </c>
      <c r="U27" s="182">
        <v>6.2</v>
      </c>
      <c r="V27" s="182">
        <v>5.75</v>
      </c>
      <c r="W27" s="182">
        <v>5.25</v>
      </c>
      <c r="X27" s="268"/>
      <c r="Y27" s="157">
        <v>6.8</v>
      </c>
      <c r="Z27" s="157">
        <v>100</v>
      </c>
      <c r="AA27" s="157">
        <v>100</v>
      </c>
      <c r="AB27" s="157">
        <v>100</v>
      </c>
      <c r="AC27" s="157">
        <v>100</v>
      </c>
      <c r="AD27" s="157">
        <v>100</v>
      </c>
      <c r="AE27" s="157">
        <v>100</v>
      </c>
      <c r="AF27" s="157">
        <v>100</v>
      </c>
      <c r="AG27" s="157">
        <v>99</v>
      </c>
      <c r="AH27" s="157">
        <v>95</v>
      </c>
      <c r="AI27" s="157">
        <v>91</v>
      </c>
      <c r="AJ27" s="157">
        <v>100</v>
      </c>
      <c r="AK27" s="157">
        <v>100</v>
      </c>
      <c r="AL27" s="157">
        <v>99</v>
      </c>
      <c r="AM27" s="157">
        <v>95</v>
      </c>
      <c r="AN27" s="157">
        <v>91</v>
      </c>
      <c r="AO27" s="157">
        <v>88</v>
      </c>
      <c r="AP27" s="157">
        <v>84</v>
      </c>
      <c r="AQ27" s="157">
        <v>80</v>
      </c>
      <c r="AR27" s="157">
        <v>77</v>
      </c>
      <c r="AS27" s="157">
        <v>94.68</v>
      </c>
    </row>
    <row r="28" spans="1:45" ht="16.5" customHeight="1" thickBot="1" x14ac:dyDescent="0.3">
      <c r="A28" s="187">
        <v>0.3</v>
      </c>
      <c r="B28" s="182">
        <v>7.5600000000000005</v>
      </c>
      <c r="C28" s="182">
        <v>8.06</v>
      </c>
      <c r="D28" s="182">
        <v>8.33</v>
      </c>
      <c r="E28" s="182">
        <v>8.33</v>
      </c>
      <c r="F28" s="306">
        <v>8.33</v>
      </c>
      <c r="G28" s="272">
        <v>8.33</v>
      </c>
      <c r="H28" s="306">
        <v>8.33</v>
      </c>
      <c r="I28" s="182">
        <v>8.33</v>
      </c>
      <c r="J28" s="182">
        <v>8.33</v>
      </c>
      <c r="K28" s="182">
        <v>8.33</v>
      </c>
      <c r="L28" s="182">
        <v>8.31</v>
      </c>
      <c r="M28" s="277">
        <v>8.16</v>
      </c>
      <c r="N28" s="277">
        <v>8.01</v>
      </c>
      <c r="O28" s="277">
        <v>7.8599999999999994</v>
      </c>
      <c r="P28" s="277">
        <v>7.7100000000000009</v>
      </c>
      <c r="Q28" s="182">
        <v>7.51</v>
      </c>
      <c r="R28" s="182">
        <v>7.3100000000000005</v>
      </c>
      <c r="S28" s="182">
        <v>7.01</v>
      </c>
      <c r="T28" s="182">
        <v>6.66</v>
      </c>
      <c r="U28" s="182">
        <v>6.26</v>
      </c>
      <c r="V28" s="182">
        <v>5.81</v>
      </c>
      <c r="W28" s="182">
        <v>5.31</v>
      </c>
      <c r="X28" s="268"/>
      <c r="Y28" s="157">
        <v>6.7</v>
      </c>
      <c r="Z28" s="157">
        <v>100</v>
      </c>
      <c r="AA28" s="157">
        <v>100</v>
      </c>
      <c r="AB28" s="157">
        <v>100</v>
      </c>
      <c r="AC28" s="157">
        <v>100</v>
      </c>
      <c r="AD28" s="157">
        <v>100</v>
      </c>
      <c r="AE28" s="157">
        <v>100</v>
      </c>
      <c r="AF28" s="157">
        <v>100</v>
      </c>
      <c r="AG28" s="157">
        <v>99</v>
      </c>
      <c r="AH28" s="157">
        <v>95</v>
      </c>
      <c r="AI28" s="157">
        <v>91</v>
      </c>
      <c r="AJ28" s="157">
        <v>100</v>
      </c>
      <c r="AK28" s="157">
        <v>100</v>
      </c>
      <c r="AL28" s="157">
        <v>99</v>
      </c>
      <c r="AM28" s="157">
        <v>95</v>
      </c>
      <c r="AN28" s="157">
        <v>91</v>
      </c>
      <c r="AO28" s="157">
        <v>87</v>
      </c>
      <c r="AP28" s="157">
        <v>84</v>
      </c>
      <c r="AQ28" s="157">
        <v>80</v>
      </c>
      <c r="AR28" s="157">
        <v>76</v>
      </c>
      <c r="AS28" s="157">
        <v>94.58</v>
      </c>
    </row>
    <row r="29" spans="1:45" ht="16.5" customHeight="1" thickBot="1" x14ac:dyDescent="0.3">
      <c r="A29" s="187">
        <v>0.31</v>
      </c>
      <c r="B29" s="182">
        <v>7.6199999999999992</v>
      </c>
      <c r="C29" s="182">
        <v>8.1199999999999992</v>
      </c>
      <c r="D29" s="182">
        <v>8.33</v>
      </c>
      <c r="E29" s="182">
        <v>8.33</v>
      </c>
      <c r="F29" s="306">
        <v>8.33</v>
      </c>
      <c r="G29" s="272">
        <v>8.33</v>
      </c>
      <c r="H29" s="306">
        <v>8.33</v>
      </c>
      <c r="I29" s="182">
        <v>8.33</v>
      </c>
      <c r="J29" s="182">
        <v>8.33</v>
      </c>
      <c r="K29" s="182">
        <v>8.33</v>
      </c>
      <c r="L29" s="182">
        <v>8.33</v>
      </c>
      <c r="M29" s="277">
        <v>8.2200000000000006</v>
      </c>
      <c r="N29" s="277">
        <v>8.07</v>
      </c>
      <c r="O29" s="277">
        <v>7.92</v>
      </c>
      <c r="P29" s="277">
        <v>7.77</v>
      </c>
      <c r="Q29" s="182">
        <v>7.57</v>
      </c>
      <c r="R29" s="182">
        <v>7.3699999999999992</v>
      </c>
      <c r="S29" s="182">
        <v>7.07</v>
      </c>
      <c r="T29" s="182">
        <v>6.72</v>
      </c>
      <c r="U29" s="182">
        <v>6.32</v>
      </c>
      <c r="V29" s="182">
        <v>5.87</v>
      </c>
      <c r="W29" s="182">
        <v>5.37</v>
      </c>
      <c r="X29" s="268"/>
      <c r="Y29" s="157">
        <v>6.6</v>
      </c>
      <c r="Z29" s="157">
        <v>100</v>
      </c>
      <c r="AA29" s="157">
        <v>100</v>
      </c>
      <c r="AB29" s="157">
        <v>100</v>
      </c>
      <c r="AC29" s="157">
        <v>100</v>
      </c>
      <c r="AD29" s="157">
        <v>100</v>
      </c>
      <c r="AE29" s="157">
        <v>100</v>
      </c>
      <c r="AF29" s="157">
        <v>100</v>
      </c>
      <c r="AG29" s="157">
        <v>98</v>
      </c>
      <c r="AH29" s="157">
        <v>94</v>
      </c>
      <c r="AI29" s="157">
        <v>90</v>
      </c>
      <c r="AJ29" s="157">
        <v>100</v>
      </c>
      <c r="AK29" s="157">
        <v>100</v>
      </c>
      <c r="AL29" s="157">
        <v>97</v>
      </c>
      <c r="AM29" s="157">
        <v>94</v>
      </c>
      <c r="AN29" s="157">
        <v>90</v>
      </c>
      <c r="AO29" s="157">
        <v>86</v>
      </c>
      <c r="AP29" s="157">
        <v>82</v>
      </c>
      <c r="AQ29" s="157">
        <v>78</v>
      </c>
      <c r="AR29" s="157">
        <v>75</v>
      </c>
      <c r="AS29" s="157">
        <v>93.89</v>
      </c>
    </row>
    <row r="30" spans="1:45" ht="16.5" customHeight="1" thickBot="1" x14ac:dyDescent="0.3">
      <c r="A30" s="187">
        <v>0.32</v>
      </c>
      <c r="B30" s="182">
        <v>7.67</v>
      </c>
      <c r="C30" s="182">
        <v>8.17</v>
      </c>
      <c r="D30" s="182">
        <v>8.33</v>
      </c>
      <c r="E30" s="182">
        <v>8.33</v>
      </c>
      <c r="F30" s="306">
        <v>8.33</v>
      </c>
      <c r="G30" s="272">
        <v>8.33</v>
      </c>
      <c r="H30" s="306">
        <v>8.33</v>
      </c>
      <c r="I30" s="182">
        <v>8.33</v>
      </c>
      <c r="J30" s="182">
        <v>8.33</v>
      </c>
      <c r="K30" s="182">
        <v>8.33</v>
      </c>
      <c r="L30" s="182">
        <v>8.33</v>
      </c>
      <c r="M30" s="277">
        <v>8.27</v>
      </c>
      <c r="N30" s="277">
        <v>8.1199999999999992</v>
      </c>
      <c r="O30" s="277">
        <v>7.9700000000000006</v>
      </c>
      <c r="P30" s="277">
        <v>7.82</v>
      </c>
      <c r="Q30" s="182">
        <v>7.6199999999999992</v>
      </c>
      <c r="R30" s="182">
        <v>7.42</v>
      </c>
      <c r="S30" s="182">
        <v>7.1199999999999992</v>
      </c>
      <c r="T30" s="182">
        <v>6.77</v>
      </c>
      <c r="U30" s="182">
        <v>6.37</v>
      </c>
      <c r="V30" s="182">
        <v>5.92</v>
      </c>
      <c r="W30" s="182">
        <v>5.42</v>
      </c>
      <c r="X30" s="268"/>
      <c r="Y30" s="157">
        <v>6.5</v>
      </c>
      <c r="Z30" s="157">
        <v>100</v>
      </c>
      <c r="AA30" s="157">
        <v>100</v>
      </c>
      <c r="AB30" s="157">
        <v>100</v>
      </c>
      <c r="AC30" s="157">
        <v>100</v>
      </c>
      <c r="AD30" s="157">
        <v>100</v>
      </c>
      <c r="AE30" s="157">
        <v>100</v>
      </c>
      <c r="AF30" s="157">
        <v>100</v>
      </c>
      <c r="AG30" s="157">
        <v>97</v>
      </c>
      <c r="AH30" s="157">
        <v>93</v>
      </c>
      <c r="AI30" s="157">
        <v>90</v>
      </c>
      <c r="AJ30" s="157">
        <v>100</v>
      </c>
      <c r="AK30" s="157">
        <v>100</v>
      </c>
      <c r="AL30" s="157">
        <v>97</v>
      </c>
      <c r="AM30" s="157">
        <v>93</v>
      </c>
      <c r="AN30" s="157">
        <v>89</v>
      </c>
      <c r="AO30" s="157">
        <v>85</v>
      </c>
      <c r="AP30" s="157">
        <v>82</v>
      </c>
      <c r="AQ30" s="157">
        <v>78</v>
      </c>
      <c r="AR30" s="157">
        <v>74</v>
      </c>
      <c r="AS30" s="157">
        <v>93.58</v>
      </c>
    </row>
    <row r="31" spans="1:45" ht="16.5" customHeight="1" thickBot="1" x14ac:dyDescent="0.3">
      <c r="A31" s="187">
        <v>0.33</v>
      </c>
      <c r="B31" s="182">
        <v>7.7200000000000006</v>
      </c>
      <c r="C31" s="182">
        <v>8.2200000000000006</v>
      </c>
      <c r="D31" s="182">
        <v>8.33</v>
      </c>
      <c r="E31" s="182">
        <v>8.33</v>
      </c>
      <c r="F31" s="306">
        <v>8.33</v>
      </c>
      <c r="G31" s="272">
        <v>8.33</v>
      </c>
      <c r="H31" s="306">
        <v>8.33</v>
      </c>
      <c r="I31" s="182">
        <v>8.33</v>
      </c>
      <c r="J31" s="182">
        <v>8.33</v>
      </c>
      <c r="K31" s="182">
        <v>8.33</v>
      </c>
      <c r="L31" s="182">
        <v>8.33</v>
      </c>
      <c r="M31" s="277">
        <v>8.32</v>
      </c>
      <c r="N31" s="277">
        <v>8.17</v>
      </c>
      <c r="O31" s="277">
        <v>8.02</v>
      </c>
      <c r="P31" s="277">
        <v>7.8699999999999992</v>
      </c>
      <c r="Q31" s="182">
        <v>7.67</v>
      </c>
      <c r="R31" s="182">
        <v>7.4700000000000006</v>
      </c>
      <c r="S31" s="182">
        <v>7.17</v>
      </c>
      <c r="T31" s="182">
        <v>6.82</v>
      </c>
      <c r="U31" s="182">
        <v>6.42</v>
      </c>
      <c r="V31" s="182">
        <v>5.97</v>
      </c>
      <c r="W31" s="182">
        <v>5.47</v>
      </c>
      <c r="X31" s="268"/>
      <c r="Y31" s="157">
        <v>6.4</v>
      </c>
      <c r="Z31" s="157">
        <v>100</v>
      </c>
      <c r="AA31" s="157">
        <v>100</v>
      </c>
      <c r="AB31" s="157">
        <v>100</v>
      </c>
      <c r="AC31" s="157">
        <v>100</v>
      </c>
      <c r="AD31" s="157">
        <v>100</v>
      </c>
      <c r="AE31" s="157">
        <v>100</v>
      </c>
      <c r="AF31" s="157">
        <v>100</v>
      </c>
      <c r="AG31" s="157">
        <v>97</v>
      </c>
      <c r="AH31" s="157">
        <v>93</v>
      </c>
      <c r="AI31" s="157">
        <v>89</v>
      </c>
      <c r="AJ31" s="157">
        <v>100</v>
      </c>
      <c r="AK31" s="157">
        <v>100</v>
      </c>
      <c r="AL31" s="157">
        <v>96</v>
      </c>
      <c r="AM31" s="157">
        <v>93</v>
      </c>
      <c r="AN31" s="157">
        <v>89</v>
      </c>
      <c r="AO31" s="157">
        <v>85</v>
      </c>
      <c r="AP31" s="157">
        <v>81</v>
      </c>
      <c r="AQ31" s="157">
        <v>77</v>
      </c>
      <c r="AR31" s="157">
        <v>73</v>
      </c>
      <c r="AS31" s="157">
        <v>93.32</v>
      </c>
    </row>
    <row r="32" spans="1:45" ht="16.5" customHeight="1" thickBot="1" x14ac:dyDescent="0.3">
      <c r="A32" s="187">
        <v>0.34</v>
      </c>
      <c r="B32" s="182">
        <v>7.77</v>
      </c>
      <c r="C32" s="182">
        <v>8.27</v>
      </c>
      <c r="D32" s="182">
        <v>8.33</v>
      </c>
      <c r="E32" s="182">
        <v>8.33</v>
      </c>
      <c r="F32" s="306">
        <v>8.33</v>
      </c>
      <c r="G32" s="272">
        <v>8.33</v>
      </c>
      <c r="H32" s="306">
        <v>8.33</v>
      </c>
      <c r="I32" s="182">
        <v>8.33</v>
      </c>
      <c r="J32" s="182">
        <v>8.33</v>
      </c>
      <c r="K32" s="182">
        <v>8.33</v>
      </c>
      <c r="L32" s="182">
        <v>8.33</v>
      </c>
      <c r="M32" s="277">
        <v>8.33</v>
      </c>
      <c r="N32" s="277">
        <v>8.2200000000000006</v>
      </c>
      <c r="O32" s="277">
        <v>8.07</v>
      </c>
      <c r="P32" s="277">
        <v>7.92</v>
      </c>
      <c r="Q32" s="182">
        <v>7.7200000000000006</v>
      </c>
      <c r="R32" s="182">
        <v>7.52</v>
      </c>
      <c r="S32" s="182">
        <v>7.2200000000000006</v>
      </c>
      <c r="T32" s="182">
        <v>6.87</v>
      </c>
      <c r="U32" s="182">
        <v>6.47</v>
      </c>
      <c r="V32" s="182">
        <v>6.02</v>
      </c>
      <c r="W32" s="182">
        <v>5.52</v>
      </c>
      <c r="X32" s="268"/>
      <c r="Y32" s="157">
        <v>6.3</v>
      </c>
      <c r="Z32" s="157">
        <v>100</v>
      </c>
      <c r="AA32" s="157">
        <v>100</v>
      </c>
      <c r="AB32" s="157">
        <v>100</v>
      </c>
      <c r="AC32" s="157">
        <v>100</v>
      </c>
      <c r="AD32" s="157">
        <v>100</v>
      </c>
      <c r="AE32" s="157">
        <v>100</v>
      </c>
      <c r="AF32" s="157">
        <v>100</v>
      </c>
      <c r="AG32" s="157">
        <v>96</v>
      </c>
      <c r="AH32" s="157">
        <v>92</v>
      </c>
      <c r="AI32" s="157">
        <v>88</v>
      </c>
      <c r="AJ32" s="157">
        <v>100</v>
      </c>
      <c r="AK32" s="157">
        <v>99</v>
      </c>
      <c r="AL32" s="157">
        <v>95</v>
      </c>
      <c r="AM32" s="157">
        <v>91</v>
      </c>
      <c r="AN32" s="157">
        <v>88</v>
      </c>
      <c r="AO32" s="157">
        <v>84</v>
      </c>
      <c r="AP32" s="157">
        <v>80</v>
      </c>
      <c r="AQ32" s="157">
        <v>76</v>
      </c>
      <c r="AR32" s="157">
        <v>72</v>
      </c>
      <c r="AS32" s="157">
        <v>92.68</v>
      </c>
    </row>
    <row r="33" spans="1:45" ht="16.5" customHeight="1" thickBot="1" x14ac:dyDescent="0.3">
      <c r="A33" s="187">
        <v>0.35</v>
      </c>
      <c r="B33" s="182">
        <v>7.8100000000000005</v>
      </c>
      <c r="C33" s="182">
        <v>8.31</v>
      </c>
      <c r="D33" s="182">
        <v>8.33</v>
      </c>
      <c r="E33" s="182">
        <v>8.33</v>
      </c>
      <c r="F33" s="306">
        <v>8.33</v>
      </c>
      <c r="G33" s="272">
        <v>8.33</v>
      </c>
      <c r="H33" s="306">
        <v>8.33</v>
      </c>
      <c r="I33" s="182">
        <v>8.33</v>
      </c>
      <c r="J33" s="182">
        <v>8.33</v>
      </c>
      <c r="K33" s="182">
        <v>8.33</v>
      </c>
      <c r="L33" s="182">
        <v>8.33</v>
      </c>
      <c r="M33" s="277">
        <v>8.33</v>
      </c>
      <c r="N33" s="277">
        <v>8.26</v>
      </c>
      <c r="O33" s="277">
        <v>8.11</v>
      </c>
      <c r="P33" s="277">
        <v>7.9600000000000009</v>
      </c>
      <c r="Q33" s="182">
        <v>7.76</v>
      </c>
      <c r="R33" s="182">
        <v>7.5600000000000005</v>
      </c>
      <c r="S33" s="182">
        <v>7.26</v>
      </c>
      <c r="T33" s="182">
        <v>6.91</v>
      </c>
      <c r="U33" s="182">
        <v>6.51</v>
      </c>
      <c r="V33" s="182">
        <v>6.06</v>
      </c>
      <c r="W33" s="182">
        <v>5.56</v>
      </c>
      <c r="X33" s="268"/>
      <c r="Y33" s="157">
        <v>6.2</v>
      </c>
      <c r="Z33" s="157">
        <v>100</v>
      </c>
      <c r="AA33" s="157">
        <v>100</v>
      </c>
      <c r="AB33" s="157">
        <v>100</v>
      </c>
      <c r="AC33" s="157">
        <v>100</v>
      </c>
      <c r="AD33" s="157">
        <v>100</v>
      </c>
      <c r="AE33" s="157">
        <v>100</v>
      </c>
      <c r="AF33" s="157">
        <v>99</v>
      </c>
      <c r="AG33" s="157">
        <v>95</v>
      </c>
      <c r="AH33" s="157">
        <v>91</v>
      </c>
      <c r="AI33" s="157">
        <v>87</v>
      </c>
      <c r="AJ33" s="157">
        <v>100</v>
      </c>
      <c r="AK33" s="157">
        <v>98</v>
      </c>
      <c r="AL33" s="157">
        <v>94</v>
      </c>
      <c r="AM33" s="157">
        <v>90</v>
      </c>
      <c r="AN33" s="157">
        <v>86</v>
      </c>
      <c r="AO33" s="157">
        <v>82</v>
      </c>
      <c r="AP33" s="157">
        <v>78</v>
      </c>
      <c r="AQ33" s="157">
        <v>75</v>
      </c>
      <c r="AR33" s="157">
        <v>71</v>
      </c>
      <c r="AS33" s="157">
        <v>91.89</v>
      </c>
    </row>
    <row r="34" spans="1:45" ht="16.5" customHeight="1" thickBot="1" x14ac:dyDescent="0.3">
      <c r="A34" s="187">
        <v>0.36</v>
      </c>
      <c r="B34" s="182">
        <v>7.85</v>
      </c>
      <c r="C34" s="182">
        <v>8.33</v>
      </c>
      <c r="D34" s="182">
        <v>8.33</v>
      </c>
      <c r="E34" s="182">
        <v>8.33</v>
      </c>
      <c r="F34" s="306">
        <v>8.33</v>
      </c>
      <c r="G34" s="272">
        <v>8.33</v>
      </c>
      <c r="H34" s="306">
        <v>8.33</v>
      </c>
      <c r="I34" s="182">
        <v>8.33</v>
      </c>
      <c r="J34" s="182">
        <v>8.33</v>
      </c>
      <c r="K34" s="182">
        <v>8.33</v>
      </c>
      <c r="L34" s="182">
        <v>8.33</v>
      </c>
      <c r="M34" s="277">
        <v>8.33</v>
      </c>
      <c r="N34" s="277">
        <v>8.3000000000000007</v>
      </c>
      <c r="O34" s="277">
        <v>8.15</v>
      </c>
      <c r="P34" s="277">
        <v>8</v>
      </c>
      <c r="Q34" s="182">
        <v>7.8000000000000007</v>
      </c>
      <c r="R34" s="182">
        <v>7.6</v>
      </c>
      <c r="S34" s="182">
        <v>7.3000000000000007</v>
      </c>
      <c r="T34" s="182">
        <v>6.95</v>
      </c>
      <c r="U34" s="182">
        <v>6.55</v>
      </c>
      <c r="V34" s="182">
        <v>6.1</v>
      </c>
      <c r="W34" s="182">
        <v>5.6</v>
      </c>
      <c r="X34" s="268"/>
      <c r="Y34" s="157">
        <v>6.1</v>
      </c>
      <c r="Z34" s="157">
        <v>100</v>
      </c>
      <c r="AA34" s="157">
        <v>100</v>
      </c>
      <c r="AB34" s="157">
        <v>100</v>
      </c>
      <c r="AC34" s="157">
        <v>100</v>
      </c>
      <c r="AD34" s="157">
        <v>100</v>
      </c>
      <c r="AE34" s="157">
        <v>100</v>
      </c>
      <c r="AF34" s="157">
        <v>99</v>
      </c>
      <c r="AG34" s="157">
        <v>95</v>
      </c>
      <c r="AH34" s="157">
        <v>91</v>
      </c>
      <c r="AI34" s="157">
        <v>86</v>
      </c>
      <c r="AJ34" s="157">
        <v>100</v>
      </c>
      <c r="AK34" s="157">
        <v>98</v>
      </c>
      <c r="AL34" s="157">
        <v>93</v>
      </c>
      <c r="AM34" s="157">
        <v>89</v>
      </c>
      <c r="AN34" s="157">
        <v>86</v>
      </c>
      <c r="AO34" s="157">
        <v>81</v>
      </c>
      <c r="AP34" s="157">
        <v>78</v>
      </c>
      <c r="AQ34" s="157">
        <v>74</v>
      </c>
      <c r="AR34" s="157">
        <v>70</v>
      </c>
      <c r="AS34" s="157">
        <v>91.58</v>
      </c>
    </row>
    <row r="35" spans="1:45" ht="16.5" customHeight="1" thickBot="1" x14ac:dyDescent="0.3">
      <c r="A35" s="187">
        <v>0.37</v>
      </c>
      <c r="B35" s="182">
        <v>7.8800000000000008</v>
      </c>
      <c r="C35" s="182">
        <v>8.33</v>
      </c>
      <c r="D35" s="182">
        <v>8.33</v>
      </c>
      <c r="E35" s="182">
        <v>8.33</v>
      </c>
      <c r="F35" s="306">
        <v>8.33</v>
      </c>
      <c r="G35" s="272">
        <v>8.33</v>
      </c>
      <c r="H35" s="306">
        <v>8.33</v>
      </c>
      <c r="I35" s="182">
        <v>8.33</v>
      </c>
      <c r="J35" s="182">
        <v>8.33</v>
      </c>
      <c r="K35" s="182">
        <v>8.33</v>
      </c>
      <c r="L35" s="182">
        <v>8.33</v>
      </c>
      <c r="M35" s="277">
        <v>8.33</v>
      </c>
      <c r="N35" s="277">
        <v>8.33</v>
      </c>
      <c r="O35" s="277">
        <v>8.18</v>
      </c>
      <c r="P35" s="277">
        <v>8.0299999999999994</v>
      </c>
      <c r="Q35" s="182">
        <v>7.83</v>
      </c>
      <c r="R35" s="182">
        <v>7.6300000000000008</v>
      </c>
      <c r="S35" s="182">
        <v>7.33</v>
      </c>
      <c r="T35" s="182">
        <v>6.98</v>
      </c>
      <c r="U35" s="182">
        <v>6.58</v>
      </c>
      <c r="V35" s="182">
        <v>6.13</v>
      </c>
      <c r="W35" s="182">
        <v>5.63</v>
      </c>
      <c r="X35" s="268"/>
      <c r="Y35" s="157">
        <v>6</v>
      </c>
      <c r="Z35" s="157">
        <v>100</v>
      </c>
      <c r="AA35" s="157">
        <v>100</v>
      </c>
      <c r="AB35" s="157">
        <v>100</v>
      </c>
      <c r="AC35" s="157">
        <v>100</v>
      </c>
      <c r="AD35" s="157">
        <v>100</v>
      </c>
      <c r="AE35" s="157">
        <v>100</v>
      </c>
      <c r="AF35" s="157">
        <v>98</v>
      </c>
      <c r="AG35" s="157">
        <v>94</v>
      </c>
      <c r="AH35" s="157">
        <v>90</v>
      </c>
      <c r="AI35" s="157">
        <v>86</v>
      </c>
      <c r="AJ35" s="157">
        <v>100</v>
      </c>
      <c r="AK35" s="157">
        <v>97</v>
      </c>
      <c r="AL35" s="157">
        <v>93</v>
      </c>
      <c r="AM35" s="157">
        <v>89</v>
      </c>
      <c r="AN35" s="157">
        <v>85</v>
      </c>
      <c r="AO35" s="157">
        <v>81</v>
      </c>
      <c r="AP35" s="157">
        <v>77</v>
      </c>
      <c r="AQ35" s="157">
        <v>73</v>
      </c>
      <c r="AR35" s="157">
        <v>69</v>
      </c>
      <c r="AS35" s="157">
        <v>91.16</v>
      </c>
    </row>
    <row r="36" spans="1:45" ht="16.5" customHeight="1" thickBot="1" x14ac:dyDescent="0.3">
      <c r="A36" s="187">
        <v>0.38</v>
      </c>
      <c r="B36" s="182">
        <v>7.92</v>
      </c>
      <c r="C36" s="182">
        <v>8.33</v>
      </c>
      <c r="D36" s="182">
        <v>8.33</v>
      </c>
      <c r="E36" s="182">
        <v>8.33</v>
      </c>
      <c r="F36" s="306">
        <v>8.33</v>
      </c>
      <c r="G36" s="272">
        <v>8.33</v>
      </c>
      <c r="H36" s="306">
        <v>8.33</v>
      </c>
      <c r="I36" s="182">
        <v>8.33</v>
      </c>
      <c r="J36" s="182">
        <v>8.33</v>
      </c>
      <c r="K36" s="182">
        <v>8.33</v>
      </c>
      <c r="L36" s="182">
        <v>8.33</v>
      </c>
      <c r="M36" s="277">
        <v>8.33</v>
      </c>
      <c r="N36" s="277">
        <v>8.33</v>
      </c>
      <c r="O36" s="277">
        <v>8.2200000000000006</v>
      </c>
      <c r="P36" s="277">
        <v>8.07</v>
      </c>
      <c r="Q36" s="182">
        <v>7.8699999999999992</v>
      </c>
      <c r="R36" s="182">
        <v>7.67</v>
      </c>
      <c r="S36" s="182">
        <v>7.3699999999999992</v>
      </c>
      <c r="T36" s="182">
        <v>7.02</v>
      </c>
      <c r="U36" s="182">
        <v>6.62</v>
      </c>
      <c r="V36" s="182">
        <v>6.17</v>
      </c>
      <c r="W36" s="182">
        <v>5.67</v>
      </c>
      <c r="X36" s="268"/>
      <c r="Y36" s="157">
        <v>5.9</v>
      </c>
      <c r="Z36" s="157">
        <v>100</v>
      </c>
      <c r="AA36" s="157">
        <v>100</v>
      </c>
      <c r="AB36" s="157">
        <v>100</v>
      </c>
      <c r="AC36" s="157">
        <v>100</v>
      </c>
      <c r="AD36" s="157">
        <v>100</v>
      </c>
      <c r="AE36" s="157">
        <v>100</v>
      </c>
      <c r="AF36" s="157">
        <v>98</v>
      </c>
      <c r="AG36" s="157">
        <v>94</v>
      </c>
      <c r="AH36" s="157">
        <v>90</v>
      </c>
      <c r="AI36" s="157">
        <v>86</v>
      </c>
      <c r="AJ36" s="157">
        <v>100</v>
      </c>
      <c r="AK36" s="157">
        <v>96</v>
      </c>
      <c r="AL36" s="157">
        <v>92</v>
      </c>
      <c r="AM36" s="157">
        <v>88</v>
      </c>
      <c r="AN36" s="157">
        <v>84</v>
      </c>
      <c r="AO36" s="157">
        <v>80</v>
      </c>
      <c r="AP36" s="157">
        <v>76</v>
      </c>
      <c r="AQ36" s="157">
        <v>72</v>
      </c>
      <c r="AR36" s="157">
        <v>68</v>
      </c>
      <c r="AS36" s="157">
        <v>90.74</v>
      </c>
    </row>
    <row r="37" spans="1:45" ht="16.5" customHeight="1" thickBot="1" x14ac:dyDescent="0.3">
      <c r="A37" s="187">
        <v>0.39</v>
      </c>
      <c r="B37" s="182">
        <v>7.9499999999999993</v>
      </c>
      <c r="C37" s="182">
        <v>8.33</v>
      </c>
      <c r="D37" s="182">
        <v>8.33</v>
      </c>
      <c r="E37" s="182">
        <v>8.33</v>
      </c>
      <c r="F37" s="306">
        <v>8.33</v>
      </c>
      <c r="G37" s="272">
        <v>8.33</v>
      </c>
      <c r="H37" s="306">
        <v>8.33</v>
      </c>
      <c r="I37" s="182">
        <v>8.33</v>
      </c>
      <c r="J37" s="182">
        <v>8.33</v>
      </c>
      <c r="K37" s="182">
        <v>8.33</v>
      </c>
      <c r="L37" s="182">
        <v>8.33</v>
      </c>
      <c r="M37" s="277">
        <v>8.33</v>
      </c>
      <c r="N37" s="277">
        <v>8.33</v>
      </c>
      <c r="O37" s="277">
        <v>8.25</v>
      </c>
      <c r="P37" s="277">
        <v>8.1</v>
      </c>
      <c r="Q37" s="182">
        <v>7.9</v>
      </c>
      <c r="R37" s="182">
        <v>7.6999999999999993</v>
      </c>
      <c r="S37" s="182">
        <v>7.4</v>
      </c>
      <c r="T37" s="182">
        <v>7.0500000000000007</v>
      </c>
      <c r="U37" s="182">
        <v>6.65</v>
      </c>
      <c r="V37" s="182">
        <v>6.2</v>
      </c>
      <c r="W37" s="182">
        <v>5.7</v>
      </c>
      <c r="X37" s="268"/>
      <c r="Y37" s="157">
        <v>5.8</v>
      </c>
      <c r="Z37" s="157">
        <v>100</v>
      </c>
      <c r="AA37" s="157">
        <v>100</v>
      </c>
      <c r="AB37" s="157">
        <v>100</v>
      </c>
      <c r="AC37" s="157">
        <v>100</v>
      </c>
      <c r="AD37" s="157">
        <v>100</v>
      </c>
      <c r="AE37" s="157">
        <v>100</v>
      </c>
      <c r="AF37" s="157">
        <v>97</v>
      </c>
      <c r="AG37" s="157">
        <v>93</v>
      </c>
      <c r="AH37" s="157">
        <v>89</v>
      </c>
      <c r="AI37" s="157">
        <v>85</v>
      </c>
      <c r="AJ37" s="157">
        <v>100</v>
      </c>
      <c r="AK37" s="157">
        <v>96</v>
      </c>
      <c r="AL37" s="157">
        <v>91</v>
      </c>
      <c r="AM37" s="157">
        <v>88</v>
      </c>
      <c r="AN37" s="157">
        <v>84</v>
      </c>
      <c r="AO37" s="157">
        <v>79</v>
      </c>
      <c r="AP37" s="157">
        <v>76</v>
      </c>
      <c r="AQ37" s="157">
        <v>71</v>
      </c>
      <c r="AR37" s="157">
        <v>67</v>
      </c>
      <c r="AS37" s="157">
        <v>90.32</v>
      </c>
    </row>
    <row r="38" spans="1:45" ht="16.5" customHeight="1" thickBot="1" x14ac:dyDescent="0.3">
      <c r="A38" s="187">
        <v>0.4</v>
      </c>
      <c r="B38" s="182">
        <v>7.98</v>
      </c>
      <c r="C38" s="182">
        <v>8.33</v>
      </c>
      <c r="D38" s="182">
        <v>8.33</v>
      </c>
      <c r="E38" s="182">
        <v>8.33</v>
      </c>
      <c r="F38" s="306">
        <v>8.33</v>
      </c>
      <c r="G38" s="272">
        <v>8.33</v>
      </c>
      <c r="H38" s="306">
        <v>8.33</v>
      </c>
      <c r="I38" s="182">
        <v>8.33</v>
      </c>
      <c r="J38" s="182">
        <v>8.33</v>
      </c>
      <c r="K38" s="182">
        <v>8.33</v>
      </c>
      <c r="L38" s="182">
        <v>8.33</v>
      </c>
      <c r="M38" s="277">
        <v>8.33</v>
      </c>
      <c r="N38" s="277">
        <v>8.33</v>
      </c>
      <c r="O38" s="277">
        <v>8.2799999999999994</v>
      </c>
      <c r="P38" s="277">
        <v>8.1300000000000008</v>
      </c>
      <c r="Q38" s="182">
        <v>7.93</v>
      </c>
      <c r="R38" s="182">
        <v>7.73</v>
      </c>
      <c r="S38" s="182">
        <v>7.43</v>
      </c>
      <c r="T38" s="182">
        <v>7.08</v>
      </c>
      <c r="U38" s="182">
        <v>6.68</v>
      </c>
      <c r="V38" s="182">
        <v>6.23</v>
      </c>
      <c r="W38" s="182">
        <v>5.73</v>
      </c>
      <c r="X38" s="268"/>
      <c r="Y38" s="157">
        <v>5.7</v>
      </c>
      <c r="Z38" s="157">
        <v>100</v>
      </c>
      <c r="AA38" s="157">
        <v>100</v>
      </c>
      <c r="AB38" s="157">
        <v>100</v>
      </c>
      <c r="AC38" s="157">
        <v>100</v>
      </c>
      <c r="AD38" s="157">
        <v>100</v>
      </c>
      <c r="AE38" s="157">
        <v>100</v>
      </c>
      <c r="AF38" s="157">
        <v>97</v>
      </c>
      <c r="AG38" s="157">
        <v>93</v>
      </c>
      <c r="AH38" s="157">
        <v>88</v>
      </c>
      <c r="AI38" s="157">
        <v>85</v>
      </c>
      <c r="AJ38" s="157">
        <v>99</v>
      </c>
      <c r="AK38" s="157">
        <v>95</v>
      </c>
      <c r="AL38" s="157">
        <v>90</v>
      </c>
      <c r="AM38" s="157">
        <v>87</v>
      </c>
      <c r="AN38" s="157">
        <v>83</v>
      </c>
      <c r="AO38" s="157">
        <v>78</v>
      </c>
      <c r="AP38" s="157">
        <v>75</v>
      </c>
      <c r="AQ38" s="157">
        <v>70</v>
      </c>
      <c r="AR38" s="157">
        <v>66</v>
      </c>
      <c r="AS38" s="157">
        <v>89.79</v>
      </c>
    </row>
    <row r="39" spans="1:45" ht="16.5" thickBot="1" x14ac:dyDescent="0.3">
      <c r="A39" s="191">
        <v>0.41</v>
      </c>
      <c r="B39" s="182">
        <v>8.01</v>
      </c>
      <c r="C39" s="182">
        <v>8.33</v>
      </c>
      <c r="D39" s="182">
        <v>8.33</v>
      </c>
      <c r="E39" s="182">
        <v>8.33</v>
      </c>
      <c r="F39" s="306">
        <v>8.33</v>
      </c>
      <c r="G39" s="272">
        <v>8.33</v>
      </c>
      <c r="H39" s="306">
        <v>8.33</v>
      </c>
      <c r="I39" s="182">
        <v>8.33</v>
      </c>
      <c r="J39" s="182">
        <v>8.33</v>
      </c>
      <c r="K39" s="182">
        <v>8.33</v>
      </c>
      <c r="L39" s="182">
        <v>8.33</v>
      </c>
      <c r="M39" s="277">
        <v>8.33</v>
      </c>
      <c r="N39" s="277">
        <v>8.33</v>
      </c>
      <c r="O39" s="277">
        <v>8.31</v>
      </c>
      <c r="P39" s="277">
        <v>8.16</v>
      </c>
      <c r="Q39" s="182">
        <v>7.9600000000000009</v>
      </c>
      <c r="R39" s="182">
        <v>7.76</v>
      </c>
      <c r="S39" s="182">
        <v>7.4600000000000009</v>
      </c>
      <c r="T39" s="182">
        <v>7.1099999999999994</v>
      </c>
      <c r="U39" s="182">
        <v>6.71</v>
      </c>
      <c r="V39" s="182">
        <v>6.26</v>
      </c>
      <c r="W39" s="182">
        <v>5.76</v>
      </c>
      <c r="X39" s="268"/>
      <c r="Y39" s="157">
        <v>5.6</v>
      </c>
      <c r="Z39" s="157">
        <v>100</v>
      </c>
      <c r="AA39" s="157">
        <v>100</v>
      </c>
      <c r="AB39" s="157">
        <v>100</v>
      </c>
      <c r="AC39" s="157">
        <v>100</v>
      </c>
      <c r="AD39" s="157">
        <v>100</v>
      </c>
      <c r="AE39" s="157">
        <v>100</v>
      </c>
      <c r="AF39" s="157">
        <v>97</v>
      </c>
      <c r="AG39" s="157">
        <v>93</v>
      </c>
      <c r="AH39" s="157">
        <v>88</v>
      </c>
      <c r="AI39" s="157">
        <v>84</v>
      </c>
      <c r="AJ39" s="157">
        <v>99</v>
      </c>
      <c r="AK39" s="157">
        <v>95</v>
      </c>
      <c r="AL39" s="157">
        <v>90</v>
      </c>
      <c r="AM39" s="157">
        <v>86</v>
      </c>
      <c r="AN39" s="157">
        <v>82</v>
      </c>
      <c r="AO39" s="157">
        <v>78</v>
      </c>
      <c r="AP39" s="157">
        <v>74</v>
      </c>
      <c r="AQ39" s="157">
        <v>69</v>
      </c>
      <c r="AR39" s="157">
        <v>65</v>
      </c>
      <c r="AS39" s="157">
        <v>89.47</v>
      </c>
    </row>
    <row r="40" spans="1:45" ht="16.5" thickBot="1" x14ac:dyDescent="0.3">
      <c r="A40" s="191">
        <v>0.42</v>
      </c>
      <c r="B40" s="182">
        <v>8.0299999999999994</v>
      </c>
      <c r="C40" s="182">
        <v>8.33</v>
      </c>
      <c r="D40" s="182">
        <v>8.33</v>
      </c>
      <c r="E40" s="182">
        <v>8.33</v>
      </c>
      <c r="F40" s="306">
        <v>8.33</v>
      </c>
      <c r="G40" s="272">
        <v>8.33</v>
      </c>
      <c r="H40" s="306">
        <v>8.33</v>
      </c>
      <c r="I40" s="182">
        <v>8.33</v>
      </c>
      <c r="J40" s="182">
        <v>8.33</v>
      </c>
      <c r="K40" s="182">
        <v>8.33</v>
      </c>
      <c r="L40" s="182">
        <v>8.33</v>
      </c>
      <c r="M40" s="277">
        <v>8.33</v>
      </c>
      <c r="N40" s="277">
        <v>8.33</v>
      </c>
      <c r="O40" s="277">
        <v>8.33</v>
      </c>
      <c r="P40" s="277">
        <v>8.18</v>
      </c>
      <c r="Q40" s="182">
        <v>7.98</v>
      </c>
      <c r="R40" s="182">
        <v>7.7799999999999994</v>
      </c>
      <c r="S40" s="182">
        <v>7.48</v>
      </c>
      <c r="T40" s="182">
        <v>7.1300000000000008</v>
      </c>
      <c r="U40" s="182">
        <v>6.73</v>
      </c>
      <c r="V40" s="182">
        <v>6.28</v>
      </c>
      <c r="W40" s="182">
        <v>5.78</v>
      </c>
      <c r="X40" s="268"/>
      <c r="Y40" s="157">
        <v>5.5</v>
      </c>
      <c r="Z40" s="157">
        <v>100</v>
      </c>
      <c r="AA40" s="157">
        <v>100</v>
      </c>
      <c r="AB40" s="157">
        <v>100</v>
      </c>
      <c r="AC40" s="157">
        <v>100</v>
      </c>
      <c r="AD40" s="157">
        <v>100</v>
      </c>
      <c r="AE40" s="157">
        <v>100</v>
      </c>
      <c r="AF40" s="157">
        <v>96</v>
      </c>
      <c r="AG40" s="157">
        <v>92</v>
      </c>
      <c r="AH40" s="157">
        <v>87</v>
      </c>
      <c r="AI40" s="157">
        <v>83</v>
      </c>
      <c r="AJ40" s="157">
        <v>98</v>
      </c>
      <c r="AK40" s="157">
        <v>94</v>
      </c>
      <c r="AL40" s="157">
        <v>89</v>
      </c>
      <c r="AM40" s="157">
        <v>85</v>
      </c>
      <c r="AN40" s="157">
        <v>81</v>
      </c>
      <c r="AO40" s="157">
        <v>77</v>
      </c>
      <c r="AP40" s="157">
        <v>73</v>
      </c>
      <c r="AQ40" s="157">
        <v>68</v>
      </c>
      <c r="AR40" s="157">
        <v>64</v>
      </c>
      <c r="AS40" s="157">
        <v>88.79</v>
      </c>
    </row>
    <row r="41" spans="1:45" ht="16.5" thickBot="1" x14ac:dyDescent="0.3">
      <c r="A41" s="191">
        <v>0.43</v>
      </c>
      <c r="B41" s="182">
        <v>8.0500000000000007</v>
      </c>
      <c r="C41" s="182">
        <v>8.33</v>
      </c>
      <c r="D41" s="182">
        <v>8.33</v>
      </c>
      <c r="E41" s="182">
        <v>8.33</v>
      </c>
      <c r="F41" s="306">
        <v>8.33</v>
      </c>
      <c r="G41" s="272">
        <v>8.33</v>
      </c>
      <c r="H41" s="306">
        <v>8.33</v>
      </c>
      <c r="I41" s="182">
        <v>8.33</v>
      </c>
      <c r="J41" s="182">
        <v>8.33</v>
      </c>
      <c r="K41" s="182">
        <v>8.33</v>
      </c>
      <c r="L41" s="182">
        <v>8.33</v>
      </c>
      <c r="M41" s="277">
        <v>8.33</v>
      </c>
      <c r="N41" s="277">
        <v>8.33</v>
      </c>
      <c r="O41" s="277">
        <v>8.33</v>
      </c>
      <c r="P41" s="277">
        <v>8.1999999999999993</v>
      </c>
      <c r="Q41" s="182">
        <v>8</v>
      </c>
      <c r="R41" s="182">
        <v>7.8000000000000007</v>
      </c>
      <c r="S41" s="182">
        <v>7.5</v>
      </c>
      <c r="T41" s="182">
        <v>7.15</v>
      </c>
      <c r="U41" s="182">
        <v>6.75</v>
      </c>
      <c r="V41" s="182">
        <v>6.3</v>
      </c>
      <c r="W41" s="182">
        <v>5.8</v>
      </c>
      <c r="X41" s="268"/>
      <c r="Y41" s="157">
        <v>5.4</v>
      </c>
      <c r="Z41" s="157">
        <v>100</v>
      </c>
      <c r="AA41" s="157">
        <v>100</v>
      </c>
      <c r="AB41" s="157">
        <v>100</v>
      </c>
      <c r="AC41" s="157">
        <v>100</v>
      </c>
      <c r="AD41" s="157">
        <v>100</v>
      </c>
      <c r="AE41" s="157">
        <v>99</v>
      </c>
      <c r="AF41" s="157">
        <v>95</v>
      </c>
      <c r="AG41" s="157">
        <v>91</v>
      </c>
      <c r="AH41" s="157">
        <v>87</v>
      </c>
      <c r="AI41" s="157">
        <v>82</v>
      </c>
      <c r="AJ41" s="157">
        <v>97</v>
      </c>
      <c r="AK41" s="157">
        <v>93</v>
      </c>
      <c r="AL41" s="157">
        <v>88</v>
      </c>
      <c r="AM41" s="157">
        <v>84</v>
      </c>
      <c r="AN41" s="157">
        <v>80</v>
      </c>
      <c r="AO41" s="157">
        <v>76</v>
      </c>
      <c r="AP41" s="157">
        <v>72</v>
      </c>
      <c r="AQ41" s="157">
        <v>67</v>
      </c>
      <c r="AR41" s="157">
        <v>63</v>
      </c>
      <c r="AS41" s="157">
        <v>88.11</v>
      </c>
    </row>
    <row r="42" spans="1:45" ht="16.5" thickBot="1" x14ac:dyDescent="0.3">
      <c r="A42" s="191">
        <v>0.44</v>
      </c>
      <c r="B42" s="182">
        <v>8.08</v>
      </c>
      <c r="C42" s="182">
        <v>8.33</v>
      </c>
      <c r="D42" s="182">
        <v>8.33</v>
      </c>
      <c r="E42" s="182">
        <v>8.33</v>
      </c>
      <c r="F42" s="306">
        <v>8.33</v>
      </c>
      <c r="G42" s="272">
        <v>8.33</v>
      </c>
      <c r="H42" s="306">
        <v>8.33</v>
      </c>
      <c r="I42" s="182">
        <v>8.33</v>
      </c>
      <c r="J42" s="182">
        <v>8.33</v>
      </c>
      <c r="K42" s="182">
        <v>8.33</v>
      </c>
      <c r="L42" s="182">
        <v>8.33</v>
      </c>
      <c r="M42" s="277">
        <v>8.33</v>
      </c>
      <c r="N42" s="277">
        <v>8.33</v>
      </c>
      <c r="O42" s="277">
        <v>8.33</v>
      </c>
      <c r="P42" s="277">
        <v>8.23</v>
      </c>
      <c r="Q42" s="182">
        <v>8.0299999999999994</v>
      </c>
      <c r="R42" s="182">
        <v>7.83</v>
      </c>
      <c r="S42" s="182">
        <v>7.5299999999999994</v>
      </c>
      <c r="T42" s="182">
        <v>7.18</v>
      </c>
      <c r="U42" s="182">
        <v>6.78</v>
      </c>
      <c r="V42" s="182">
        <v>6.33</v>
      </c>
      <c r="W42" s="182">
        <v>5.83</v>
      </c>
      <c r="X42" s="268"/>
      <c r="Y42" s="157">
        <v>5.3</v>
      </c>
      <c r="Z42" s="157">
        <v>100</v>
      </c>
      <c r="AA42" s="157">
        <v>100</v>
      </c>
      <c r="AB42" s="157">
        <v>100</v>
      </c>
      <c r="AC42" s="157">
        <v>100</v>
      </c>
      <c r="AD42" s="157">
        <v>100</v>
      </c>
      <c r="AE42" s="157">
        <v>99</v>
      </c>
      <c r="AF42" s="157">
        <v>95</v>
      </c>
      <c r="AG42" s="157">
        <v>91</v>
      </c>
      <c r="AH42" s="157">
        <v>86</v>
      </c>
      <c r="AI42" s="157">
        <v>82</v>
      </c>
      <c r="AJ42" s="157">
        <v>97</v>
      </c>
      <c r="AK42" s="157">
        <v>92</v>
      </c>
      <c r="AL42" s="157">
        <v>88</v>
      </c>
      <c r="AM42" s="157">
        <v>84</v>
      </c>
      <c r="AN42" s="157">
        <v>80</v>
      </c>
      <c r="AO42" s="157">
        <v>75</v>
      </c>
      <c r="AP42" s="157">
        <v>71</v>
      </c>
      <c r="AQ42" s="157">
        <v>67</v>
      </c>
      <c r="AR42" s="157">
        <v>62</v>
      </c>
      <c r="AS42" s="157">
        <v>87.84</v>
      </c>
    </row>
    <row r="43" spans="1:45" ht="16.5" thickBot="1" x14ac:dyDescent="0.3">
      <c r="A43" s="191">
        <v>0.45</v>
      </c>
      <c r="B43" s="182">
        <v>8.1</v>
      </c>
      <c r="C43" s="182">
        <v>8.33</v>
      </c>
      <c r="D43" s="182">
        <v>8.33</v>
      </c>
      <c r="E43" s="182">
        <v>8.33</v>
      </c>
      <c r="F43" s="306">
        <v>8.33</v>
      </c>
      <c r="G43" s="272">
        <v>8.33</v>
      </c>
      <c r="H43" s="306">
        <v>8.33</v>
      </c>
      <c r="I43" s="182">
        <v>8.33</v>
      </c>
      <c r="J43" s="182">
        <v>8.33</v>
      </c>
      <c r="K43" s="182">
        <v>8.33</v>
      </c>
      <c r="L43" s="182">
        <v>8.33</v>
      </c>
      <c r="M43" s="277">
        <v>8.33</v>
      </c>
      <c r="N43" s="277">
        <v>8.33</v>
      </c>
      <c r="O43" s="277">
        <v>8.33</v>
      </c>
      <c r="P43" s="277">
        <v>8.25</v>
      </c>
      <c r="Q43" s="182">
        <v>8.0500000000000007</v>
      </c>
      <c r="R43" s="182">
        <v>7.85</v>
      </c>
      <c r="S43" s="182">
        <v>7.5500000000000007</v>
      </c>
      <c r="T43" s="182">
        <v>7.1999999999999993</v>
      </c>
      <c r="U43" s="182">
        <v>6.8</v>
      </c>
      <c r="V43" s="182">
        <v>6.35</v>
      </c>
      <c r="W43" s="182">
        <v>5.85</v>
      </c>
      <c r="X43" s="268"/>
      <c r="Y43" s="157">
        <v>5.2</v>
      </c>
      <c r="Z43" s="157">
        <v>100</v>
      </c>
      <c r="AA43" s="157">
        <v>100</v>
      </c>
      <c r="AB43" s="157">
        <v>100</v>
      </c>
      <c r="AC43" s="157">
        <v>100</v>
      </c>
      <c r="AD43" s="157">
        <v>100</v>
      </c>
      <c r="AE43" s="157">
        <v>99</v>
      </c>
      <c r="AF43" s="157">
        <v>94</v>
      </c>
      <c r="AG43" s="157">
        <v>90</v>
      </c>
      <c r="AH43" s="157">
        <v>86</v>
      </c>
      <c r="AI43" s="157">
        <v>81</v>
      </c>
      <c r="AJ43" s="157">
        <v>96</v>
      </c>
      <c r="AK43" s="157">
        <v>91</v>
      </c>
      <c r="AL43" s="157">
        <v>87</v>
      </c>
      <c r="AM43" s="157">
        <v>83</v>
      </c>
      <c r="AN43" s="157">
        <v>78</v>
      </c>
      <c r="AO43" s="157">
        <v>74</v>
      </c>
      <c r="AP43" s="157">
        <v>70</v>
      </c>
      <c r="AQ43" s="157">
        <v>66</v>
      </c>
      <c r="AR43" s="157">
        <v>61</v>
      </c>
      <c r="AS43" s="157">
        <v>87.16</v>
      </c>
    </row>
    <row r="44" spans="1:45" ht="16.5" thickBot="1" x14ac:dyDescent="0.3">
      <c r="A44" s="191">
        <v>0.46</v>
      </c>
      <c r="B44" s="182">
        <v>8.11</v>
      </c>
      <c r="C44" s="182">
        <v>8.33</v>
      </c>
      <c r="D44" s="182">
        <v>8.33</v>
      </c>
      <c r="E44" s="182">
        <v>8.33</v>
      </c>
      <c r="F44" s="306">
        <v>8.33</v>
      </c>
      <c r="G44" s="272">
        <v>8.33</v>
      </c>
      <c r="H44" s="306">
        <v>8.33</v>
      </c>
      <c r="I44" s="182">
        <v>8.33</v>
      </c>
      <c r="J44" s="182">
        <v>8.33</v>
      </c>
      <c r="K44" s="182">
        <v>8.33</v>
      </c>
      <c r="L44" s="182">
        <v>8.33</v>
      </c>
      <c r="M44" s="277">
        <v>8.33</v>
      </c>
      <c r="N44" s="277">
        <v>8.33</v>
      </c>
      <c r="O44" s="277">
        <v>8.33</v>
      </c>
      <c r="P44" s="277">
        <v>8.26</v>
      </c>
      <c r="Q44" s="182">
        <v>8.06</v>
      </c>
      <c r="R44" s="182">
        <v>7.8599999999999994</v>
      </c>
      <c r="S44" s="182">
        <v>7.5600000000000005</v>
      </c>
      <c r="T44" s="182">
        <v>7.2100000000000009</v>
      </c>
      <c r="U44" s="182">
        <v>6.81</v>
      </c>
      <c r="V44" s="182">
        <v>6.36</v>
      </c>
      <c r="W44" s="182">
        <v>5.86</v>
      </c>
      <c r="X44" s="268"/>
      <c r="Y44" s="157">
        <v>5.0999999999999996</v>
      </c>
      <c r="Z44" s="157">
        <v>100</v>
      </c>
      <c r="AA44" s="157">
        <v>100</v>
      </c>
      <c r="AB44" s="157">
        <v>100</v>
      </c>
      <c r="AC44" s="157">
        <v>100</v>
      </c>
      <c r="AD44" s="157">
        <v>100</v>
      </c>
      <c r="AE44" s="157">
        <v>98</v>
      </c>
      <c r="AF44" s="157">
        <v>94</v>
      </c>
      <c r="AG44" s="157">
        <v>89</v>
      </c>
      <c r="AH44" s="157">
        <v>85</v>
      </c>
      <c r="AI44" s="157">
        <v>81</v>
      </c>
      <c r="AJ44" s="157">
        <v>95</v>
      </c>
      <c r="AK44" s="157">
        <v>91</v>
      </c>
      <c r="AL44" s="157">
        <v>86</v>
      </c>
      <c r="AM44" s="157">
        <v>82</v>
      </c>
      <c r="AN44" s="157">
        <v>78</v>
      </c>
      <c r="AO44" s="157">
        <v>73</v>
      </c>
      <c r="AP44" s="157">
        <v>69</v>
      </c>
      <c r="AQ44" s="157">
        <v>64</v>
      </c>
      <c r="AR44" s="157">
        <v>60</v>
      </c>
      <c r="AS44" s="157">
        <v>86.58</v>
      </c>
    </row>
    <row r="45" spans="1:45" ht="16.5" thickBot="1" x14ac:dyDescent="0.3">
      <c r="A45" s="191">
        <v>0.47</v>
      </c>
      <c r="B45" s="182">
        <v>8.1300000000000008</v>
      </c>
      <c r="C45" s="182">
        <v>8.33</v>
      </c>
      <c r="D45" s="182">
        <v>8.33</v>
      </c>
      <c r="E45" s="182">
        <v>8.33</v>
      </c>
      <c r="F45" s="306">
        <v>8.33</v>
      </c>
      <c r="G45" s="272">
        <v>8.33</v>
      </c>
      <c r="H45" s="306">
        <v>8.33</v>
      </c>
      <c r="I45" s="182">
        <v>8.33</v>
      </c>
      <c r="J45" s="182">
        <v>8.33</v>
      </c>
      <c r="K45" s="182">
        <v>8.33</v>
      </c>
      <c r="L45" s="182">
        <v>8.33</v>
      </c>
      <c r="M45" s="277">
        <v>8.33</v>
      </c>
      <c r="N45" s="277">
        <v>8.33</v>
      </c>
      <c r="O45" s="277">
        <v>8.33</v>
      </c>
      <c r="P45" s="277">
        <v>8.2799999999999994</v>
      </c>
      <c r="Q45" s="182">
        <v>8.08</v>
      </c>
      <c r="R45" s="182">
        <v>7.8800000000000008</v>
      </c>
      <c r="S45" s="182">
        <v>7.58</v>
      </c>
      <c r="T45" s="182">
        <v>7.23</v>
      </c>
      <c r="U45" s="182">
        <v>6.83</v>
      </c>
      <c r="V45" s="182">
        <v>6.38</v>
      </c>
      <c r="W45" s="182">
        <v>5.88</v>
      </c>
      <c r="X45" s="268"/>
      <c r="Y45" s="157">
        <v>5</v>
      </c>
      <c r="Z45" s="157">
        <v>100</v>
      </c>
      <c r="AA45" s="157">
        <v>100</v>
      </c>
      <c r="AB45" s="157">
        <v>100</v>
      </c>
      <c r="AC45" s="157">
        <v>100</v>
      </c>
      <c r="AD45" s="157">
        <v>100</v>
      </c>
      <c r="AE45" s="157">
        <v>97</v>
      </c>
      <c r="AF45" s="157">
        <v>93</v>
      </c>
      <c r="AG45" s="157">
        <v>89</v>
      </c>
      <c r="AH45" s="157">
        <v>84</v>
      </c>
      <c r="AI45" s="157">
        <v>80</v>
      </c>
      <c r="AJ45" s="157">
        <v>95</v>
      </c>
      <c r="AK45" s="157">
        <v>90</v>
      </c>
      <c r="AL45" s="157">
        <v>85</v>
      </c>
      <c r="AM45" s="157">
        <v>81</v>
      </c>
      <c r="AN45" s="157">
        <v>77</v>
      </c>
      <c r="AO45" s="157">
        <v>72</v>
      </c>
      <c r="AP45" s="157">
        <v>68</v>
      </c>
      <c r="AQ45" s="157">
        <v>63</v>
      </c>
      <c r="AR45" s="157">
        <v>59</v>
      </c>
      <c r="AS45" s="157">
        <v>85.95</v>
      </c>
    </row>
    <row r="46" spans="1:45" x14ac:dyDescent="0.25">
      <c r="A46" s="191">
        <v>0.48</v>
      </c>
      <c r="B46" s="182">
        <v>8.15</v>
      </c>
      <c r="C46" s="182">
        <v>8.33</v>
      </c>
      <c r="D46" s="182">
        <v>8.33</v>
      </c>
      <c r="E46" s="182">
        <v>8.33</v>
      </c>
      <c r="F46" s="306">
        <v>8.33</v>
      </c>
      <c r="G46" s="272">
        <v>8.33</v>
      </c>
      <c r="H46" s="306">
        <v>8.33</v>
      </c>
      <c r="I46" s="182">
        <v>8.33</v>
      </c>
      <c r="J46" s="182">
        <v>8.33</v>
      </c>
      <c r="K46" s="182">
        <v>8.33</v>
      </c>
      <c r="L46" s="182">
        <v>8.33</v>
      </c>
      <c r="M46" s="277">
        <v>8.33</v>
      </c>
      <c r="N46" s="277">
        <v>8.33</v>
      </c>
      <c r="O46" s="277">
        <v>8.33</v>
      </c>
      <c r="P46" s="277">
        <v>8.3000000000000007</v>
      </c>
      <c r="Q46" s="182">
        <v>8.1</v>
      </c>
      <c r="R46" s="182">
        <v>7.9</v>
      </c>
      <c r="S46" s="182">
        <v>7.6</v>
      </c>
      <c r="T46" s="182">
        <v>7.25</v>
      </c>
      <c r="U46" s="182">
        <v>6.85</v>
      </c>
      <c r="V46" s="182">
        <v>6.4</v>
      </c>
      <c r="W46" s="182">
        <v>5.9</v>
      </c>
      <c r="X46" s="268"/>
    </row>
    <row r="47" spans="1:45" x14ac:dyDescent="0.25">
      <c r="A47" s="191">
        <v>0.49</v>
      </c>
      <c r="B47" s="182">
        <v>8.16</v>
      </c>
      <c r="C47" s="182">
        <v>8.33</v>
      </c>
      <c r="D47" s="182">
        <v>8.33</v>
      </c>
      <c r="E47" s="182">
        <v>8.33</v>
      </c>
      <c r="F47" s="306">
        <v>8.33</v>
      </c>
      <c r="G47" s="272">
        <v>8.33</v>
      </c>
      <c r="H47" s="306">
        <v>8.33</v>
      </c>
      <c r="I47" s="182">
        <v>8.33</v>
      </c>
      <c r="J47" s="182">
        <v>8.33</v>
      </c>
      <c r="K47" s="182">
        <v>8.33</v>
      </c>
      <c r="L47" s="182">
        <v>8.33</v>
      </c>
      <c r="M47" s="277">
        <v>8.33</v>
      </c>
      <c r="N47" s="277">
        <v>8.33</v>
      </c>
      <c r="O47" s="277">
        <v>8.33</v>
      </c>
      <c r="P47" s="277">
        <v>8.31</v>
      </c>
      <c r="Q47" s="182">
        <v>8.11</v>
      </c>
      <c r="R47" s="182">
        <v>7.91</v>
      </c>
      <c r="S47" s="182">
        <v>7.6099999999999994</v>
      </c>
      <c r="T47" s="182">
        <v>7.26</v>
      </c>
      <c r="U47" s="182">
        <v>6.86</v>
      </c>
      <c r="V47" s="182">
        <v>6.41</v>
      </c>
      <c r="W47" s="182">
        <v>5.91</v>
      </c>
      <c r="X47" s="268"/>
    </row>
    <row r="48" spans="1:45" x14ac:dyDescent="0.25">
      <c r="A48" s="191">
        <v>0.5</v>
      </c>
      <c r="B48" s="182">
        <v>8.18</v>
      </c>
      <c r="C48" s="182">
        <v>8.33</v>
      </c>
      <c r="D48" s="182">
        <v>8.33</v>
      </c>
      <c r="E48" s="182">
        <v>8.33</v>
      </c>
      <c r="F48" s="306">
        <v>8.33</v>
      </c>
      <c r="G48" s="272">
        <v>8.33</v>
      </c>
      <c r="H48" s="306">
        <v>8.33</v>
      </c>
      <c r="I48" s="182">
        <v>8.33</v>
      </c>
      <c r="J48" s="182">
        <v>8.33</v>
      </c>
      <c r="K48" s="182">
        <v>8.33</v>
      </c>
      <c r="L48" s="182">
        <v>8.33</v>
      </c>
      <c r="M48" s="277">
        <v>8.33</v>
      </c>
      <c r="N48" s="277">
        <v>8.33</v>
      </c>
      <c r="O48" s="277">
        <v>8.33</v>
      </c>
      <c r="P48" s="277">
        <v>8.33</v>
      </c>
      <c r="Q48" s="182">
        <v>8.1300000000000008</v>
      </c>
      <c r="R48" s="182">
        <v>7.93</v>
      </c>
      <c r="S48" s="182">
        <v>7.63</v>
      </c>
      <c r="T48" s="182">
        <v>7.2799999999999994</v>
      </c>
      <c r="U48" s="182">
        <v>6.88</v>
      </c>
      <c r="V48" s="182">
        <v>6.43</v>
      </c>
      <c r="W48" s="182">
        <v>5.93</v>
      </c>
      <c r="X48" s="268"/>
    </row>
    <row r="49" spans="1:24" x14ac:dyDescent="0.25">
      <c r="A49" s="158"/>
      <c r="B49" s="158"/>
      <c r="C49" s="158"/>
      <c r="D49" s="158"/>
      <c r="E49" s="158"/>
      <c r="F49" s="158"/>
    </row>
    <row r="50" spans="1:24" x14ac:dyDescent="0.25">
      <c r="A50" s="184" t="s">
        <v>220</v>
      </c>
      <c r="B50" s="158"/>
      <c r="C50" s="158"/>
      <c r="D50" s="158"/>
      <c r="E50" s="158"/>
      <c r="F50" s="158"/>
      <c r="G50" s="158"/>
      <c r="I50" s="158"/>
      <c r="J50" s="158"/>
      <c r="K50" s="158"/>
      <c r="L50" s="158"/>
      <c r="M50" s="158"/>
      <c r="N50" s="158"/>
      <c r="O50" s="158"/>
      <c r="P50" s="158"/>
      <c r="Q50" s="158"/>
      <c r="R50" s="158"/>
      <c r="S50" s="158"/>
      <c r="T50" s="158"/>
      <c r="U50" s="158"/>
      <c r="V50" s="158"/>
      <c r="W50" s="158"/>
      <c r="X50" s="270"/>
    </row>
    <row r="51" spans="1:24" x14ac:dyDescent="0.25">
      <c r="A51" s="184" t="s">
        <v>221</v>
      </c>
      <c r="B51" s="158"/>
      <c r="C51" s="158"/>
      <c r="D51" s="158"/>
      <c r="E51" s="158"/>
      <c r="F51" s="158"/>
      <c r="G51" s="158"/>
      <c r="I51" s="158"/>
      <c r="J51" s="158"/>
      <c r="K51" s="158"/>
      <c r="L51" s="158"/>
      <c r="M51" s="158"/>
      <c r="N51" s="158"/>
      <c r="O51" s="158"/>
      <c r="P51" s="158"/>
      <c r="Q51" s="158"/>
      <c r="R51" s="158"/>
      <c r="S51" s="158"/>
      <c r="T51" s="158"/>
      <c r="U51" s="158"/>
      <c r="V51" s="158"/>
      <c r="W51" s="158"/>
      <c r="X51" s="270"/>
    </row>
    <row r="52" spans="1:24" x14ac:dyDescent="0.25">
      <c r="A52" s="184" t="s">
        <v>222</v>
      </c>
      <c r="B52" s="158"/>
      <c r="C52" s="158"/>
      <c r="D52" s="158"/>
      <c r="E52" s="158"/>
      <c r="F52" s="158"/>
      <c r="G52" s="158"/>
      <c r="I52" s="158"/>
      <c r="J52" s="158"/>
      <c r="K52" s="158"/>
      <c r="L52" s="158"/>
      <c r="M52" s="158"/>
      <c r="N52" s="158"/>
      <c r="O52" s="158"/>
      <c r="P52" s="158"/>
      <c r="Q52" s="158"/>
      <c r="R52" s="158"/>
      <c r="S52" s="158"/>
      <c r="T52" s="158"/>
      <c r="U52" s="158"/>
      <c r="V52" s="158"/>
      <c r="W52" s="158"/>
      <c r="X52" s="270"/>
    </row>
    <row r="53" spans="1:24" x14ac:dyDescent="0.25">
      <c r="A53" s="158"/>
      <c r="B53" s="158"/>
      <c r="C53" s="158"/>
      <c r="D53" s="158"/>
      <c r="E53" s="158"/>
      <c r="F53" s="158"/>
      <c r="G53" s="158"/>
      <c r="I53" s="158"/>
      <c r="J53" s="158"/>
      <c r="K53" s="158"/>
      <c r="L53" s="158"/>
      <c r="M53" s="158"/>
      <c r="N53" s="158"/>
      <c r="O53" s="158"/>
      <c r="P53" s="158"/>
      <c r="Q53" s="158"/>
      <c r="R53" s="158"/>
      <c r="S53" s="158"/>
      <c r="T53" s="158"/>
      <c r="U53" s="158"/>
      <c r="V53" s="158"/>
      <c r="W53" s="158"/>
      <c r="X53" s="270"/>
    </row>
    <row r="54" spans="1:24" x14ac:dyDescent="0.25">
      <c r="A54" s="158"/>
      <c r="B54" s="158"/>
      <c r="C54" s="158"/>
      <c r="D54" s="158"/>
      <c r="E54" s="158"/>
      <c r="F54" s="158"/>
      <c r="G54" s="158"/>
      <c r="I54" s="158"/>
      <c r="J54" s="158"/>
      <c r="K54" s="158"/>
      <c r="L54" s="158"/>
      <c r="M54" s="158"/>
      <c r="N54" s="158"/>
      <c r="O54" s="158"/>
      <c r="P54" s="158"/>
      <c r="Q54" s="158"/>
      <c r="R54" s="158"/>
      <c r="S54" s="158"/>
      <c r="T54" s="158"/>
      <c r="U54" s="158"/>
      <c r="V54" s="158"/>
      <c r="W54" s="158"/>
      <c r="X54" s="270"/>
    </row>
    <row r="55" spans="1:24" x14ac:dyDescent="0.25">
      <c r="A55" s="158"/>
      <c r="B55" s="158"/>
      <c r="C55" s="158"/>
      <c r="D55" s="158"/>
      <c r="E55" s="158"/>
      <c r="F55" s="158"/>
      <c r="G55" s="158"/>
      <c r="I55" s="158"/>
      <c r="J55" s="158"/>
      <c r="K55" s="158"/>
      <c r="L55" s="158"/>
      <c r="M55" s="158"/>
      <c r="N55" s="158"/>
      <c r="O55" s="158"/>
      <c r="P55" s="158"/>
      <c r="Q55" s="158"/>
      <c r="R55" s="158"/>
      <c r="S55" s="158"/>
      <c r="T55" s="158"/>
      <c r="U55" s="158"/>
      <c r="V55" s="158"/>
      <c r="W55" s="158"/>
      <c r="X55" s="270"/>
    </row>
    <row r="56" spans="1:24" x14ac:dyDescent="0.25">
      <c r="A56" s="192" t="s">
        <v>223</v>
      </c>
      <c r="B56" s="158"/>
      <c r="C56" s="158"/>
      <c r="D56" s="158"/>
      <c r="E56" s="158"/>
      <c r="F56" s="158"/>
    </row>
    <row r="57" spans="1:24" x14ac:dyDescent="0.25">
      <c r="A57" s="158"/>
      <c r="B57" s="158"/>
      <c r="C57" s="158"/>
      <c r="D57" s="158"/>
      <c r="E57" s="158"/>
      <c r="F57" s="158"/>
    </row>
    <row r="58" spans="1:24" x14ac:dyDescent="0.25">
      <c r="A58" s="193" t="s">
        <v>61</v>
      </c>
      <c r="B58" s="193" t="s">
        <v>224</v>
      </c>
      <c r="C58" s="193" t="s">
        <v>225</v>
      </c>
      <c r="D58" s="193" t="s">
        <v>226</v>
      </c>
      <c r="E58" s="193" t="s">
        <v>227</v>
      </c>
      <c r="F58" s="193" t="s">
        <v>228</v>
      </c>
      <c r="H58" s="273" t="s">
        <v>229</v>
      </c>
    </row>
    <row r="59" spans="1:24" ht="23.25" x14ac:dyDescent="0.25">
      <c r="A59" s="194">
        <v>17</v>
      </c>
      <c r="B59" s="690" t="s">
        <v>230</v>
      </c>
      <c r="C59" s="195" t="s">
        <v>177</v>
      </c>
      <c r="D59" s="691" t="s">
        <v>231</v>
      </c>
      <c r="E59" s="691" t="s">
        <v>231</v>
      </c>
      <c r="F59" s="196" t="s">
        <v>232</v>
      </c>
      <c r="H59" s="274" t="s">
        <v>233</v>
      </c>
    </row>
    <row r="60" spans="1:24" ht="23.25" x14ac:dyDescent="0.25">
      <c r="A60" s="197">
        <v>18</v>
      </c>
      <c r="B60" s="690"/>
      <c r="C60" s="195" t="s">
        <v>234</v>
      </c>
      <c r="D60" s="691"/>
      <c r="E60" s="691"/>
      <c r="F60" s="196" t="s">
        <v>235</v>
      </c>
      <c r="H60" s="273" t="s">
        <v>236</v>
      </c>
    </row>
    <row r="61" spans="1:24" x14ac:dyDescent="0.25">
      <c r="A61" s="194">
        <v>19</v>
      </c>
      <c r="B61" s="690"/>
      <c r="C61" s="198"/>
      <c r="D61" s="691"/>
      <c r="E61" s="691"/>
      <c r="F61" s="199"/>
      <c r="H61" s="273" t="s">
        <v>237</v>
      </c>
      <c r="I61" s="158"/>
    </row>
    <row r="62" spans="1:24" ht="23.25" x14ac:dyDescent="0.25">
      <c r="A62" s="197">
        <v>20</v>
      </c>
      <c r="B62" s="690"/>
      <c r="C62" s="196" t="s">
        <v>231</v>
      </c>
      <c r="D62" s="692" t="s">
        <v>232</v>
      </c>
      <c r="E62" s="196" t="s">
        <v>232</v>
      </c>
      <c r="F62" s="199"/>
      <c r="H62" s="273" t="s">
        <v>238</v>
      </c>
    </row>
    <row r="63" spans="1:24" ht="23.25" x14ac:dyDescent="0.25">
      <c r="A63" s="194">
        <v>21</v>
      </c>
      <c r="B63" s="693" t="s">
        <v>177</v>
      </c>
      <c r="C63" s="196" t="s">
        <v>239</v>
      </c>
      <c r="D63" s="692"/>
      <c r="E63" s="196" t="s">
        <v>235</v>
      </c>
      <c r="F63" s="199"/>
      <c r="H63" s="273" t="s">
        <v>240</v>
      </c>
    </row>
    <row r="64" spans="1:24" x14ac:dyDescent="0.25">
      <c r="A64" s="197">
        <v>22</v>
      </c>
      <c r="B64" s="693"/>
      <c r="C64" s="199"/>
      <c r="D64" s="692"/>
      <c r="E64" s="199"/>
      <c r="F64" s="199"/>
      <c r="H64" s="273" t="s">
        <v>241</v>
      </c>
    </row>
    <row r="65" spans="1:8" x14ac:dyDescent="0.25">
      <c r="A65" s="194">
        <v>23</v>
      </c>
      <c r="B65" s="693"/>
      <c r="C65" s="199"/>
      <c r="D65" s="692"/>
      <c r="E65" s="199"/>
      <c r="F65" s="199"/>
    </row>
    <row r="66" spans="1:8" x14ac:dyDescent="0.25">
      <c r="A66" s="197">
        <v>24</v>
      </c>
      <c r="B66" s="693"/>
      <c r="C66" s="199"/>
      <c r="D66" s="692"/>
      <c r="E66" s="199"/>
      <c r="F66" s="199"/>
      <c r="H66" s="273" t="s">
        <v>242</v>
      </c>
    </row>
    <row r="67" spans="1:8" x14ac:dyDescent="0.25">
      <c r="A67" s="194">
        <v>25</v>
      </c>
      <c r="B67" s="693"/>
      <c r="C67" s="199"/>
      <c r="D67" s="691" t="s">
        <v>231</v>
      </c>
      <c r="E67" s="199"/>
      <c r="F67" s="199"/>
      <c r="H67" s="273" t="s">
        <v>243</v>
      </c>
    </row>
    <row r="68" spans="1:8" x14ac:dyDescent="0.25">
      <c r="A68" s="197">
        <v>26</v>
      </c>
      <c r="B68" s="693"/>
      <c r="C68" s="691" t="s">
        <v>231</v>
      </c>
      <c r="D68" s="691"/>
      <c r="E68" s="199"/>
      <c r="F68" s="199"/>
    </row>
    <row r="69" spans="1:8" x14ac:dyDescent="0.25">
      <c r="A69" s="194">
        <v>27</v>
      </c>
      <c r="B69" s="690" t="s">
        <v>230</v>
      </c>
      <c r="C69" s="691"/>
      <c r="D69" s="691"/>
      <c r="E69" s="199"/>
      <c r="F69" s="199"/>
    </row>
    <row r="70" spans="1:8" x14ac:dyDescent="0.25">
      <c r="A70" s="197">
        <v>28</v>
      </c>
      <c r="B70" s="690"/>
      <c r="C70" s="693" t="s">
        <v>177</v>
      </c>
      <c r="D70" s="691"/>
      <c r="E70" s="199"/>
      <c r="F70" s="199"/>
      <c r="H70" s="273" t="s">
        <v>244</v>
      </c>
    </row>
    <row r="71" spans="1:8" x14ac:dyDescent="0.25">
      <c r="A71" s="194">
        <v>29</v>
      </c>
      <c r="B71" s="690"/>
      <c r="C71" s="693"/>
      <c r="D71" s="691"/>
      <c r="E71" s="199"/>
      <c r="F71" s="199"/>
    </row>
    <row r="72" spans="1:8" x14ac:dyDescent="0.25">
      <c r="A72" s="197">
        <v>30</v>
      </c>
      <c r="B72" s="690"/>
      <c r="C72" s="693"/>
      <c r="D72" s="693" t="s">
        <v>177</v>
      </c>
      <c r="E72" s="199"/>
      <c r="F72" s="199"/>
      <c r="H72" s="273" t="s">
        <v>245</v>
      </c>
    </row>
    <row r="73" spans="1:8" x14ac:dyDescent="0.25">
      <c r="A73" s="194">
        <v>31</v>
      </c>
      <c r="B73" s="690"/>
      <c r="C73" s="693"/>
      <c r="D73" s="693"/>
      <c r="E73" s="196" t="s">
        <v>231</v>
      </c>
      <c r="F73" s="199"/>
    </row>
    <row r="74" spans="1:8" ht="23.25" x14ac:dyDescent="0.25">
      <c r="A74" s="197">
        <v>32</v>
      </c>
      <c r="B74" s="690"/>
      <c r="C74" s="693"/>
      <c r="D74" s="693"/>
      <c r="E74" s="196" t="s">
        <v>239</v>
      </c>
      <c r="F74" s="199"/>
      <c r="H74" s="273" t="s">
        <v>246</v>
      </c>
    </row>
    <row r="75" spans="1:8" ht="23.25" x14ac:dyDescent="0.25">
      <c r="A75" s="194">
        <v>33</v>
      </c>
      <c r="B75" s="690"/>
      <c r="C75" s="690" t="s">
        <v>230</v>
      </c>
      <c r="D75" s="693"/>
      <c r="E75" s="195" t="s">
        <v>177</v>
      </c>
      <c r="F75" s="195" t="s">
        <v>177</v>
      </c>
    </row>
    <row r="76" spans="1:8" x14ac:dyDescent="0.25">
      <c r="A76" s="197">
        <v>34</v>
      </c>
      <c r="B76" s="694" t="s">
        <v>247</v>
      </c>
      <c r="C76" s="690"/>
      <c r="D76" s="693"/>
      <c r="E76" s="195" t="s">
        <v>234</v>
      </c>
      <c r="F76" s="195" t="s">
        <v>234</v>
      </c>
      <c r="H76" s="273" t="s">
        <v>248</v>
      </c>
    </row>
    <row r="77" spans="1:8" x14ac:dyDescent="0.25">
      <c r="A77" s="194">
        <v>35</v>
      </c>
      <c r="B77" s="694"/>
      <c r="C77" s="694" t="s">
        <v>247</v>
      </c>
      <c r="D77" s="690" t="s">
        <v>230</v>
      </c>
      <c r="E77" s="690" t="s">
        <v>230</v>
      </c>
      <c r="F77" s="198"/>
    </row>
    <row r="78" spans="1:8" ht="23.25" x14ac:dyDescent="0.25">
      <c r="A78" s="197">
        <v>36</v>
      </c>
      <c r="B78" s="694"/>
      <c r="C78" s="694"/>
      <c r="D78" s="690"/>
      <c r="E78" s="690"/>
      <c r="F78" s="200" t="s">
        <v>230</v>
      </c>
      <c r="H78" s="273" t="s">
        <v>249</v>
      </c>
    </row>
    <row r="79" spans="1:8" x14ac:dyDescent="0.25">
      <c r="A79" s="689" t="s">
        <v>250</v>
      </c>
      <c r="B79" s="689"/>
      <c r="C79" s="689"/>
      <c r="D79" s="689"/>
      <c r="E79" s="689"/>
      <c r="F79" s="689"/>
    </row>
    <row r="80" spans="1:8" x14ac:dyDescent="0.25">
      <c r="A80" s="158"/>
      <c r="B80" s="158"/>
      <c r="C80" s="158"/>
      <c r="D80" s="158"/>
      <c r="E80" s="158"/>
      <c r="F80" s="158"/>
      <c r="H80" s="273" t="s">
        <v>251</v>
      </c>
    </row>
    <row r="81" spans="1:24" x14ac:dyDescent="0.25">
      <c r="A81" s="158"/>
      <c r="B81" s="158"/>
      <c r="C81" s="158"/>
      <c r="D81" s="158"/>
      <c r="E81" s="158"/>
      <c r="F81" s="158"/>
    </row>
    <row r="82" spans="1:24" x14ac:dyDescent="0.25">
      <c r="A82" s="158"/>
      <c r="B82" s="158"/>
      <c r="C82" s="158"/>
      <c r="D82" s="158"/>
      <c r="E82" s="158"/>
      <c r="F82" s="158"/>
      <c r="H82" s="273" t="s">
        <v>427</v>
      </c>
    </row>
    <row r="83" spans="1:24" x14ac:dyDescent="0.25">
      <c r="A83" s="158"/>
      <c r="B83" s="158"/>
      <c r="C83" s="158"/>
      <c r="D83" s="158"/>
      <c r="E83" s="158"/>
      <c r="F83" s="158"/>
    </row>
    <row r="84" spans="1:24" x14ac:dyDescent="0.25">
      <c r="A84" t="s">
        <v>252</v>
      </c>
      <c r="B84" s="158"/>
      <c r="C84" s="158"/>
      <c r="D84" s="158"/>
      <c r="E84" s="158"/>
      <c r="F84" s="158"/>
    </row>
    <row r="85" spans="1:24" x14ac:dyDescent="0.25">
      <c r="A85" t="s">
        <v>253</v>
      </c>
      <c r="B85" s="158"/>
      <c r="C85" s="158"/>
      <c r="D85" s="158"/>
      <c r="E85" s="158"/>
      <c r="F85" s="158"/>
    </row>
    <row r="86" spans="1:24" x14ac:dyDescent="0.25">
      <c r="A86" s="158" t="s">
        <v>254</v>
      </c>
      <c r="B86" s="158"/>
      <c r="C86" s="158"/>
      <c r="D86" s="158"/>
      <c r="E86" s="158"/>
      <c r="F86" s="158"/>
    </row>
    <row r="87" spans="1:24" x14ac:dyDescent="0.25">
      <c r="A87" s="158"/>
      <c r="B87" s="158"/>
      <c r="C87" s="158"/>
      <c r="D87" s="158"/>
      <c r="E87" s="158"/>
      <c r="F87" s="158"/>
      <c r="G87" s="158"/>
      <c r="I87" s="158"/>
      <c r="J87" s="158"/>
      <c r="K87" s="158"/>
      <c r="L87" s="158"/>
      <c r="M87" s="158"/>
      <c r="N87" s="158"/>
      <c r="O87" s="158"/>
      <c r="P87" s="158"/>
      <c r="Q87" s="158"/>
      <c r="R87" s="158"/>
      <c r="S87" s="158"/>
      <c r="T87" s="158"/>
      <c r="U87" s="158"/>
      <c r="V87" s="158"/>
      <c r="W87" s="158"/>
      <c r="X87" s="270"/>
    </row>
    <row r="88" spans="1:24" x14ac:dyDescent="0.25">
      <c r="A88" s="158"/>
      <c r="B88" s="158"/>
      <c r="C88" s="158"/>
      <c r="D88" s="158"/>
      <c r="E88" s="158"/>
      <c r="F88" s="158"/>
      <c r="G88" s="158"/>
      <c r="I88" s="158"/>
      <c r="J88" s="158"/>
      <c r="K88" s="158"/>
      <c r="L88" s="158"/>
      <c r="M88" s="158"/>
      <c r="N88" s="158"/>
      <c r="O88" s="158"/>
      <c r="P88" s="158"/>
      <c r="Q88" s="158"/>
      <c r="R88" s="158"/>
      <c r="S88" s="158"/>
      <c r="T88" s="158"/>
      <c r="U88" s="158"/>
      <c r="V88" s="158"/>
      <c r="W88" s="158"/>
      <c r="X88" s="270"/>
    </row>
    <row r="89" spans="1:24" x14ac:dyDescent="0.25">
      <c r="A89" s="158"/>
      <c r="B89" s="158"/>
      <c r="C89" s="158"/>
      <c r="D89" s="158"/>
      <c r="E89" s="158"/>
      <c r="F89" s="158"/>
      <c r="G89" s="158"/>
      <c r="I89" s="158"/>
      <c r="J89" s="158"/>
      <c r="K89" s="158"/>
      <c r="L89" s="158"/>
      <c r="M89" s="158"/>
      <c r="N89" s="158"/>
      <c r="O89" s="158"/>
      <c r="P89" s="158"/>
      <c r="Q89" s="158"/>
      <c r="R89" s="158"/>
      <c r="S89" s="158"/>
      <c r="T89" s="158"/>
      <c r="U89" s="158"/>
      <c r="V89" s="158"/>
      <c r="W89" s="158"/>
      <c r="X89" s="270"/>
    </row>
    <row r="90" spans="1:24" x14ac:dyDescent="0.25">
      <c r="A90" s="158"/>
      <c r="B90" s="158"/>
      <c r="C90" s="158"/>
      <c r="D90" s="158"/>
      <c r="E90" s="158"/>
      <c r="F90" s="158"/>
      <c r="G90" s="158"/>
      <c r="I90" s="158"/>
      <c r="J90" s="158"/>
      <c r="K90" s="158"/>
      <c r="L90" s="158"/>
      <c r="M90" s="158"/>
      <c r="N90" s="158"/>
      <c r="O90" s="158"/>
      <c r="P90" s="158"/>
      <c r="Q90" s="158"/>
      <c r="R90" s="158"/>
      <c r="S90" s="158"/>
      <c r="T90" s="158"/>
      <c r="U90" s="158"/>
      <c r="V90" s="158"/>
      <c r="W90" s="158"/>
      <c r="X90" s="270"/>
    </row>
    <row r="91" spans="1:24" x14ac:dyDescent="0.25">
      <c r="A91" s="158"/>
      <c r="B91" s="158"/>
      <c r="C91" s="158"/>
      <c r="D91" s="158"/>
      <c r="E91" s="158"/>
      <c r="F91" s="158"/>
      <c r="G91" s="158"/>
      <c r="I91" s="158"/>
      <c r="J91" s="158"/>
      <c r="K91" s="158"/>
      <c r="L91" s="158"/>
      <c r="M91" s="158"/>
      <c r="N91" s="158"/>
      <c r="O91" s="158"/>
      <c r="P91" s="158"/>
      <c r="Q91" s="158"/>
      <c r="R91" s="158"/>
      <c r="S91" s="158"/>
      <c r="T91" s="158"/>
      <c r="U91" s="158"/>
      <c r="V91" s="158"/>
      <c r="W91" s="158"/>
      <c r="X91" s="270"/>
    </row>
    <row r="92" spans="1:24" x14ac:dyDescent="0.25">
      <c r="A92" s="158"/>
      <c r="B92" s="158"/>
      <c r="C92" s="158"/>
      <c r="D92" s="158"/>
      <c r="E92" s="158"/>
      <c r="F92" s="158"/>
      <c r="G92" s="158"/>
      <c r="I92" s="158"/>
      <c r="J92" s="158"/>
      <c r="K92" s="158"/>
      <c r="L92" s="158"/>
      <c r="M92" s="158"/>
      <c r="N92" s="158"/>
      <c r="O92" s="158"/>
      <c r="P92" s="158"/>
      <c r="Q92" s="158"/>
      <c r="R92" s="158"/>
      <c r="S92" s="158"/>
      <c r="T92" s="158"/>
      <c r="U92" s="158"/>
      <c r="V92" s="158"/>
      <c r="W92" s="158"/>
      <c r="X92" s="270"/>
    </row>
    <row r="93" spans="1:24" x14ac:dyDescent="0.25">
      <c r="A93" s="158"/>
      <c r="B93" s="158"/>
      <c r="C93" s="158"/>
      <c r="D93" s="158"/>
      <c r="E93" s="158"/>
      <c r="F93" s="158"/>
      <c r="G93" s="158"/>
      <c r="I93" s="158"/>
      <c r="J93" s="158"/>
      <c r="K93" s="158"/>
      <c r="L93" s="158"/>
      <c r="M93" s="158"/>
      <c r="N93" s="158"/>
      <c r="O93" s="158"/>
      <c r="P93" s="158"/>
      <c r="Q93" s="158"/>
      <c r="R93" s="158"/>
      <c r="S93" s="158"/>
      <c r="T93" s="158"/>
      <c r="U93" s="158"/>
      <c r="V93" s="158"/>
      <c r="W93" s="158"/>
      <c r="X93" s="270"/>
    </row>
    <row r="94" spans="1:24" x14ac:dyDescent="0.25">
      <c r="A94" s="158"/>
      <c r="B94" s="158"/>
      <c r="C94" s="158"/>
      <c r="D94" s="158"/>
      <c r="E94" s="158"/>
      <c r="F94" s="158"/>
      <c r="G94" s="158"/>
      <c r="I94" s="158"/>
      <c r="J94" s="158"/>
      <c r="K94" s="158"/>
      <c r="L94" s="158"/>
      <c r="M94" s="158"/>
      <c r="N94" s="158"/>
      <c r="O94" s="158"/>
      <c r="P94" s="158"/>
      <c r="Q94" s="158"/>
      <c r="R94" s="158"/>
      <c r="S94" s="158"/>
      <c r="T94" s="158"/>
      <c r="U94" s="158"/>
      <c r="V94" s="158"/>
      <c r="W94" s="158"/>
      <c r="X94" s="270"/>
    </row>
    <row r="95" spans="1:24" x14ac:dyDescent="0.25">
      <c r="A95" s="158"/>
      <c r="B95" s="158"/>
      <c r="C95" s="158"/>
      <c r="D95" s="158"/>
      <c r="E95" s="158"/>
      <c r="F95" s="158"/>
      <c r="G95" s="158"/>
      <c r="I95" s="158"/>
      <c r="J95" s="158"/>
      <c r="K95" s="158"/>
      <c r="L95" s="158"/>
      <c r="M95" s="158"/>
      <c r="N95" s="158"/>
      <c r="O95" s="158"/>
      <c r="P95" s="158"/>
      <c r="Q95" s="158"/>
      <c r="R95" s="158"/>
      <c r="S95" s="158"/>
      <c r="T95" s="158"/>
      <c r="U95" s="158"/>
      <c r="V95" s="158"/>
      <c r="W95" s="158"/>
      <c r="X95" s="270"/>
    </row>
    <row r="96" spans="1:24" x14ac:dyDescent="0.25">
      <c r="A96" s="158"/>
      <c r="B96" s="158"/>
      <c r="C96" s="158"/>
      <c r="D96" s="158"/>
      <c r="E96" s="158"/>
      <c r="F96" s="158"/>
      <c r="G96" s="158"/>
      <c r="I96" s="158"/>
      <c r="J96" s="158"/>
      <c r="K96" s="158"/>
      <c r="L96" s="158"/>
      <c r="M96" s="158"/>
      <c r="N96" s="158"/>
      <c r="O96" s="158"/>
      <c r="P96" s="158"/>
      <c r="Q96" s="158"/>
      <c r="R96" s="158"/>
      <c r="S96" s="158"/>
      <c r="T96" s="158"/>
      <c r="U96" s="158"/>
      <c r="V96" s="158"/>
      <c r="W96" s="158"/>
      <c r="X96" s="270"/>
    </row>
    <row r="97" spans="1:24" x14ac:dyDescent="0.25">
      <c r="A97" s="158"/>
      <c r="B97" s="158"/>
      <c r="C97" s="158"/>
      <c r="D97" s="158"/>
      <c r="E97" s="158"/>
      <c r="F97" s="158"/>
      <c r="G97" s="158"/>
      <c r="I97" s="158"/>
      <c r="J97" s="158"/>
      <c r="K97" s="158"/>
      <c r="L97" s="158"/>
      <c r="M97" s="158"/>
      <c r="N97" s="158"/>
      <c r="O97" s="158"/>
      <c r="P97" s="158"/>
      <c r="Q97" s="158"/>
      <c r="R97" s="158"/>
      <c r="S97" s="158"/>
      <c r="T97" s="158"/>
      <c r="U97" s="158"/>
      <c r="V97" s="158"/>
      <c r="W97" s="158"/>
      <c r="X97" s="270"/>
    </row>
    <row r="98" spans="1:24" x14ac:dyDescent="0.25">
      <c r="A98" s="158"/>
      <c r="B98" s="158"/>
      <c r="C98" s="158"/>
      <c r="D98" s="158"/>
      <c r="E98" s="158"/>
      <c r="F98" s="158"/>
      <c r="G98" s="158"/>
      <c r="I98" s="158"/>
      <c r="J98" s="158"/>
      <c r="K98" s="158"/>
      <c r="L98" s="158"/>
      <c r="M98" s="158"/>
      <c r="N98" s="158"/>
      <c r="O98" s="158"/>
      <c r="P98" s="158"/>
      <c r="Q98" s="158"/>
      <c r="R98" s="158"/>
      <c r="S98" s="158"/>
      <c r="T98" s="158"/>
      <c r="U98" s="158"/>
      <c r="V98" s="158"/>
      <c r="W98" s="158"/>
      <c r="X98" s="270"/>
    </row>
    <row r="99" spans="1:24" x14ac:dyDescent="0.25">
      <c r="A99" s="158"/>
      <c r="B99" s="158"/>
      <c r="C99" s="158"/>
      <c r="D99" s="158"/>
      <c r="E99" s="158"/>
      <c r="F99" s="158"/>
      <c r="G99" s="158"/>
      <c r="I99" s="158"/>
      <c r="J99" s="158"/>
      <c r="K99" s="158"/>
      <c r="L99" s="158"/>
      <c r="M99" s="158"/>
      <c r="N99" s="158"/>
      <c r="O99" s="158"/>
      <c r="P99" s="158"/>
      <c r="Q99" s="158"/>
      <c r="R99" s="158"/>
      <c r="S99" s="158"/>
      <c r="T99" s="158"/>
      <c r="U99" s="158"/>
      <c r="V99" s="158"/>
      <c r="W99" s="158"/>
      <c r="X99" s="270"/>
    </row>
    <row r="100" spans="1:24" x14ac:dyDescent="0.25">
      <c r="A100" s="158"/>
      <c r="B100" s="158"/>
      <c r="C100" s="158"/>
      <c r="D100" s="158"/>
      <c r="E100" s="158"/>
      <c r="F100" s="158"/>
      <c r="G100" s="158"/>
      <c r="I100" s="158"/>
      <c r="J100" s="158"/>
      <c r="K100" s="158"/>
      <c r="L100" s="158"/>
      <c r="M100" s="158"/>
      <c r="N100" s="158"/>
      <c r="O100" s="158"/>
      <c r="P100" s="158"/>
      <c r="Q100" s="158"/>
      <c r="R100" s="158"/>
      <c r="S100" s="158"/>
      <c r="T100" s="158"/>
      <c r="U100" s="158"/>
      <c r="V100" s="158"/>
      <c r="W100" s="158"/>
      <c r="X100" s="270"/>
    </row>
    <row r="101" spans="1:24" x14ac:dyDescent="0.25">
      <c r="A101" s="158"/>
      <c r="B101" s="158"/>
      <c r="C101" s="158"/>
      <c r="D101" s="158"/>
      <c r="E101" s="158"/>
      <c r="F101" s="158"/>
      <c r="G101" s="158"/>
      <c r="I101" s="158"/>
      <c r="J101" s="158"/>
      <c r="K101" s="158"/>
      <c r="L101" s="158"/>
      <c r="M101" s="158"/>
      <c r="N101" s="158"/>
      <c r="O101" s="158"/>
      <c r="P101" s="158"/>
      <c r="Q101" s="158"/>
      <c r="R101" s="158"/>
      <c r="S101" s="158"/>
      <c r="T101" s="158"/>
      <c r="U101" s="158"/>
      <c r="V101" s="158"/>
      <c r="W101" s="158"/>
      <c r="X101" s="270"/>
    </row>
    <row r="102" spans="1:24" x14ac:dyDescent="0.25">
      <c r="A102" s="158"/>
      <c r="B102" s="158"/>
      <c r="C102" s="158"/>
      <c r="D102" s="158"/>
      <c r="E102" s="158"/>
      <c r="F102" s="158"/>
      <c r="G102" s="158"/>
      <c r="I102" s="158"/>
      <c r="J102" s="158"/>
      <c r="K102" s="158"/>
      <c r="L102" s="158"/>
      <c r="M102" s="158"/>
      <c r="N102" s="158"/>
      <c r="O102" s="158"/>
      <c r="P102" s="158"/>
      <c r="Q102" s="158"/>
      <c r="R102" s="158"/>
      <c r="S102" s="158"/>
      <c r="T102" s="158"/>
      <c r="U102" s="158"/>
      <c r="V102" s="158"/>
      <c r="W102" s="158"/>
      <c r="X102" s="270"/>
    </row>
    <row r="103" spans="1:24" x14ac:dyDescent="0.25">
      <c r="A103" s="158"/>
      <c r="B103" s="158"/>
      <c r="C103" s="158"/>
      <c r="D103" s="158"/>
      <c r="E103" s="158"/>
      <c r="F103" s="158"/>
      <c r="G103" s="158"/>
      <c r="I103" s="158"/>
      <c r="J103" s="158"/>
      <c r="K103" s="158"/>
      <c r="L103" s="158"/>
      <c r="M103" s="158"/>
      <c r="N103" s="158"/>
      <c r="O103" s="158"/>
      <c r="P103" s="158"/>
      <c r="Q103" s="158"/>
      <c r="R103" s="158"/>
      <c r="S103" s="158"/>
      <c r="T103" s="158"/>
      <c r="U103" s="158"/>
      <c r="V103" s="158"/>
      <c r="W103" s="158"/>
      <c r="X103" s="270"/>
    </row>
    <row r="104" spans="1:24" x14ac:dyDescent="0.25">
      <c r="A104" s="158"/>
      <c r="B104" s="158"/>
      <c r="C104" s="158"/>
      <c r="D104" s="158"/>
      <c r="E104" s="158"/>
      <c r="F104" s="158"/>
      <c r="G104" s="158"/>
      <c r="I104" s="158"/>
      <c r="J104" s="158"/>
      <c r="K104" s="158"/>
      <c r="L104" s="158"/>
      <c r="M104" s="158"/>
      <c r="N104" s="158"/>
      <c r="O104" s="158"/>
      <c r="P104" s="158"/>
      <c r="Q104" s="158"/>
      <c r="R104" s="158"/>
      <c r="S104" s="158"/>
      <c r="T104" s="158"/>
      <c r="U104" s="158"/>
      <c r="V104" s="158"/>
      <c r="W104" s="158"/>
      <c r="X104" s="270"/>
    </row>
    <row r="105" spans="1:24" x14ac:dyDescent="0.25">
      <c r="A105" s="158"/>
      <c r="B105" s="158"/>
      <c r="C105" s="158"/>
      <c r="D105" s="158"/>
      <c r="E105" s="158"/>
      <c r="F105" s="158"/>
      <c r="G105" s="158"/>
      <c r="I105" s="158"/>
      <c r="J105" s="158"/>
      <c r="K105" s="158"/>
      <c r="L105" s="158"/>
      <c r="M105" s="158"/>
      <c r="N105" s="158"/>
      <c r="O105" s="158"/>
      <c r="P105" s="158"/>
      <c r="Q105" s="158"/>
      <c r="R105" s="158"/>
      <c r="S105" s="158"/>
      <c r="T105" s="158"/>
      <c r="U105" s="158"/>
      <c r="V105" s="158"/>
      <c r="W105" s="158"/>
      <c r="X105" s="270"/>
    </row>
    <row r="106" spans="1:24" x14ac:dyDescent="0.25">
      <c r="A106" s="158"/>
      <c r="B106" s="158"/>
      <c r="C106" s="158"/>
      <c r="D106" s="158"/>
      <c r="E106" s="158"/>
      <c r="F106" s="158"/>
      <c r="G106" s="158"/>
      <c r="I106" s="158"/>
      <c r="J106" s="158"/>
      <c r="K106" s="158"/>
      <c r="L106" s="158"/>
      <c r="M106" s="158"/>
      <c r="N106" s="158"/>
      <c r="O106" s="158"/>
      <c r="P106" s="158"/>
      <c r="Q106" s="158"/>
      <c r="R106" s="158"/>
      <c r="S106" s="158"/>
      <c r="T106" s="158"/>
      <c r="U106" s="158"/>
      <c r="V106" s="158"/>
      <c r="W106" s="158"/>
      <c r="X106" s="270"/>
    </row>
    <row r="107" spans="1:24" x14ac:dyDescent="0.25">
      <c r="A107" s="158"/>
      <c r="B107" s="158"/>
      <c r="C107" s="158"/>
      <c r="D107" s="158"/>
      <c r="E107" s="158"/>
      <c r="F107" s="158"/>
      <c r="G107" s="158"/>
      <c r="I107" s="158"/>
      <c r="J107" s="158"/>
      <c r="K107" s="158"/>
      <c r="L107" s="158"/>
      <c r="M107" s="158"/>
      <c r="N107" s="158"/>
      <c r="O107" s="158"/>
      <c r="P107" s="158"/>
      <c r="Q107" s="158"/>
      <c r="R107" s="158"/>
      <c r="S107" s="158"/>
      <c r="T107" s="158"/>
      <c r="U107" s="158"/>
      <c r="V107" s="158"/>
      <c r="W107" s="158"/>
      <c r="X107" s="270"/>
    </row>
    <row r="108" spans="1:24" x14ac:dyDescent="0.25">
      <c r="A108" s="158"/>
      <c r="B108" s="158"/>
      <c r="C108" s="158"/>
      <c r="D108" s="158"/>
      <c r="E108" s="158"/>
      <c r="F108" s="158"/>
      <c r="G108" s="158"/>
      <c r="I108" s="158"/>
      <c r="J108" s="158"/>
      <c r="K108" s="158"/>
      <c r="L108" s="158"/>
      <c r="M108" s="158"/>
      <c r="N108" s="158"/>
      <c r="O108" s="158"/>
      <c r="P108" s="158"/>
      <c r="Q108" s="158"/>
      <c r="R108" s="158"/>
      <c r="S108" s="158"/>
      <c r="T108" s="158"/>
      <c r="U108" s="158"/>
      <c r="V108" s="158"/>
      <c r="W108" s="158"/>
      <c r="X108" s="270"/>
    </row>
    <row r="109" spans="1:24" x14ac:dyDescent="0.25">
      <c r="A109" s="158"/>
      <c r="B109" s="158"/>
      <c r="C109" s="158"/>
      <c r="D109" s="158"/>
      <c r="E109" s="158"/>
      <c r="F109" s="158"/>
      <c r="G109" s="158"/>
      <c r="I109" s="158"/>
      <c r="J109" s="158"/>
      <c r="K109" s="158"/>
      <c r="L109" s="158"/>
      <c r="M109" s="158"/>
      <c r="N109" s="158"/>
      <c r="O109" s="158"/>
      <c r="P109" s="158"/>
      <c r="Q109" s="158"/>
      <c r="R109" s="158"/>
      <c r="S109" s="158"/>
      <c r="T109" s="158"/>
      <c r="U109" s="158"/>
      <c r="V109" s="158"/>
      <c r="W109" s="158"/>
      <c r="X109" s="270"/>
    </row>
    <row r="110" spans="1:24" x14ac:dyDescent="0.25">
      <c r="A110" s="158"/>
      <c r="B110" s="158"/>
      <c r="C110" s="158"/>
      <c r="D110" s="158"/>
      <c r="E110" s="158"/>
      <c r="F110" s="158"/>
      <c r="G110" s="158"/>
      <c r="I110" s="158"/>
      <c r="J110" s="158"/>
      <c r="K110" s="158"/>
      <c r="L110" s="158"/>
      <c r="M110" s="158"/>
      <c r="N110" s="158"/>
      <c r="O110" s="158"/>
      <c r="P110" s="158"/>
      <c r="Q110" s="158"/>
      <c r="R110" s="158"/>
      <c r="S110" s="158"/>
      <c r="T110" s="158"/>
      <c r="U110" s="158"/>
      <c r="V110" s="158"/>
      <c r="W110" s="158"/>
      <c r="X110" s="270"/>
    </row>
    <row r="111" spans="1:24" x14ac:dyDescent="0.25">
      <c r="A111" s="158"/>
      <c r="B111" s="158"/>
      <c r="C111" s="158"/>
      <c r="D111" s="158"/>
      <c r="E111" s="158"/>
      <c r="F111" s="158"/>
      <c r="G111" s="158"/>
      <c r="I111" s="158"/>
      <c r="J111" s="158"/>
      <c r="K111" s="158"/>
      <c r="L111" s="158"/>
      <c r="M111" s="158"/>
      <c r="N111" s="158"/>
      <c r="O111" s="158"/>
      <c r="P111" s="158"/>
      <c r="Q111" s="158"/>
      <c r="R111" s="158"/>
      <c r="S111" s="158"/>
      <c r="T111" s="158"/>
      <c r="U111" s="158"/>
      <c r="V111" s="158"/>
      <c r="W111" s="158"/>
      <c r="X111" s="270"/>
    </row>
    <row r="112" spans="1:24" x14ac:dyDescent="0.25">
      <c r="A112" s="158"/>
      <c r="B112" s="158"/>
      <c r="C112" s="158"/>
      <c r="D112" s="158"/>
      <c r="E112" s="158"/>
      <c r="F112" s="158"/>
      <c r="G112" s="158"/>
      <c r="I112" s="158"/>
      <c r="J112" s="158"/>
      <c r="K112" s="158"/>
      <c r="L112" s="158"/>
      <c r="M112" s="158"/>
      <c r="N112" s="158"/>
      <c r="O112" s="158"/>
      <c r="P112" s="158"/>
      <c r="Q112" s="158"/>
      <c r="R112" s="158"/>
      <c r="S112" s="158"/>
      <c r="T112" s="158"/>
      <c r="U112" s="158"/>
      <c r="V112" s="158"/>
      <c r="W112" s="158"/>
      <c r="X112" s="270"/>
    </row>
    <row r="113" spans="1:24" x14ac:dyDescent="0.25">
      <c r="A113" s="158"/>
      <c r="B113" s="158"/>
      <c r="C113" s="158"/>
      <c r="D113" s="158"/>
      <c r="E113" s="158"/>
      <c r="F113" s="158"/>
      <c r="G113" s="158"/>
      <c r="I113" s="158"/>
      <c r="J113" s="158"/>
      <c r="K113" s="158"/>
      <c r="L113" s="158"/>
      <c r="M113" s="158"/>
      <c r="N113" s="158"/>
      <c r="O113" s="158"/>
      <c r="P113" s="158"/>
      <c r="Q113" s="158"/>
      <c r="R113" s="158"/>
      <c r="S113" s="158"/>
      <c r="T113" s="158"/>
      <c r="U113" s="158"/>
      <c r="V113" s="158"/>
      <c r="W113" s="158"/>
      <c r="X113" s="270"/>
    </row>
    <row r="114" spans="1:24" x14ac:dyDescent="0.25">
      <c r="A114" s="158"/>
      <c r="B114" s="158"/>
      <c r="C114" s="158"/>
      <c r="D114" s="158"/>
      <c r="E114" s="158"/>
      <c r="F114" s="158"/>
      <c r="G114" s="158"/>
      <c r="I114" s="158"/>
      <c r="J114" s="158"/>
      <c r="K114" s="158"/>
      <c r="L114" s="158"/>
      <c r="M114" s="158"/>
      <c r="N114" s="158"/>
      <c r="O114" s="158"/>
      <c r="P114" s="158"/>
      <c r="Q114" s="158"/>
      <c r="R114" s="158"/>
      <c r="S114" s="158"/>
      <c r="T114" s="158"/>
      <c r="U114" s="158"/>
      <c r="V114" s="158"/>
      <c r="W114" s="158"/>
      <c r="X114" s="270"/>
    </row>
    <row r="115" spans="1:24" x14ac:dyDescent="0.25">
      <c r="A115" s="158"/>
      <c r="B115" s="158"/>
      <c r="C115" s="158"/>
      <c r="D115" s="158"/>
      <c r="E115" s="158"/>
      <c r="F115" s="158"/>
      <c r="G115" s="158"/>
      <c r="I115" s="158"/>
      <c r="J115" s="158"/>
      <c r="K115" s="158"/>
      <c r="L115" s="158"/>
      <c r="M115" s="158"/>
      <c r="N115" s="158"/>
      <c r="O115" s="158"/>
      <c r="P115" s="158"/>
      <c r="Q115" s="158"/>
      <c r="R115" s="158"/>
      <c r="S115" s="158"/>
      <c r="T115" s="158"/>
      <c r="U115" s="158"/>
      <c r="V115" s="158"/>
      <c r="W115" s="158"/>
      <c r="X115" s="270"/>
    </row>
    <row r="116" spans="1:24" x14ac:dyDescent="0.25">
      <c r="A116" s="158"/>
      <c r="B116" s="158"/>
      <c r="C116" s="158"/>
      <c r="D116" s="158"/>
      <c r="E116" s="158"/>
      <c r="F116" s="158"/>
      <c r="G116" s="158"/>
      <c r="I116" s="158"/>
      <c r="J116" s="158"/>
      <c r="K116" s="158"/>
      <c r="L116" s="158"/>
      <c r="M116" s="158"/>
      <c r="N116" s="158"/>
      <c r="O116" s="158"/>
      <c r="P116" s="158"/>
      <c r="Q116" s="158"/>
      <c r="R116" s="158"/>
      <c r="S116" s="158"/>
      <c r="T116" s="158"/>
      <c r="U116" s="158"/>
      <c r="V116" s="158"/>
      <c r="W116" s="158"/>
      <c r="X116" s="270"/>
    </row>
    <row r="117" spans="1:24" x14ac:dyDescent="0.25">
      <c r="A117" s="158"/>
      <c r="B117" s="158"/>
      <c r="C117" s="158"/>
      <c r="D117" s="158"/>
      <c r="E117" s="158"/>
      <c r="F117" s="158"/>
      <c r="G117" s="158"/>
      <c r="I117" s="158"/>
      <c r="J117" s="158"/>
      <c r="K117" s="158"/>
      <c r="L117" s="158"/>
      <c r="M117" s="158"/>
      <c r="N117" s="158"/>
      <c r="O117" s="158"/>
      <c r="P117" s="158"/>
      <c r="Q117" s="158"/>
      <c r="R117" s="158"/>
      <c r="S117" s="158"/>
      <c r="T117" s="158"/>
      <c r="U117" s="158"/>
      <c r="V117" s="158"/>
      <c r="W117" s="158"/>
      <c r="X117" s="270"/>
    </row>
    <row r="118" spans="1:24" x14ac:dyDescent="0.25">
      <c r="A118" s="158"/>
      <c r="B118" s="158"/>
      <c r="C118" s="158"/>
      <c r="D118" s="158"/>
      <c r="E118" s="158"/>
      <c r="F118" s="158"/>
      <c r="G118" s="158"/>
      <c r="I118" s="158"/>
      <c r="J118" s="158"/>
      <c r="K118" s="158"/>
      <c r="L118" s="158"/>
      <c r="M118" s="158"/>
      <c r="N118" s="158"/>
      <c r="O118" s="158"/>
      <c r="P118" s="158"/>
      <c r="Q118" s="158"/>
      <c r="R118" s="158"/>
      <c r="S118" s="158"/>
      <c r="T118" s="158"/>
      <c r="U118" s="158"/>
      <c r="V118" s="158"/>
      <c r="W118" s="158"/>
      <c r="X118" s="270"/>
    </row>
    <row r="119" spans="1:24" x14ac:dyDescent="0.25">
      <c r="A119" s="158"/>
      <c r="B119" s="158"/>
      <c r="C119" s="158"/>
      <c r="D119" s="158"/>
      <c r="E119" s="158"/>
      <c r="F119" s="158"/>
      <c r="G119" s="158"/>
      <c r="I119" s="158"/>
      <c r="J119" s="158"/>
      <c r="K119" s="158"/>
      <c r="L119" s="158"/>
      <c r="M119" s="158"/>
      <c r="N119" s="158"/>
      <c r="O119" s="158"/>
      <c r="P119" s="158"/>
      <c r="Q119" s="158"/>
      <c r="R119" s="158"/>
      <c r="S119" s="158"/>
      <c r="T119" s="158"/>
      <c r="U119" s="158"/>
      <c r="V119" s="158"/>
      <c r="W119" s="158"/>
      <c r="X119" s="270"/>
    </row>
    <row r="120" spans="1:24" x14ac:dyDescent="0.25">
      <c r="A120" s="158"/>
      <c r="B120" s="158"/>
      <c r="C120" s="158"/>
      <c r="D120" s="158"/>
      <c r="E120" s="158"/>
      <c r="F120" s="158"/>
      <c r="G120" s="158"/>
      <c r="I120" s="158"/>
      <c r="J120" s="158"/>
      <c r="K120" s="158"/>
      <c r="L120" s="158"/>
      <c r="M120" s="158"/>
      <c r="N120" s="158"/>
      <c r="O120" s="158"/>
      <c r="P120" s="158"/>
      <c r="Q120" s="158"/>
      <c r="R120" s="158"/>
      <c r="S120" s="158"/>
      <c r="T120" s="158"/>
      <c r="U120" s="158"/>
      <c r="V120" s="158"/>
      <c r="W120" s="158"/>
      <c r="X120" s="270"/>
    </row>
    <row r="121" spans="1:24" x14ac:dyDescent="0.25">
      <c r="A121" s="158"/>
      <c r="B121" s="158"/>
      <c r="C121" s="158"/>
      <c r="D121" s="158"/>
      <c r="E121" s="158"/>
      <c r="F121" s="158"/>
      <c r="G121" s="158"/>
      <c r="I121" s="158"/>
      <c r="J121" s="158"/>
      <c r="K121" s="158"/>
      <c r="L121" s="158"/>
      <c r="M121" s="158"/>
      <c r="N121" s="158"/>
      <c r="O121" s="158"/>
      <c r="P121" s="158"/>
      <c r="Q121" s="158"/>
      <c r="R121" s="158"/>
      <c r="S121" s="158"/>
      <c r="T121" s="158"/>
      <c r="U121" s="158"/>
      <c r="V121" s="158"/>
      <c r="W121" s="158"/>
      <c r="X121" s="270"/>
    </row>
    <row r="122" spans="1:24" x14ac:dyDescent="0.25">
      <c r="A122" s="158"/>
      <c r="B122" s="158"/>
      <c r="C122" s="158"/>
      <c r="D122" s="158"/>
      <c r="E122" s="158"/>
      <c r="F122" s="158"/>
      <c r="G122" s="158"/>
      <c r="I122" s="158"/>
      <c r="J122" s="158"/>
      <c r="K122" s="158"/>
      <c r="L122" s="158"/>
      <c r="M122" s="158"/>
      <c r="N122" s="158"/>
      <c r="O122" s="158"/>
      <c r="P122" s="158"/>
      <c r="Q122" s="158"/>
      <c r="R122" s="158"/>
      <c r="S122" s="158"/>
      <c r="T122" s="158"/>
      <c r="U122" s="158"/>
      <c r="V122" s="158"/>
      <c r="W122" s="158"/>
      <c r="X122" s="270"/>
    </row>
    <row r="123" spans="1:24" x14ac:dyDescent="0.25">
      <c r="A123" s="158"/>
      <c r="B123" s="158"/>
      <c r="C123" s="158"/>
      <c r="D123" s="158"/>
      <c r="E123" s="158"/>
      <c r="F123" s="158"/>
      <c r="G123" s="158"/>
      <c r="I123" s="158"/>
      <c r="J123" s="158"/>
      <c r="K123" s="158"/>
      <c r="L123" s="158"/>
      <c r="M123" s="158"/>
      <c r="N123" s="158"/>
      <c r="O123" s="158"/>
      <c r="P123" s="158"/>
      <c r="Q123" s="158"/>
      <c r="R123" s="158"/>
      <c r="S123" s="158"/>
      <c r="T123" s="158"/>
      <c r="U123" s="158"/>
      <c r="V123" s="158"/>
      <c r="W123" s="158"/>
      <c r="X123" s="270"/>
    </row>
    <row r="124" spans="1:24" x14ac:dyDescent="0.25">
      <c r="A124" s="158"/>
      <c r="B124" s="158"/>
      <c r="C124" s="158"/>
      <c r="D124" s="158"/>
      <c r="E124" s="158"/>
      <c r="F124" s="158"/>
      <c r="G124" s="158"/>
      <c r="I124" s="158"/>
      <c r="J124" s="158"/>
      <c r="K124" s="158"/>
      <c r="L124" s="158"/>
      <c r="M124" s="158"/>
      <c r="N124" s="158"/>
      <c r="O124" s="158"/>
      <c r="P124" s="158"/>
      <c r="Q124" s="158"/>
      <c r="R124" s="158"/>
      <c r="S124" s="158"/>
      <c r="T124" s="158"/>
      <c r="U124" s="158"/>
      <c r="V124" s="158"/>
      <c r="W124" s="158"/>
      <c r="X124" s="270"/>
    </row>
    <row r="125" spans="1:24" x14ac:dyDescent="0.25">
      <c r="A125" s="158"/>
      <c r="B125" s="158"/>
      <c r="C125" s="158"/>
      <c r="D125" s="158"/>
      <c r="E125" s="158"/>
      <c r="F125" s="158"/>
    </row>
    <row r="126" spans="1:24" x14ac:dyDescent="0.25">
      <c r="A126" s="158"/>
      <c r="B126" s="158"/>
      <c r="C126" s="158"/>
      <c r="D126" s="158"/>
      <c r="E126" s="158"/>
      <c r="F126" s="158"/>
    </row>
    <row r="127" spans="1:24" x14ac:dyDescent="0.25">
      <c r="A127" s="158"/>
      <c r="B127" s="158"/>
      <c r="C127" s="158"/>
      <c r="D127" s="158"/>
      <c r="E127" s="158"/>
      <c r="F127" s="158"/>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Z5:AS45">
    <cfRule type="colorScale" priority="19">
      <colorScale>
        <cfvo type="min"/>
        <cfvo type="percentile" val="50"/>
        <cfvo type="max"/>
        <color rgb="FFF8696B"/>
        <color rgb="FFFFEB84"/>
        <color rgb="FF63BE7B"/>
      </colorScale>
    </cfRule>
  </conditionalFormatting>
  <conditionalFormatting sqref="B3:W48">
    <cfRule type="cellIs" dxfId="368" priority="3" operator="greaterThan">
      <formula>6.99</formula>
    </cfRule>
    <cfRule type="cellIs" dxfId="367" priority="4" operator="lessThan">
      <formula>4.6</formula>
    </cfRule>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AA52"/>
  <sheetViews>
    <sheetView zoomScale="90" zoomScaleNormal="90" workbookViewId="0">
      <pane xSplit="3" ySplit="4" topLeftCell="G5" activePane="bottomRight" state="frozen"/>
      <selection pane="topRight" activeCell="D1" sqref="D1"/>
      <selection pane="bottomLeft" activeCell="A5" sqref="A5"/>
      <selection pane="bottomRight" activeCell="L10" sqref="L10"/>
    </sheetView>
  </sheetViews>
  <sheetFormatPr defaultColWidth="11.42578125" defaultRowHeight="15" x14ac:dyDescent="0.25"/>
  <cols>
    <col min="1" max="1" width="23" style="4" bestFit="1" customWidth="1"/>
    <col min="2" max="2" width="16" style="4" customWidth="1"/>
    <col min="3" max="3" width="18.28515625" style="4" bestFit="1" customWidth="1"/>
    <col min="4" max="4" width="14.42578125" bestFit="1" customWidth="1"/>
    <col min="5" max="5" width="16.7109375" style="1" bestFit="1" customWidth="1"/>
    <col min="6" max="6" width="16.7109375" bestFit="1" customWidth="1"/>
    <col min="7" max="7" width="16.7109375" style="52" bestFit="1" customWidth="1"/>
    <col min="8" max="9" width="16.7109375" bestFit="1" customWidth="1"/>
    <col min="10" max="18" width="16.7109375" style="9" bestFit="1" customWidth="1"/>
    <col min="19" max="19" width="16.7109375" style="9" customWidth="1"/>
    <col min="20" max="20" width="16.7109375" style="9" bestFit="1" customWidth="1"/>
    <col min="21" max="25" width="11.42578125" style="9"/>
    <col min="26" max="26" width="16.140625" style="9" customWidth="1"/>
    <col min="27" max="27" width="9.7109375" style="9" bestFit="1" customWidth="1"/>
    <col min="28" max="16384" width="11.42578125" style="9"/>
  </cols>
  <sheetData>
    <row r="1" spans="1:27" ht="23.25" x14ac:dyDescent="0.35">
      <c r="A1" s="50" t="s">
        <v>68</v>
      </c>
      <c r="B1" s="51"/>
      <c r="C1" s="51"/>
    </row>
    <row r="2" spans="1:27" s="53" customFormat="1" ht="12.75" x14ac:dyDescent="0.2">
      <c r="B2" s="54"/>
      <c r="C2" s="54"/>
      <c r="D2" s="55">
        <v>41398</v>
      </c>
      <c r="E2" s="55">
        <f>D2+7</f>
        <v>41405</v>
      </c>
      <c r="F2" s="55">
        <f t="shared" ref="F2:T2" si="0">E2+7</f>
        <v>41412</v>
      </c>
      <c r="G2" s="55">
        <f t="shared" si="0"/>
        <v>41419</v>
      </c>
      <c r="H2" s="55">
        <f t="shared" si="0"/>
        <v>41426</v>
      </c>
      <c r="I2" s="55">
        <f t="shared" si="0"/>
        <v>41433</v>
      </c>
      <c r="J2" s="55">
        <f t="shared" si="0"/>
        <v>41440</v>
      </c>
      <c r="K2" s="55">
        <f t="shared" si="0"/>
        <v>41447</v>
      </c>
      <c r="L2" s="55">
        <f t="shared" si="0"/>
        <v>41454</v>
      </c>
      <c r="M2" s="55">
        <f t="shared" si="0"/>
        <v>41461</v>
      </c>
      <c r="N2" s="55">
        <f t="shared" si="0"/>
        <v>41468</v>
      </c>
      <c r="O2" s="55">
        <f t="shared" si="0"/>
        <v>41475</v>
      </c>
      <c r="P2" s="55">
        <f t="shared" si="0"/>
        <v>41482</v>
      </c>
      <c r="Q2" s="55">
        <f t="shared" si="0"/>
        <v>41489</v>
      </c>
      <c r="R2" s="55">
        <f t="shared" si="0"/>
        <v>41496</v>
      </c>
      <c r="S2" s="55">
        <f t="shared" si="0"/>
        <v>41503</v>
      </c>
      <c r="T2" s="55">
        <f t="shared" si="0"/>
        <v>41510</v>
      </c>
      <c r="U2" s="56"/>
    </row>
    <row r="3" spans="1:27" s="59" customFormat="1" x14ac:dyDescent="0.25">
      <c r="A3" s="57"/>
      <c r="B3" s="57" t="s">
        <v>207</v>
      </c>
      <c r="C3" s="57"/>
      <c r="D3" s="58" t="s">
        <v>43</v>
      </c>
      <c r="E3" s="58" t="s">
        <v>28</v>
      </c>
      <c r="F3" s="58" t="s">
        <v>29</v>
      </c>
      <c r="G3" s="58" t="s">
        <v>30</v>
      </c>
      <c r="H3" s="58" t="s">
        <v>31</v>
      </c>
      <c r="I3" s="58" t="s">
        <v>32</v>
      </c>
      <c r="J3" s="58" t="s">
        <v>33</v>
      </c>
      <c r="K3" s="58" t="s">
        <v>34</v>
      </c>
      <c r="L3" s="58" t="s">
        <v>35</v>
      </c>
      <c r="M3" s="58" t="s">
        <v>36</v>
      </c>
      <c r="N3" s="58" t="s">
        <v>37</v>
      </c>
      <c r="O3" s="58" t="s">
        <v>38</v>
      </c>
      <c r="P3" s="58" t="s">
        <v>39</v>
      </c>
      <c r="Q3" s="58" t="s">
        <v>40</v>
      </c>
      <c r="R3" s="58" t="s">
        <v>41</v>
      </c>
      <c r="S3" s="58" t="s">
        <v>42</v>
      </c>
      <c r="T3" s="58" t="s">
        <v>43</v>
      </c>
    </row>
    <row r="4" spans="1:27" s="59" customFormat="1" x14ac:dyDescent="0.25">
      <c r="A4" s="57"/>
      <c r="B4" s="60"/>
      <c r="C4" s="60" t="s">
        <v>69</v>
      </c>
      <c r="D4" s="61">
        <v>100</v>
      </c>
      <c r="E4" s="61">
        <f>D4+(D11/30)</f>
        <v>116</v>
      </c>
      <c r="F4" s="61">
        <f t="shared" ref="F4:T4" si="1">E4+(E11/30)</f>
        <v>145</v>
      </c>
      <c r="G4" s="61">
        <f t="shared" si="1"/>
        <v>175</v>
      </c>
      <c r="H4" s="61">
        <f t="shared" si="1"/>
        <v>213</v>
      </c>
      <c r="I4" s="61">
        <f t="shared" si="1"/>
        <v>253</v>
      </c>
      <c r="J4" s="61">
        <f t="shared" si="1"/>
        <v>293</v>
      </c>
      <c r="K4" s="61">
        <f t="shared" si="1"/>
        <v>331</v>
      </c>
      <c r="L4" s="61">
        <f t="shared" si="1"/>
        <v>369</v>
      </c>
      <c r="M4" s="61">
        <f t="shared" si="1"/>
        <v>407</v>
      </c>
      <c r="N4" s="61">
        <f t="shared" si="1"/>
        <v>441</v>
      </c>
      <c r="O4" s="61">
        <f t="shared" si="1"/>
        <v>477</v>
      </c>
      <c r="P4" s="61">
        <f t="shared" si="1"/>
        <v>513</v>
      </c>
      <c r="Q4" s="61">
        <f t="shared" si="1"/>
        <v>548</v>
      </c>
      <c r="R4" s="61">
        <f t="shared" si="1"/>
        <v>582</v>
      </c>
      <c r="S4" s="61">
        <f t="shared" si="1"/>
        <v>616</v>
      </c>
      <c r="T4" s="61">
        <f t="shared" si="1"/>
        <v>649</v>
      </c>
    </row>
    <row r="5" spans="1:27" s="66" customFormat="1" ht="18.75" x14ac:dyDescent="0.3">
      <c r="A5" s="62" t="s">
        <v>70</v>
      </c>
      <c r="B5" s="62"/>
      <c r="C5" s="63">
        <v>300000</v>
      </c>
      <c r="D5" s="64">
        <f>C5</f>
        <v>300000</v>
      </c>
      <c r="E5" s="64">
        <f>D24</f>
        <v>221769</v>
      </c>
      <c r="F5" s="64">
        <f t="shared" ref="F5:R5" si="2">E24</f>
        <v>228637</v>
      </c>
      <c r="G5" s="64">
        <f t="shared" si="2"/>
        <v>262234</v>
      </c>
      <c r="H5" s="64">
        <f t="shared" si="2"/>
        <v>254936</v>
      </c>
      <c r="I5" s="64">
        <f t="shared" si="2"/>
        <v>34610</v>
      </c>
      <c r="J5" s="64">
        <f t="shared" si="2"/>
        <v>29601</v>
      </c>
      <c r="K5" s="64">
        <f t="shared" si="2"/>
        <v>90853</v>
      </c>
      <c r="L5" s="64">
        <f t="shared" si="2"/>
        <v>86389</v>
      </c>
      <c r="M5" s="64">
        <f t="shared" si="2"/>
        <v>84173</v>
      </c>
      <c r="N5" s="64">
        <f t="shared" si="2"/>
        <v>175755</v>
      </c>
      <c r="O5" s="64">
        <f t="shared" si="2"/>
        <v>268764</v>
      </c>
      <c r="P5" s="64">
        <f t="shared" si="2"/>
        <v>263632</v>
      </c>
      <c r="Q5" s="64">
        <f t="shared" si="2"/>
        <v>369681</v>
      </c>
      <c r="R5" s="64">
        <f t="shared" si="2"/>
        <v>368941</v>
      </c>
      <c r="S5" s="64">
        <f>R24</f>
        <v>481549</v>
      </c>
      <c r="T5" s="64">
        <f>S24</f>
        <v>150229</v>
      </c>
    </row>
    <row r="6" spans="1:27" x14ac:dyDescent="0.25">
      <c r="A6" s="67" t="s">
        <v>71</v>
      </c>
      <c r="B6" s="67" t="s">
        <v>71</v>
      </c>
      <c r="C6" s="68">
        <f>SUM(D6:T6)</f>
        <v>675050</v>
      </c>
      <c r="D6" s="69">
        <v>2289</v>
      </c>
      <c r="E6" s="69">
        <v>14883</v>
      </c>
      <c r="F6" s="69">
        <f>40746+1126</f>
        <v>41872</v>
      </c>
      <c r="G6" s="69">
        <v>3627</v>
      </c>
      <c r="H6" s="69">
        <f>64840+2104</f>
        <v>66944</v>
      </c>
      <c r="I6" s="69">
        <v>3316</v>
      </c>
      <c r="J6" s="69">
        <v>70327</v>
      </c>
      <c r="K6" s="69">
        <f t="shared" ref="K6:S6" si="3">I6</f>
        <v>3316</v>
      </c>
      <c r="L6" s="69">
        <f>4364</f>
        <v>4364</v>
      </c>
      <c r="M6" s="69">
        <f>96179+4503</f>
        <v>100682</v>
      </c>
      <c r="N6" s="69">
        <f>94822+6126</f>
        <v>100948</v>
      </c>
      <c r="O6" s="69">
        <v>10913</v>
      </c>
      <c r="P6" s="69">
        <f>107579+7405-525</f>
        <v>114459</v>
      </c>
      <c r="Q6" s="69">
        <v>6405</v>
      </c>
      <c r="R6" s="69">
        <f>118643</f>
        <v>118643</v>
      </c>
      <c r="S6" s="69">
        <f t="shared" si="3"/>
        <v>6405</v>
      </c>
      <c r="T6" s="69">
        <v>5657</v>
      </c>
      <c r="Z6" s="67" t="s">
        <v>71</v>
      </c>
      <c r="AA6" s="71">
        <f>C6/$C$13</f>
        <v>0.44858559807979714</v>
      </c>
    </row>
    <row r="7" spans="1:27" x14ac:dyDescent="0.25">
      <c r="A7" s="67" t="s">
        <v>72</v>
      </c>
      <c r="B7" s="67" t="s">
        <v>72</v>
      </c>
      <c r="C7" s="68">
        <f t="shared" ref="C7:C23" si="4">SUM(D7:T7)</f>
        <v>626821</v>
      </c>
      <c r="D7" s="72">
        <v>0</v>
      </c>
      <c r="E7" s="72">
        <v>29975</v>
      </c>
      <c r="F7" s="72">
        <v>31085</v>
      </c>
      <c r="G7" s="72">
        <v>32195</v>
      </c>
      <c r="H7" s="72">
        <v>33490</v>
      </c>
      <c r="I7" s="72">
        <v>34785</v>
      </c>
      <c r="J7" s="72">
        <v>35895</v>
      </c>
      <c r="K7" s="72">
        <v>37190</v>
      </c>
      <c r="L7" s="72">
        <f>K7+1200</f>
        <v>38390</v>
      </c>
      <c r="M7" s="72">
        <f>L7+1200</f>
        <v>39590</v>
      </c>
      <c r="N7" s="72">
        <f>M7+1200-99</f>
        <v>40691</v>
      </c>
      <c r="O7" s="72">
        <v>42185</v>
      </c>
      <c r="P7" s="72">
        <v>43850</v>
      </c>
      <c r="Q7" s="72">
        <v>45145</v>
      </c>
      <c r="R7" s="72">
        <v>46255</v>
      </c>
      <c r="S7" s="72">
        <v>47550</v>
      </c>
      <c r="T7" s="72">
        <f>S7+1000</f>
        <v>48550</v>
      </c>
      <c r="Z7" s="67" t="s">
        <v>72</v>
      </c>
      <c r="AA7" s="71">
        <f t="shared" ref="AA7:AA12" si="5">C7/$C$13</f>
        <v>0.4165363649714488</v>
      </c>
    </row>
    <row r="8" spans="1:27" x14ac:dyDescent="0.25">
      <c r="A8" s="67" t="s">
        <v>73</v>
      </c>
      <c r="B8" s="67" t="s">
        <v>74</v>
      </c>
      <c r="C8" s="68">
        <f t="shared" si="4"/>
        <v>0</v>
      </c>
      <c r="D8" s="69">
        <v>0</v>
      </c>
      <c r="E8" s="69">
        <v>0</v>
      </c>
      <c r="F8" s="69">
        <v>0</v>
      </c>
      <c r="G8" s="69">
        <v>0</v>
      </c>
      <c r="H8" s="69">
        <v>0</v>
      </c>
      <c r="I8" s="69">
        <v>0</v>
      </c>
      <c r="J8" s="69">
        <v>0</v>
      </c>
      <c r="K8" s="69">
        <v>0</v>
      </c>
      <c r="L8" s="69">
        <v>0</v>
      </c>
      <c r="M8" s="69">
        <v>0</v>
      </c>
      <c r="N8" s="69">
        <v>0</v>
      </c>
      <c r="O8" s="69">
        <v>0</v>
      </c>
      <c r="P8" s="69">
        <v>0</v>
      </c>
      <c r="Q8" s="69">
        <v>0</v>
      </c>
      <c r="R8" s="69">
        <v>0</v>
      </c>
      <c r="S8" s="69">
        <v>0</v>
      </c>
      <c r="T8" s="69"/>
      <c r="Z8" s="67" t="s">
        <v>74</v>
      </c>
      <c r="AA8" s="71">
        <f t="shared" si="5"/>
        <v>0</v>
      </c>
    </row>
    <row r="9" spans="1:27" x14ac:dyDescent="0.25">
      <c r="A9" s="67"/>
      <c r="B9" s="67" t="s">
        <v>75</v>
      </c>
      <c r="C9" s="68">
        <f t="shared" si="4"/>
        <v>0</v>
      </c>
      <c r="D9" s="69">
        <v>0</v>
      </c>
      <c r="E9" s="69">
        <v>0</v>
      </c>
      <c r="F9" s="69">
        <v>0</v>
      </c>
      <c r="G9" s="69">
        <v>0</v>
      </c>
      <c r="H9" s="69">
        <v>0</v>
      </c>
      <c r="I9" s="69">
        <v>0</v>
      </c>
      <c r="J9" s="69">
        <v>0</v>
      </c>
      <c r="K9" s="69">
        <v>0</v>
      </c>
      <c r="L9" s="69">
        <v>0</v>
      </c>
      <c r="M9" s="69">
        <v>0</v>
      </c>
      <c r="N9" s="69">
        <v>0</v>
      </c>
      <c r="O9" s="69">
        <v>0</v>
      </c>
      <c r="P9" s="69">
        <v>0</v>
      </c>
      <c r="Q9" s="69">
        <v>0</v>
      </c>
      <c r="R9" s="69">
        <v>0</v>
      </c>
      <c r="S9" s="69">
        <v>0</v>
      </c>
      <c r="T9" s="69"/>
      <c r="Z9" s="67" t="s">
        <v>75</v>
      </c>
      <c r="AA9" s="71">
        <f t="shared" si="5"/>
        <v>0</v>
      </c>
    </row>
    <row r="10" spans="1:27" x14ac:dyDescent="0.25">
      <c r="A10" s="67" t="s">
        <v>76</v>
      </c>
      <c r="B10" s="67" t="s">
        <v>76</v>
      </c>
      <c r="C10" s="68">
        <f t="shared" si="4"/>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T10" s="72"/>
      <c r="Z10" s="67" t="s">
        <v>76</v>
      </c>
      <c r="AA10" s="71">
        <f t="shared" si="5"/>
        <v>0</v>
      </c>
    </row>
    <row r="11" spans="1:27" x14ac:dyDescent="0.25">
      <c r="A11" s="715" t="s">
        <v>77</v>
      </c>
      <c r="B11" s="67" t="s">
        <v>78</v>
      </c>
      <c r="C11" s="68">
        <f t="shared" si="4"/>
        <v>38970</v>
      </c>
      <c r="D11" s="72">
        <v>480</v>
      </c>
      <c r="E11" s="72">
        <v>870</v>
      </c>
      <c r="F11" s="72">
        <f>900</f>
        <v>900</v>
      </c>
      <c r="G11" s="72">
        <f>570*2</f>
        <v>1140</v>
      </c>
      <c r="H11" s="72">
        <v>1200</v>
      </c>
      <c r="I11" s="72">
        <v>1200</v>
      </c>
      <c r="J11" s="72">
        <f>570*2</f>
        <v>1140</v>
      </c>
      <c r="K11" s="72">
        <f t="shared" ref="K11:R11" si="6">J11</f>
        <v>1140</v>
      </c>
      <c r="L11" s="72">
        <f t="shared" si="6"/>
        <v>1140</v>
      </c>
      <c r="M11" s="72">
        <v>1020</v>
      </c>
      <c r="N11" s="72">
        <v>1080</v>
      </c>
      <c r="O11" s="72">
        <v>1080</v>
      </c>
      <c r="P11" s="72">
        <v>1050</v>
      </c>
      <c r="Q11" s="72">
        <v>1020</v>
      </c>
      <c r="R11" s="72">
        <f t="shared" si="6"/>
        <v>1020</v>
      </c>
      <c r="S11" s="72">
        <v>990</v>
      </c>
      <c r="T11" s="72">
        <f>(T4*30)+1950+540+540</f>
        <v>22500</v>
      </c>
      <c r="Z11" s="67" t="s">
        <v>78</v>
      </c>
      <c r="AA11" s="71">
        <f t="shared" si="5"/>
        <v>2.5896423608872964E-2</v>
      </c>
    </row>
    <row r="12" spans="1:27" x14ac:dyDescent="0.25">
      <c r="A12" s="716"/>
      <c r="B12" s="67" t="s">
        <v>79</v>
      </c>
      <c r="C12" s="68">
        <f t="shared" si="4"/>
        <v>164000</v>
      </c>
      <c r="D12" s="72">
        <v>0</v>
      </c>
      <c r="E12" s="72">
        <v>0</v>
      </c>
      <c r="F12" s="72">
        <v>4000</v>
      </c>
      <c r="G12" s="72">
        <v>0</v>
      </c>
      <c r="H12" s="72">
        <v>0</v>
      </c>
      <c r="I12" s="72">
        <v>0</v>
      </c>
      <c r="J12" s="72">
        <v>0</v>
      </c>
      <c r="K12" s="72">
        <v>0</v>
      </c>
      <c r="L12" s="72">
        <v>0</v>
      </c>
      <c r="M12" s="72">
        <v>0</v>
      </c>
      <c r="N12" s="72">
        <v>0</v>
      </c>
      <c r="O12" s="72">
        <v>0</v>
      </c>
      <c r="P12" s="72">
        <v>0</v>
      </c>
      <c r="Q12" s="72">
        <v>0</v>
      </c>
      <c r="R12" s="72">
        <v>0</v>
      </c>
      <c r="S12" s="72">
        <v>10000</v>
      </c>
      <c r="T12" s="72">
        <f>60000+90000</f>
        <v>150000</v>
      </c>
      <c r="Z12" s="67" t="s">
        <v>79</v>
      </c>
      <c r="AA12" s="71">
        <f t="shared" si="5"/>
        <v>0.10898161333988109</v>
      </c>
    </row>
    <row r="13" spans="1:27" s="78" customFormat="1" ht="18.75" x14ac:dyDescent="0.3">
      <c r="A13" s="73" t="s">
        <v>80</v>
      </c>
      <c r="B13" s="74"/>
      <c r="C13" s="75">
        <f t="shared" si="4"/>
        <v>1504841</v>
      </c>
      <c r="D13" s="76">
        <f t="shared" ref="D13:I13" si="7">SUM(D6:D12)</f>
        <v>2769</v>
      </c>
      <c r="E13" s="76">
        <f t="shared" si="7"/>
        <v>45728</v>
      </c>
      <c r="F13" s="76">
        <f t="shared" si="7"/>
        <v>77857</v>
      </c>
      <c r="G13" s="76">
        <f>G12+G11+G10+G9+G8+G7+G6</f>
        <v>36962</v>
      </c>
      <c r="H13" s="76">
        <f t="shared" si="7"/>
        <v>101634</v>
      </c>
      <c r="I13" s="76">
        <f t="shared" si="7"/>
        <v>39301</v>
      </c>
      <c r="J13" s="76">
        <f t="shared" ref="J13:T13" si="8">SUM(J6:J12)</f>
        <v>107362</v>
      </c>
      <c r="K13" s="76">
        <f t="shared" si="8"/>
        <v>41646</v>
      </c>
      <c r="L13" s="76">
        <f t="shared" si="8"/>
        <v>43894</v>
      </c>
      <c r="M13" s="76">
        <f t="shared" si="8"/>
        <v>141292</v>
      </c>
      <c r="N13" s="76">
        <f t="shared" si="8"/>
        <v>142719</v>
      </c>
      <c r="O13" s="76">
        <f t="shared" si="8"/>
        <v>54178</v>
      </c>
      <c r="P13" s="76">
        <f t="shared" si="8"/>
        <v>159359</v>
      </c>
      <c r="Q13" s="76">
        <f t="shared" si="8"/>
        <v>52570</v>
      </c>
      <c r="R13" s="76">
        <f t="shared" si="8"/>
        <v>165918</v>
      </c>
      <c r="S13" s="76">
        <f t="shared" si="8"/>
        <v>64945</v>
      </c>
      <c r="T13" s="76">
        <f t="shared" si="8"/>
        <v>226707</v>
      </c>
      <c r="AA13" s="79">
        <f>SUM(AA6:AA12)</f>
        <v>1</v>
      </c>
    </row>
    <row r="14" spans="1:27" ht="18.75" x14ac:dyDescent="0.3">
      <c r="A14" s="80" t="s">
        <v>81</v>
      </c>
      <c r="B14" s="81" t="str">
        <f>A14</f>
        <v>Sueldos</v>
      </c>
      <c r="C14" s="82">
        <f t="shared" si="4"/>
        <v>98780</v>
      </c>
      <c r="D14" s="83">
        <v>0</v>
      </c>
      <c r="E14" s="83">
        <v>5960</v>
      </c>
      <c r="F14" s="83">
        <f>E14</f>
        <v>5960</v>
      </c>
      <c r="G14" s="83">
        <f t="shared" ref="G14:T14" si="9">F14</f>
        <v>5960</v>
      </c>
      <c r="H14" s="83">
        <f t="shared" si="9"/>
        <v>5960</v>
      </c>
      <c r="I14" s="83">
        <v>6010</v>
      </c>
      <c r="J14" s="83">
        <f t="shared" si="9"/>
        <v>6010</v>
      </c>
      <c r="K14" s="83">
        <f t="shared" si="9"/>
        <v>6010</v>
      </c>
      <c r="L14" s="83">
        <f t="shared" si="9"/>
        <v>6010</v>
      </c>
      <c r="M14" s="83">
        <f t="shared" si="9"/>
        <v>6010</v>
      </c>
      <c r="N14" s="83">
        <f t="shared" si="9"/>
        <v>6010</v>
      </c>
      <c r="O14" s="83">
        <f t="shared" si="9"/>
        <v>6010</v>
      </c>
      <c r="P14" s="83">
        <f t="shared" si="9"/>
        <v>6010</v>
      </c>
      <c r="Q14" s="83">
        <f t="shared" si="9"/>
        <v>6010</v>
      </c>
      <c r="R14" s="83">
        <f t="shared" si="9"/>
        <v>6010</v>
      </c>
      <c r="S14" s="83">
        <v>7420</v>
      </c>
      <c r="T14" s="83">
        <f t="shared" si="9"/>
        <v>7420</v>
      </c>
      <c r="Z14" s="717">
        <f>C13</f>
        <v>1504841</v>
      </c>
      <c r="AA14" s="718"/>
    </row>
    <row r="15" spans="1:27" x14ac:dyDescent="0.25">
      <c r="A15" s="80" t="s">
        <v>82</v>
      </c>
      <c r="B15" s="81" t="str">
        <f>A15</f>
        <v xml:space="preserve">Mantenimiento </v>
      </c>
      <c r="C15" s="82">
        <f t="shared" si="4"/>
        <v>119600</v>
      </c>
      <c r="D15" s="83">
        <v>0</v>
      </c>
      <c r="E15" s="83">
        <v>7100</v>
      </c>
      <c r="F15" s="83">
        <v>7500</v>
      </c>
      <c r="G15" s="83">
        <f t="shared" ref="G15:T15" si="10">F15</f>
        <v>7500</v>
      </c>
      <c r="H15" s="83">
        <f t="shared" si="10"/>
        <v>7500</v>
      </c>
      <c r="I15" s="83">
        <f t="shared" si="10"/>
        <v>7500</v>
      </c>
      <c r="J15" s="83">
        <f t="shared" si="10"/>
        <v>7500</v>
      </c>
      <c r="K15" s="83">
        <f t="shared" si="10"/>
        <v>7500</v>
      </c>
      <c r="L15" s="83">
        <f t="shared" si="10"/>
        <v>7500</v>
      </c>
      <c r="M15" s="83">
        <f t="shared" si="10"/>
        <v>7500</v>
      </c>
      <c r="N15" s="83">
        <f t="shared" si="10"/>
        <v>7500</v>
      </c>
      <c r="O15" s="83">
        <f t="shared" si="10"/>
        <v>7500</v>
      </c>
      <c r="P15" s="83">
        <f t="shared" si="10"/>
        <v>7500</v>
      </c>
      <c r="Q15" s="83">
        <f t="shared" si="10"/>
        <v>7500</v>
      </c>
      <c r="R15" s="83">
        <f t="shared" si="10"/>
        <v>7500</v>
      </c>
      <c r="S15" s="83">
        <f t="shared" si="10"/>
        <v>7500</v>
      </c>
      <c r="T15" s="83">
        <f t="shared" si="10"/>
        <v>7500</v>
      </c>
    </row>
    <row r="16" spans="1:27" ht="30" x14ac:dyDescent="0.25">
      <c r="A16" s="80" t="s">
        <v>83</v>
      </c>
      <c r="B16" s="81" t="s">
        <v>84</v>
      </c>
      <c r="C16" s="82">
        <f t="shared" si="4"/>
        <v>396545</v>
      </c>
      <c r="D16" s="83">
        <v>55000</v>
      </c>
      <c r="E16" s="83">
        <v>0</v>
      </c>
      <c r="F16" s="83">
        <v>0</v>
      </c>
      <c r="G16" s="83">
        <v>0</v>
      </c>
      <c r="H16" s="83">
        <v>0</v>
      </c>
      <c r="I16" s="83">
        <v>0</v>
      </c>
      <c r="J16" s="83">
        <v>0</v>
      </c>
      <c r="K16" s="83">
        <v>0</v>
      </c>
      <c r="L16" s="83">
        <v>0</v>
      </c>
      <c r="M16" s="83">
        <v>0</v>
      </c>
      <c r="N16" s="83">
        <v>0</v>
      </c>
      <c r="O16" s="83">
        <v>0</v>
      </c>
      <c r="P16" s="83">
        <v>0</v>
      </c>
      <c r="Q16" s="83">
        <v>0</v>
      </c>
      <c r="R16" s="83">
        <v>0</v>
      </c>
      <c r="S16" s="83">
        <v>341545</v>
      </c>
      <c r="T16" s="83">
        <v>0</v>
      </c>
    </row>
    <row r="17" spans="1:27" x14ac:dyDescent="0.25">
      <c r="A17" s="80" t="s">
        <v>85</v>
      </c>
      <c r="B17" s="81" t="str">
        <f>A17</f>
        <v>Empleados</v>
      </c>
      <c r="C17" s="82">
        <f t="shared" si="4"/>
        <v>243000</v>
      </c>
      <c r="D17" s="83">
        <v>0</v>
      </c>
      <c r="E17" s="83">
        <v>10800</v>
      </c>
      <c r="F17" s="83">
        <f>E17</f>
        <v>10800</v>
      </c>
      <c r="G17" s="83">
        <f t="shared" ref="G17:T17" si="11">F17</f>
        <v>10800</v>
      </c>
      <c r="H17" s="83">
        <f t="shared" si="11"/>
        <v>10800</v>
      </c>
      <c r="I17" s="83">
        <f t="shared" si="11"/>
        <v>10800</v>
      </c>
      <c r="J17" s="83">
        <f>I17+1800</f>
        <v>12600</v>
      </c>
      <c r="K17" s="83">
        <f t="shared" si="11"/>
        <v>12600</v>
      </c>
      <c r="L17" s="83">
        <f t="shared" si="11"/>
        <v>12600</v>
      </c>
      <c r="M17" s="83">
        <v>16200</v>
      </c>
      <c r="N17" s="83">
        <v>16200</v>
      </c>
      <c r="O17" s="83">
        <v>19800</v>
      </c>
      <c r="P17" s="83">
        <f t="shared" si="11"/>
        <v>19800</v>
      </c>
      <c r="Q17" s="83">
        <f t="shared" si="11"/>
        <v>19800</v>
      </c>
      <c r="R17" s="83">
        <f t="shared" si="11"/>
        <v>19800</v>
      </c>
      <c r="S17" s="83">
        <f t="shared" si="11"/>
        <v>19800</v>
      </c>
      <c r="T17" s="83">
        <f t="shared" si="11"/>
        <v>19800</v>
      </c>
    </row>
    <row r="18" spans="1:27" x14ac:dyDescent="0.25">
      <c r="A18" s="80" t="s">
        <v>86</v>
      </c>
      <c r="B18" s="81" t="str">
        <f>A18</f>
        <v>Juveniles</v>
      </c>
      <c r="C18" s="82">
        <f t="shared" si="4"/>
        <v>330000</v>
      </c>
      <c r="D18" s="83">
        <v>15000</v>
      </c>
      <c r="E18" s="83">
        <v>15000</v>
      </c>
      <c r="F18" s="83">
        <v>20000</v>
      </c>
      <c r="G18" s="83">
        <f t="shared" ref="G18:T18" si="12">F18</f>
        <v>20000</v>
      </c>
      <c r="H18" s="83">
        <f t="shared" si="12"/>
        <v>20000</v>
      </c>
      <c r="I18" s="83">
        <f t="shared" si="12"/>
        <v>20000</v>
      </c>
      <c r="J18" s="83">
        <f t="shared" si="12"/>
        <v>20000</v>
      </c>
      <c r="K18" s="83">
        <f t="shared" si="12"/>
        <v>20000</v>
      </c>
      <c r="L18" s="83">
        <f t="shared" si="12"/>
        <v>20000</v>
      </c>
      <c r="M18" s="83">
        <f t="shared" si="12"/>
        <v>20000</v>
      </c>
      <c r="N18" s="83">
        <f t="shared" si="12"/>
        <v>20000</v>
      </c>
      <c r="O18" s="83">
        <f t="shared" si="12"/>
        <v>20000</v>
      </c>
      <c r="P18" s="83">
        <f t="shared" si="12"/>
        <v>20000</v>
      </c>
      <c r="Q18" s="83">
        <f t="shared" si="12"/>
        <v>20000</v>
      </c>
      <c r="R18" s="83">
        <f t="shared" si="12"/>
        <v>20000</v>
      </c>
      <c r="S18" s="83">
        <f t="shared" si="12"/>
        <v>20000</v>
      </c>
      <c r="T18" s="83">
        <f t="shared" si="12"/>
        <v>20000</v>
      </c>
    </row>
    <row r="19" spans="1:27" x14ac:dyDescent="0.25">
      <c r="A19" s="80" t="s">
        <v>87</v>
      </c>
      <c r="B19" s="81" t="s">
        <v>88</v>
      </c>
      <c r="C19" s="82">
        <f t="shared" si="4"/>
        <v>0</v>
      </c>
      <c r="D19" s="83">
        <v>0</v>
      </c>
      <c r="E19" s="83">
        <v>0</v>
      </c>
      <c r="F19" s="83">
        <v>0</v>
      </c>
      <c r="G19" s="83">
        <v>0</v>
      </c>
      <c r="H19" s="83">
        <v>0</v>
      </c>
      <c r="I19" s="83">
        <v>0</v>
      </c>
      <c r="J19" s="83">
        <v>0</v>
      </c>
      <c r="K19" s="83">
        <v>0</v>
      </c>
      <c r="L19" s="83">
        <v>0</v>
      </c>
      <c r="M19" s="83">
        <v>0</v>
      </c>
      <c r="N19" s="83">
        <v>0</v>
      </c>
      <c r="O19" s="83">
        <v>0</v>
      </c>
      <c r="P19" s="83">
        <v>0</v>
      </c>
      <c r="Q19" s="83">
        <v>0</v>
      </c>
      <c r="R19" s="83">
        <v>0</v>
      </c>
      <c r="S19" s="83">
        <v>0</v>
      </c>
      <c r="T19" s="83"/>
    </row>
    <row r="20" spans="1:27" x14ac:dyDescent="0.25">
      <c r="A20" s="84" t="s">
        <v>77</v>
      </c>
      <c r="B20" s="81" t="s">
        <v>67</v>
      </c>
      <c r="C20" s="82">
        <f t="shared" si="4"/>
        <v>268700</v>
      </c>
      <c r="D20" s="83">
        <v>0</v>
      </c>
      <c r="E20" s="83">
        <v>0</v>
      </c>
      <c r="F20" s="83">
        <v>0</v>
      </c>
      <c r="G20" s="83">
        <v>0</v>
      </c>
      <c r="H20" s="83">
        <v>268700</v>
      </c>
      <c r="I20" s="83">
        <v>0</v>
      </c>
      <c r="J20" s="83">
        <v>0</v>
      </c>
      <c r="K20" s="83">
        <v>0</v>
      </c>
      <c r="L20" s="83">
        <v>0</v>
      </c>
      <c r="M20" s="83">
        <v>0</v>
      </c>
      <c r="N20" s="83">
        <v>0</v>
      </c>
      <c r="O20" s="83">
        <v>0</v>
      </c>
      <c r="P20" s="83">
        <v>0</v>
      </c>
      <c r="Q20" s="83">
        <v>0</v>
      </c>
      <c r="R20" s="83">
        <v>0</v>
      </c>
      <c r="S20" s="83">
        <v>0</v>
      </c>
      <c r="T20" s="83"/>
    </row>
    <row r="21" spans="1:27" x14ac:dyDescent="0.25">
      <c r="A21" s="84"/>
      <c r="B21" s="81" t="s">
        <v>89</v>
      </c>
      <c r="C21" s="82">
        <f t="shared" si="4"/>
        <v>26000</v>
      </c>
      <c r="D21" s="83">
        <v>11000</v>
      </c>
      <c r="E21" s="83">
        <v>0</v>
      </c>
      <c r="F21" s="83">
        <v>0</v>
      </c>
      <c r="G21" s="83">
        <f t="shared" ref="G21:T21" si="13">F21</f>
        <v>0</v>
      </c>
      <c r="H21" s="83">
        <f>3000+6000</f>
        <v>9000</v>
      </c>
      <c r="I21" s="83">
        <v>0</v>
      </c>
      <c r="J21" s="83">
        <f t="shared" si="13"/>
        <v>0</v>
      </c>
      <c r="K21" s="83">
        <f t="shared" si="13"/>
        <v>0</v>
      </c>
      <c r="L21" s="83">
        <f t="shared" si="13"/>
        <v>0</v>
      </c>
      <c r="M21" s="83">
        <f t="shared" si="13"/>
        <v>0</v>
      </c>
      <c r="N21" s="83">
        <f t="shared" si="13"/>
        <v>0</v>
      </c>
      <c r="O21" s="83">
        <v>6000</v>
      </c>
      <c r="P21" s="83">
        <v>0</v>
      </c>
      <c r="Q21" s="83">
        <v>0</v>
      </c>
      <c r="R21" s="83">
        <f t="shared" si="13"/>
        <v>0</v>
      </c>
      <c r="S21" s="83">
        <f t="shared" si="13"/>
        <v>0</v>
      </c>
      <c r="T21" s="83">
        <f t="shared" si="13"/>
        <v>0</v>
      </c>
    </row>
    <row r="22" spans="1:27" x14ac:dyDescent="0.25">
      <c r="A22" s="80" t="s">
        <v>90</v>
      </c>
      <c r="B22" s="81" t="str">
        <f>A22</f>
        <v>Intereses</v>
      </c>
      <c r="C22" s="82">
        <f t="shared" si="4"/>
        <v>0</v>
      </c>
      <c r="D22" s="83">
        <v>0</v>
      </c>
      <c r="E22" s="83">
        <v>0</v>
      </c>
      <c r="F22" s="83">
        <v>0</v>
      </c>
      <c r="G22" s="83">
        <v>0</v>
      </c>
      <c r="H22" s="83">
        <v>0</v>
      </c>
      <c r="I22" s="83">
        <v>0</v>
      </c>
      <c r="J22" s="83">
        <v>0</v>
      </c>
      <c r="K22" s="83">
        <v>0</v>
      </c>
      <c r="L22" s="83">
        <v>0</v>
      </c>
      <c r="M22" s="83">
        <v>0</v>
      </c>
      <c r="N22" s="83">
        <v>0</v>
      </c>
      <c r="O22" s="83">
        <v>0</v>
      </c>
      <c r="P22" s="83">
        <v>0</v>
      </c>
      <c r="Q22" s="83">
        <v>0</v>
      </c>
      <c r="R22" s="83">
        <v>0</v>
      </c>
      <c r="S22" s="83">
        <v>0</v>
      </c>
      <c r="T22" s="83"/>
    </row>
    <row r="23" spans="1:27" s="90" customFormat="1" ht="18.75" x14ac:dyDescent="0.3">
      <c r="A23" s="85" t="s">
        <v>91</v>
      </c>
      <c r="B23" s="86"/>
      <c r="C23" s="87">
        <f t="shared" si="4"/>
        <v>1482625</v>
      </c>
      <c r="D23" s="88">
        <f t="shared" ref="D23:T23" si="14">SUM(D14:D22)</f>
        <v>81000</v>
      </c>
      <c r="E23" s="88">
        <f t="shared" si="14"/>
        <v>38860</v>
      </c>
      <c r="F23" s="88">
        <f t="shared" si="14"/>
        <v>44260</v>
      </c>
      <c r="G23" s="88">
        <f t="shared" si="14"/>
        <v>44260</v>
      </c>
      <c r="H23" s="88">
        <f t="shared" si="14"/>
        <v>321960</v>
      </c>
      <c r="I23" s="88">
        <f t="shared" si="14"/>
        <v>44310</v>
      </c>
      <c r="J23" s="88">
        <f t="shared" si="14"/>
        <v>46110</v>
      </c>
      <c r="K23" s="88">
        <f t="shared" si="14"/>
        <v>46110</v>
      </c>
      <c r="L23" s="88">
        <f t="shared" si="14"/>
        <v>46110</v>
      </c>
      <c r="M23" s="88">
        <f t="shared" si="14"/>
        <v>49710</v>
      </c>
      <c r="N23" s="88">
        <f t="shared" si="14"/>
        <v>49710</v>
      </c>
      <c r="O23" s="88">
        <f t="shared" si="14"/>
        <v>59310</v>
      </c>
      <c r="P23" s="88">
        <f t="shared" si="14"/>
        <v>53310</v>
      </c>
      <c r="Q23" s="88">
        <f t="shared" si="14"/>
        <v>53310</v>
      </c>
      <c r="R23" s="88">
        <f t="shared" si="14"/>
        <v>53310</v>
      </c>
      <c r="S23" s="88">
        <f t="shared" si="14"/>
        <v>396265</v>
      </c>
      <c r="T23" s="88">
        <f t="shared" si="14"/>
        <v>54720</v>
      </c>
      <c r="Z23" s="81" t="s">
        <v>81</v>
      </c>
      <c r="AA23" s="91">
        <f>C14/$C$23</f>
        <v>6.6625073771182874E-2</v>
      </c>
    </row>
    <row r="24" spans="1:27" s="66" customFormat="1" ht="18.75" x14ac:dyDescent="0.3">
      <c r="A24" s="92" t="s">
        <v>92</v>
      </c>
      <c r="B24" s="92"/>
      <c r="C24" s="64">
        <f>C5+C13-C23</f>
        <v>322216</v>
      </c>
      <c r="D24" s="64">
        <f t="shared" ref="D24:T24" si="15">D5+D13-D23</f>
        <v>221769</v>
      </c>
      <c r="E24" s="64">
        <f t="shared" si="15"/>
        <v>228637</v>
      </c>
      <c r="F24" s="64">
        <f t="shared" si="15"/>
        <v>262234</v>
      </c>
      <c r="G24" s="64">
        <f t="shared" si="15"/>
        <v>254936</v>
      </c>
      <c r="H24" s="64">
        <f t="shared" si="15"/>
        <v>34610</v>
      </c>
      <c r="I24" s="64">
        <f t="shared" si="15"/>
        <v>29601</v>
      </c>
      <c r="J24" s="64">
        <f t="shared" si="15"/>
        <v>90853</v>
      </c>
      <c r="K24" s="64">
        <f t="shared" si="15"/>
        <v>86389</v>
      </c>
      <c r="L24" s="64">
        <f t="shared" si="15"/>
        <v>84173</v>
      </c>
      <c r="M24" s="64">
        <f t="shared" si="15"/>
        <v>175755</v>
      </c>
      <c r="N24" s="64">
        <f t="shared" si="15"/>
        <v>268764</v>
      </c>
      <c r="O24" s="64">
        <f t="shared" si="15"/>
        <v>263632</v>
      </c>
      <c r="P24" s="64">
        <f t="shared" si="15"/>
        <v>369681</v>
      </c>
      <c r="Q24" s="64">
        <f t="shared" si="15"/>
        <v>368941</v>
      </c>
      <c r="R24" s="64">
        <f t="shared" si="15"/>
        <v>481549</v>
      </c>
      <c r="S24" s="64">
        <f t="shared" si="15"/>
        <v>150229</v>
      </c>
      <c r="T24" s="64">
        <f t="shared" si="15"/>
        <v>322216</v>
      </c>
      <c r="Z24" s="81" t="s">
        <v>82</v>
      </c>
      <c r="AA24" s="91">
        <f t="shared" ref="AA24:AA31" si="16">C15/$C$23</f>
        <v>8.0667734592361526E-2</v>
      </c>
    </row>
    <row r="25" spans="1:27" s="53" customFormat="1" x14ac:dyDescent="0.25">
      <c r="A25" s="93"/>
      <c r="B25" s="93"/>
      <c r="C25" s="93"/>
      <c r="D25" s="94">
        <f>D2+6</f>
        <v>41404</v>
      </c>
      <c r="E25" s="94">
        <f>D25+7</f>
        <v>41411</v>
      </c>
      <c r="F25" s="94">
        <f t="shared" ref="F25:T25" si="17">E25+7</f>
        <v>41418</v>
      </c>
      <c r="G25" s="94">
        <f t="shared" si="17"/>
        <v>41425</v>
      </c>
      <c r="H25" s="94">
        <f t="shared" si="17"/>
        <v>41432</v>
      </c>
      <c r="I25" s="94">
        <f t="shared" si="17"/>
        <v>41439</v>
      </c>
      <c r="J25" s="94">
        <f t="shared" si="17"/>
        <v>41446</v>
      </c>
      <c r="K25" s="94">
        <f t="shared" si="17"/>
        <v>41453</v>
      </c>
      <c r="L25" s="94">
        <f t="shared" si="17"/>
        <v>41460</v>
      </c>
      <c r="M25" s="94">
        <f t="shared" si="17"/>
        <v>41467</v>
      </c>
      <c r="N25" s="94">
        <f t="shared" si="17"/>
        <v>41474</v>
      </c>
      <c r="O25" s="94">
        <f t="shared" si="17"/>
        <v>41481</v>
      </c>
      <c r="P25" s="94">
        <f t="shared" si="17"/>
        <v>41488</v>
      </c>
      <c r="Q25" s="94">
        <f t="shared" si="17"/>
        <v>41495</v>
      </c>
      <c r="R25" s="94">
        <f t="shared" si="17"/>
        <v>41502</v>
      </c>
      <c r="S25" s="94">
        <f t="shared" si="17"/>
        <v>41509</v>
      </c>
      <c r="T25" s="95">
        <f t="shared" si="17"/>
        <v>41516</v>
      </c>
      <c r="Z25" s="81" t="s">
        <v>84</v>
      </c>
      <c r="AA25" s="91">
        <f t="shared" si="16"/>
        <v>0.26746142821010033</v>
      </c>
    </row>
    <row r="26" spans="1:27" s="53" customFormat="1" x14ac:dyDescent="0.25">
      <c r="A26" s="719" t="s">
        <v>93</v>
      </c>
      <c r="B26" s="719"/>
      <c r="C26" s="96">
        <f>C6+C7+C11</f>
        <v>1340841</v>
      </c>
      <c r="D26" s="96">
        <f t="shared" ref="D26:T26" si="18">D6+D7+D11</f>
        <v>2769</v>
      </c>
      <c r="E26" s="96">
        <f t="shared" si="18"/>
        <v>45728</v>
      </c>
      <c r="F26" s="96">
        <f t="shared" si="18"/>
        <v>73857</v>
      </c>
      <c r="G26" s="96">
        <f t="shared" si="18"/>
        <v>36962</v>
      </c>
      <c r="H26" s="96">
        <f t="shared" si="18"/>
        <v>101634</v>
      </c>
      <c r="I26" s="96">
        <f t="shared" si="18"/>
        <v>39301</v>
      </c>
      <c r="J26" s="96">
        <f t="shared" si="18"/>
        <v>107362</v>
      </c>
      <c r="K26" s="96">
        <f t="shared" si="18"/>
        <v>41646</v>
      </c>
      <c r="L26" s="96">
        <f t="shared" si="18"/>
        <v>43894</v>
      </c>
      <c r="M26" s="96">
        <f t="shared" si="18"/>
        <v>141292</v>
      </c>
      <c r="N26" s="96">
        <f t="shared" si="18"/>
        <v>142719</v>
      </c>
      <c r="O26" s="96">
        <f t="shared" si="18"/>
        <v>54178</v>
      </c>
      <c r="P26" s="96">
        <f t="shared" si="18"/>
        <v>159359</v>
      </c>
      <c r="Q26" s="96">
        <f t="shared" si="18"/>
        <v>52570</v>
      </c>
      <c r="R26" s="96">
        <f t="shared" si="18"/>
        <v>165918</v>
      </c>
      <c r="S26" s="96">
        <f>S6+S7+S11</f>
        <v>54945</v>
      </c>
      <c r="T26" s="96">
        <f t="shared" si="18"/>
        <v>76707</v>
      </c>
      <c r="U26" s="97"/>
      <c r="Z26" s="81" t="s">
        <v>85</v>
      </c>
      <c r="AA26" s="91">
        <f t="shared" si="16"/>
        <v>0.16389849085237332</v>
      </c>
    </row>
    <row r="27" spans="1:27" s="53" customFormat="1" x14ac:dyDescent="0.25">
      <c r="A27" s="710" t="s">
        <v>94</v>
      </c>
      <c r="B27" s="710"/>
      <c r="C27" s="98">
        <f>C14+C15+C17+C18+C21</f>
        <v>817380</v>
      </c>
      <c r="D27" s="98">
        <f t="shared" ref="D27:T27" si="19">D14+D15+D17+D18+D21</f>
        <v>26000</v>
      </c>
      <c r="E27" s="98">
        <f t="shared" si="19"/>
        <v>38860</v>
      </c>
      <c r="F27" s="98">
        <f t="shared" si="19"/>
        <v>44260</v>
      </c>
      <c r="G27" s="98">
        <f t="shared" si="19"/>
        <v>44260</v>
      </c>
      <c r="H27" s="98">
        <f t="shared" si="19"/>
        <v>53260</v>
      </c>
      <c r="I27" s="98">
        <f t="shared" si="19"/>
        <v>44310</v>
      </c>
      <c r="J27" s="98">
        <f t="shared" si="19"/>
        <v>46110</v>
      </c>
      <c r="K27" s="98">
        <f t="shared" si="19"/>
        <v>46110</v>
      </c>
      <c r="L27" s="98">
        <f t="shared" si="19"/>
        <v>46110</v>
      </c>
      <c r="M27" s="98">
        <f t="shared" si="19"/>
        <v>49710</v>
      </c>
      <c r="N27" s="98">
        <f t="shared" si="19"/>
        <v>49710</v>
      </c>
      <c r="O27" s="98">
        <f t="shared" si="19"/>
        <v>59310</v>
      </c>
      <c r="P27" s="98">
        <f t="shared" si="19"/>
        <v>53310</v>
      </c>
      <c r="Q27" s="98">
        <f t="shared" si="19"/>
        <v>53310</v>
      </c>
      <c r="R27" s="98">
        <f t="shared" si="19"/>
        <v>53310</v>
      </c>
      <c r="S27" s="98">
        <f>S14+S15+S17+S18+S21</f>
        <v>54720</v>
      </c>
      <c r="T27" s="98">
        <f t="shared" si="19"/>
        <v>54720</v>
      </c>
      <c r="U27" s="99"/>
      <c r="Z27" s="81" t="s">
        <v>86</v>
      </c>
      <c r="AA27" s="91">
        <f t="shared" si="16"/>
        <v>0.2225781974538403</v>
      </c>
    </row>
    <row r="28" spans="1:27" x14ac:dyDescent="0.25">
      <c r="A28" s="711" t="s">
        <v>95</v>
      </c>
      <c r="B28" s="711"/>
      <c r="C28" s="100">
        <f>C26-C27</f>
        <v>523461</v>
      </c>
      <c r="D28" s="100">
        <f t="shared" ref="D28:T28" si="20">D26-D27</f>
        <v>-23231</v>
      </c>
      <c r="E28" s="100">
        <f t="shared" si="20"/>
        <v>6868</v>
      </c>
      <c r="F28" s="100">
        <f t="shared" si="20"/>
        <v>29597</v>
      </c>
      <c r="G28" s="100">
        <f t="shared" si="20"/>
        <v>-7298</v>
      </c>
      <c r="H28" s="100">
        <f t="shared" si="20"/>
        <v>48374</v>
      </c>
      <c r="I28" s="100">
        <f t="shared" si="20"/>
        <v>-5009</v>
      </c>
      <c r="J28" s="100">
        <f t="shared" si="20"/>
        <v>61252</v>
      </c>
      <c r="K28" s="100">
        <f t="shared" si="20"/>
        <v>-4464</v>
      </c>
      <c r="L28" s="100">
        <f t="shared" si="20"/>
        <v>-2216</v>
      </c>
      <c r="M28" s="100">
        <f t="shared" si="20"/>
        <v>91582</v>
      </c>
      <c r="N28" s="100">
        <f t="shared" si="20"/>
        <v>93009</v>
      </c>
      <c r="O28" s="100">
        <f t="shared" si="20"/>
        <v>-5132</v>
      </c>
      <c r="P28" s="100">
        <f t="shared" si="20"/>
        <v>106049</v>
      </c>
      <c r="Q28" s="100">
        <f t="shared" si="20"/>
        <v>-740</v>
      </c>
      <c r="R28" s="100">
        <f t="shared" si="20"/>
        <v>112608</v>
      </c>
      <c r="S28" s="100">
        <f>S26-S27</f>
        <v>225</v>
      </c>
      <c r="T28" s="100">
        <f t="shared" si="20"/>
        <v>21987</v>
      </c>
      <c r="U28" s="101"/>
      <c r="Z28" s="81" t="s">
        <v>88</v>
      </c>
      <c r="AA28" s="91">
        <f t="shared" si="16"/>
        <v>0</v>
      </c>
    </row>
    <row r="29" spans="1:27" x14ac:dyDescent="0.25">
      <c r="A29" s="719" t="s">
        <v>96</v>
      </c>
      <c r="B29" s="719"/>
      <c r="C29" s="96">
        <f>C8+C9+C10+C12</f>
        <v>164000</v>
      </c>
      <c r="D29" s="96">
        <f t="shared" ref="D29:T29" si="21">D8+D9+D10+D12</f>
        <v>0</v>
      </c>
      <c r="E29" s="96">
        <f t="shared" si="21"/>
        <v>0</v>
      </c>
      <c r="F29" s="96">
        <f t="shared" si="21"/>
        <v>4000</v>
      </c>
      <c r="G29" s="96">
        <f t="shared" si="21"/>
        <v>0</v>
      </c>
      <c r="H29" s="96">
        <f t="shared" si="21"/>
        <v>0</v>
      </c>
      <c r="I29" s="96">
        <f t="shared" si="21"/>
        <v>0</v>
      </c>
      <c r="J29" s="96">
        <f t="shared" si="21"/>
        <v>0</v>
      </c>
      <c r="K29" s="96">
        <f t="shared" si="21"/>
        <v>0</v>
      </c>
      <c r="L29" s="96">
        <f t="shared" si="21"/>
        <v>0</v>
      </c>
      <c r="M29" s="96">
        <f t="shared" si="21"/>
        <v>0</v>
      </c>
      <c r="N29" s="96">
        <f t="shared" si="21"/>
        <v>0</v>
      </c>
      <c r="O29" s="96">
        <f t="shared" si="21"/>
        <v>0</v>
      </c>
      <c r="P29" s="96">
        <f t="shared" si="21"/>
        <v>0</v>
      </c>
      <c r="Q29" s="96">
        <f t="shared" si="21"/>
        <v>0</v>
      </c>
      <c r="R29" s="96">
        <f t="shared" si="21"/>
        <v>0</v>
      </c>
      <c r="S29" s="96">
        <f>S8+S9+S10+S12</f>
        <v>10000</v>
      </c>
      <c r="T29" s="96">
        <f t="shared" si="21"/>
        <v>150000</v>
      </c>
      <c r="U29" s="101"/>
      <c r="Z29" s="81" t="s">
        <v>67</v>
      </c>
      <c r="AA29" s="91">
        <f t="shared" si="16"/>
        <v>0.18123261107832392</v>
      </c>
    </row>
    <row r="30" spans="1:27" s="59" customFormat="1" x14ac:dyDescent="0.25">
      <c r="A30" s="710" t="s">
        <v>97</v>
      </c>
      <c r="B30" s="710"/>
      <c r="C30" s="98">
        <f>C16+C19+C20+C22</f>
        <v>665245</v>
      </c>
      <c r="D30" s="98">
        <f t="shared" ref="D30:T30" si="22">D16+D19+D20+D22</f>
        <v>55000</v>
      </c>
      <c r="E30" s="98">
        <f t="shared" si="22"/>
        <v>0</v>
      </c>
      <c r="F30" s="98">
        <f t="shared" si="22"/>
        <v>0</v>
      </c>
      <c r="G30" s="98">
        <f t="shared" si="22"/>
        <v>0</v>
      </c>
      <c r="H30" s="98">
        <f t="shared" si="22"/>
        <v>268700</v>
      </c>
      <c r="I30" s="98">
        <f t="shared" si="22"/>
        <v>0</v>
      </c>
      <c r="J30" s="98">
        <f t="shared" si="22"/>
        <v>0</v>
      </c>
      <c r="K30" s="98">
        <f t="shared" si="22"/>
        <v>0</v>
      </c>
      <c r="L30" s="98">
        <f t="shared" si="22"/>
        <v>0</v>
      </c>
      <c r="M30" s="98">
        <f t="shared" si="22"/>
        <v>0</v>
      </c>
      <c r="N30" s="98">
        <f t="shared" si="22"/>
        <v>0</v>
      </c>
      <c r="O30" s="98">
        <f t="shared" si="22"/>
        <v>0</v>
      </c>
      <c r="P30" s="98">
        <f t="shared" si="22"/>
        <v>0</v>
      </c>
      <c r="Q30" s="98">
        <f t="shared" si="22"/>
        <v>0</v>
      </c>
      <c r="R30" s="98">
        <f t="shared" si="22"/>
        <v>0</v>
      </c>
      <c r="S30" s="98">
        <f>S16+S19+S20+S22</f>
        <v>341545</v>
      </c>
      <c r="T30" s="98">
        <f t="shared" si="22"/>
        <v>0</v>
      </c>
      <c r="Z30" s="81" t="s">
        <v>89</v>
      </c>
      <c r="AA30" s="91">
        <f t="shared" si="16"/>
        <v>1.7536464041817721E-2</v>
      </c>
    </row>
    <row r="31" spans="1:27" s="59" customFormat="1" x14ac:dyDescent="0.25">
      <c r="A31" s="711" t="s">
        <v>98</v>
      </c>
      <c r="B31" s="711"/>
      <c r="C31" s="100">
        <f>C29-C30</f>
        <v>-501245</v>
      </c>
      <c r="D31" s="100">
        <f t="shared" ref="D31:T31" si="23">D29-D30</f>
        <v>-55000</v>
      </c>
      <c r="E31" s="100">
        <f t="shared" si="23"/>
        <v>0</v>
      </c>
      <c r="F31" s="100">
        <f t="shared" si="23"/>
        <v>4000</v>
      </c>
      <c r="G31" s="100">
        <f t="shared" si="23"/>
        <v>0</v>
      </c>
      <c r="H31" s="100">
        <f t="shared" si="23"/>
        <v>-268700</v>
      </c>
      <c r="I31" s="100">
        <f t="shared" si="23"/>
        <v>0</v>
      </c>
      <c r="J31" s="100">
        <f t="shared" si="23"/>
        <v>0</v>
      </c>
      <c r="K31" s="100">
        <f t="shared" si="23"/>
        <v>0</v>
      </c>
      <c r="L31" s="100">
        <f t="shared" si="23"/>
        <v>0</v>
      </c>
      <c r="M31" s="100">
        <f t="shared" si="23"/>
        <v>0</v>
      </c>
      <c r="N31" s="100">
        <f t="shared" si="23"/>
        <v>0</v>
      </c>
      <c r="O31" s="100">
        <f t="shared" si="23"/>
        <v>0</v>
      </c>
      <c r="P31" s="100">
        <f t="shared" si="23"/>
        <v>0</v>
      </c>
      <c r="Q31" s="100">
        <f t="shared" si="23"/>
        <v>0</v>
      </c>
      <c r="R31" s="100">
        <f t="shared" si="23"/>
        <v>0</v>
      </c>
      <c r="S31" s="100">
        <f>S29-S30</f>
        <v>-331545</v>
      </c>
      <c r="T31" s="100">
        <f t="shared" si="23"/>
        <v>150000</v>
      </c>
      <c r="Z31" s="81" t="s">
        <v>90</v>
      </c>
      <c r="AA31" s="91">
        <f t="shared" si="16"/>
        <v>0</v>
      </c>
    </row>
    <row r="32" spans="1:27" s="59" customFormat="1" ht="11.25" customHeight="1" x14ac:dyDescent="0.3">
      <c r="A32" s="101"/>
      <c r="B32" s="101"/>
      <c r="C32" s="101"/>
      <c r="D32" s="101"/>
      <c r="E32" s="101"/>
      <c r="F32" s="101"/>
      <c r="G32" s="101"/>
      <c r="H32" s="101"/>
      <c r="I32" s="101"/>
      <c r="J32" s="101"/>
      <c r="K32" s="101"/>
      <c r="L32" s="101"/>
      <c r="M32" s="101"/>
      <c r="N32" s="101"/>
      <c r="O32" s="101"/>
      <c r="P32" s="101"/>
      <c r="Q32" s="101"/>
      <c r="R32" s="101"/>
      <c r="S32" s="101"/>
      <c r="T32" s="101"/>
      <c r="AA32" s="102">
        <f>SUM(AA23:AA31)</f>
        <v>1</v>
      </c>
    </row>
    <row r="33" spans="1:27" s="59" customFormat="1" ht="18.75" x14ac:dyDescent="0.3">
      <c r="A33" s="57"/>
      <c r="B33" s="720" t="s">
        <v>259</v>
      </c>
      <c r="C33" s="173" t="s">
        <v>181</v>
      </c>
      <c r="D33" s="174">
        <v>8580</v>
      </c>
      <c r="E33" s="174">
        <v>9420</v>
      </c>
      <c r="F33" s="174">
        <v>9970</v>
      </c>
      <c r="G33" s="174">
        <v>10310</v>
      </c>
      <c r="H33" s="174">
        <v>10460</v>
      </c>
      <c r="I33" s="174">
        <v>10440</v>
      </c>
      <c r="J33" s="174">
        <v>10440</v>
      </c>
      <c r="K33" s="174">
        <v>10400</v>
      </c>
      <c r="L33" s="174">
        <v>11130</v>
      </c>
      <c r="M33" s="174">
        <v>11879</v>
      </c>
      <c r="N33" s="174">
        <v>16760</v>
      </c>
      <c r="O33" s="174">
        <v>17260</v>
      </c>
      <c r="P33" s="174">
        <v>17010</v>
      </c>
      <c r="Q33" s="174">
        <v>20460</v>
      </c>
      <c r="R33" s="174">
        <v>22420</v>
      </c>
      <c r="S33" s="171"/>
      <c r="T33" s="174"/>
      <c r="Z33" s="712">
        <f>C23</f>
        <v>1482625</v>
      </c>
      <c r="AA33" s="713"/>
    </row>
    <row r="34" spans="1:27" x14ac:dyDescent="0.25">
      <c r="A34" s="57"/>
      <c r="B34" s="720"/>
      <c r="C34" s="173" t="s">
        <v>104</v>
      </c>
      <c r="D34" s="174">
        <v>5710</v>
      </c>
      <c r="E34" s="174">
        <f t="shared" ref="E34:H34" si="24">D34</f>
        <v>5710</v>
      </c>
      <c r="F34" s="174">
        <f t="shared" si="24"/>
        <v>5710</v>
      </c>
      <c r="G34" s="174">
        <f t="shared" si="24"/>
        <v>5710</v>
      </c>
      <c r="H34" s="174">
        <f t="shared" si="24"/>
        <v>5710</v>
      </c>
      <c r="I34" s="174">
        <v>5710</v>
      </c>
      <c r="J34" s="174">
        <v>5710</v>
      </c>
      <c r="K34" s="174">
        <v>5710</v>
      </c>
      <c r="L34" s="174">
        <v>5710</v>
      </c>
      <c r="M34" s="174">
        <v>5710</v>
      </c>
      <c r="N34" s="174">
        <v>5710</v>
      </c>
      <c r="O34" s="174">
        <v>5710</v>
      </c>
      <c r="P34" s="174">
        <v>5710</v>
      </c>
      <c r="Q34" s="174">
        <v>5710</v>
      </c>
      <c r="R34" s="174">
        <v>7130</v>
      </c>
      <c r="S34" s="171"/>
      <c r="T34" s="174"/>
    </row>
    <row r="35" spans="1:27" x14ac:dyDescent="0.25">
      <c r="A35" s="57"/>
      <c r="B35" s="720"/>
      <c r="C35" s="173" t="s">
        <v>61</v>
      </c>
      <c r="D35" s="175" t="s">
        <v>258</v>
      </c>
      <c r="E35" s="175" t="s">
        <v>256</v>
      </c>
      <c r="F35" s="175" t="s">
        <v>255</v>
      </c>
      <c r="G35" s="175" t="s">
        <v>260</v>
      </c>
      <c r="H35" s="175" t="s">
        <v>263</v>
      </c>
      <c r="I35" s="175" t="s">
        <v>277</v>
      </c>
      <c r="J35" s="175" t="s">
        <v>278</v>
      </c>
      <c r="K35" s="175" t="s">
        <v>279</v>
      </c>
      <c r="L35" s="175" t="s">
        <v>280</v>
      </c>
      <c r="M35" s="175" t="s">
        <v>281</v>
      </c>
      <c r="N35" s="175" t="s">
        <v>282</v>
      </c>
      <c r="O35" s="175" t="s">
        <v>283</v>
      </c>
      <c r="P35" s="175" t="s">
        <v>284</v>
      </c>
      <c r="Q35" s="175" t="s">
        <v>286</v>
      </c>
      <c r="R35" s="175" t="s">
        <v>290</v>
      </c>
      <c r="S35" s="170"/>
      <c r="T35" s="175"/>
    </row>
    <row r="36" spans="1:27" x14ac:dyDescent="0.25">
      <c r="A36" s="57"/>
      <c r="B36" s="720"/>
      <c r="C36" s="173" t="s">
        <v>210</v>
      </c>
      <c r="D36" s="176">
        <v>3.23</v>
      </c>
      <c r="E36" s="176">
        <v>3.5</v>
      </c>
      <c r="F36" s="176">
        <v>3.5</v>
      </c>
      <c r="G36" s="176">
        <v>3.5</v>
      </c>
      <c r="H36" s="176">
        <f t="shared" ref="H36" si="25">G36</f>
        <v>3.5</v>
      </c>
      <c r="I36" s="176">
        <v>3.5</v>
      </c>
      <c r="J36" s="176">
        <v>3.5</v>
      </c>
      <c r="K36" s="176">
        <v>3.5</v>
      </c>
      <c r="L36" s="176">
        <v>3.25</v>
      </c>
      <c r="M36" s="176">
        <v>3.25</v>
      </c>
      <c r="N36" s="176">
        <v>3.25</v>
      </c>
      <c r="O36" s="176">
        <v>3</v>
      </c>
      <c r="P36" s="176">
        <v>3</v>
      </c>
      <c r="Q36" s="176">
        <v>3</v>
      </c>
      <c r="R36" s="176">
        <v>3</v>
      </c>
      <c r="S36" s="172"/>
      <c r="T36" s="176"/>
    </row>
    <row r="37" spans="1:27" x14ac:dyDescent="0.25">
      <c r="B37" s="720"/>
      <c r="C37" s="173" t="s">
        <v>211</v>
      </c>
      <c r="D37" s="176">
        <v>3</v>
      </c>
      <c r="E37" s="176">
        <v>4</v>
      </c>
      <c r="F37" s="176">
        <v>4.5</v>
      </c>
      <c r="G37" s="176">
        <v>5</v>
      </c>
      <c r="H37" s="176">
        <f t="shared" ref="H37" si="26">G37</f>
        <v>5</v>
      </c>
      <c r="I37" s="176">
        <v>5.5</v>
      </c>
      <c r="J37" s="176">
        <v>5.5</v>
      </c>
      <c r="K37" s="176">
        <v>5.5</v>
      </c>
      <c r="L37" s="176">
        <v>5.25</v>
      </c>
      <c r="M37" s="176">
        <v>5.25</v>
      </c>
      <c r="N37" s="176">
        <v>5</v>
      </c>
      <c r="O37" s="176">
        <v>5</v>
      </c>
      <c r="P37" s="176">
        <v>5</v>
      </c>
      <c r="Q37" s="176">
        <v>5.5</v>
      </c>
      <c r="R37" s="176">
        <v>5.5</v>
      </c>
      <c r="S37" s="172"/>
      <c r="T37" s="176"/>
    </row>
    <row r="38" spans="1:27" x14ac:dyDescent="0.25">
      <c r="B38" s="720"/>
      <c r="C38" s="173" t="s">
        <v>257</v>
      </c>
      <c r="D38" s="176">
        <v>1.5</v>
      </c>
      <c r="E38" s="176">
        <v>1.5</v>
      </c>
      <c r="F38" s="176">
        <v>1.5</v>
      </c>
      <c r="G38" s="176">
        <v>1.752</v>
      </c>
      <c r="H38" s="176">
        <f t="shared" ref="H38" si="27">G38</f>
        <v>1.752</v>
      </c>
      <c r="I38" s="176">
        <v>1.75</v>
      </c>
      <c r="J38" s="176">
        <v>1.75</v>
      </c>
      <c r="K38" s="176">
        <v>1.75</v>
      </c>
      <c r="L38" s="176">
        <v>1.75</v>
      </c>
      <c r="M38" s="176">
        <v>1.75</v>
      </c>
      <c r="N38" s="176">
        <v>1.75</v>
      </c>
      <c r="O38" s="176">
        <v>1.75</v>
      </c>
      <c r="P38" s="176">
        <v>1.75</v>
      </c>
      <c r="Q38" s="176">
        <v>2</v>
      </c>
      <c r="R38" s="176">
        <v>2</v>
      </c>
      <c r="S38" s="172"/>
      <c r="T38" s="176"/>
    </row>
    <row r="39" spans="1:27" ht="15" customHeight="1" x14ac:dyDescent="0.25">
      <c r="H39" s="103"/>
      <c r="I39" s="104"/>
      <c r="J39"/>
      <c r="K39"/>
    </row>
    <row r="40" spans="1:27" ht="15" customHeight="1" x14ac:dyDescent="0.25">
      <c r="H40" s="714"/>
      <c r="I40" s="714"/>
      <c r="J40" s="714"/>
      <c r="K40" s="714"/>
    </row>
    <row r="41" spans="1:27" x14ac:dyDescent="0.25">
      <c r="H41" s="103"/>
      <c r="I41" s="103"/>
      <c r="J41" s="103"/>
      <c r="K41" s="103"/>
    </row>
    <row r="42" spans="1:27" x14ac:dyDescent="0.25">
      <c r="H42" s="103"/>
      <c r="I42" s="103"/>
      <c r="J42" s="103"/>
      <c r="K42" s="103"/>
    </row>
    <row r="43" spans="1:27" x14ac:dyDescent="0.25">
      <c r="H43" s="103"/>
      <c r="I43" s="103"/>
      <c r="J43" s="103"/>
      <c r="K43" s="103"/>
    </row>
    <row r="44" spans="1:27" x14ac:dyDescent="0.25">
      <c r="H44" s="103"/>
      <c r="I44" s="103"/>
      <c r="J44" s="103"/>
      <c r="K44" s="103"/>
    </row>
    <row r="45" spans="1:27" x14ac:dyDescent="0.25">
      <c r="H45" s="103"/>
      <c r="I45" s="103"/>
      <c r="J45" s="103"/>
      <c r="K45" s="103"/>
    </row>
    <row r="46" spans="1:27" x14ac:dyDescent="0.25">
      <c r="H46" s="103"/>
      <c r="I46" s="103"/>
      <c r="J46" s="103"/>
      <c r="K46" s="103"/>
    </row>
    <row r="47" spans="1:27" x14ac:dyDescent="0.25">
      <c r="H47" s="103"/>
      <c r="I47" s="103"/>
      <c r="J47" s="103"/>
      <c r="K47" s="103"/>
    </row>
    <row r="48" spans="1:27" x14ac:dyDescent="0.25">
      <c r="H48" s="103"/>
      <c r="I48" s="103"/>
      <c r="J48" s="103"/>
      <c r="K48" s="103"/>
    </row>
    <row r="49" spans="8:11" x14ac:dyDescent="0.25">
      <c r="H49" s="709"/>
      <c r="I49" s="709"/>
      <c r="J49" s="709"/>
      <c r="K49" s="709"/>
    </row>
    <row r="50" spans="8:11" x14ac:dyDescent="0.25">
      <c r="H50" s="103"/>
      <c r="I50" s="103"/>
      <c r="J50" s="103"/>
      <c r="K50" s="103"/>
    </row>
    <row r="51" spans="8:11" x14ac:dyDescent="0.25">
      <c r="H51" s="709"/>
      <c r="I51" s="709"/>
      <c r="J51" s="709"/>
      <c r="K51" s="709"/>
    </row>
    <row r="52" spans="8:11" ht="15" customHeight="1" x14ac:dyDescent="0.25">
      <c r="H52" s="709"/>
      <c r="I52" s="709"/>
      <c r="J52" s="709"/>
      <c r="K52" s="105"/>
    </row>
  </sheetData>
  <mergeCells count="15">
    <mergeCell ref="Z33:AA33"/>
    <mergeCell ref="H40:I40"/>
    <mergeCell ref="J40:K40"/>
    <mergeCell ref="A11:A12"/>
    <mergeCell ref="Z14:AA14"/>
    <mergeCell ref="A26:B26"/>
    <mergeCell ref="A27:B27"/>
    <mergeCell ref="A28:B28"/>
    <mergeCell ref="A29:B29"/>
    <mergeCell ref="B33:B38"/>
    <mergeCell ref="H49:K49"/>
    <mergeCell ref="H51:K51"/>
    <mergeCell ref="H52:J52"/>
    <mergeCell ref="A30:B30"/>
    <mergeCell ref="A31:B31"/>
  </mergeCells>
  <pageMargins left="0.7" right="0.7" top="0.75" bottom="0.75" header="0.3" footer="0.3"/>
  <pageSetup paperSize="9" orientation="portrait" horizontalDpi="200" verticalDpi="200" r:id="rId1"/>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0.85546875" bestFit="1" customWidth="1"/>
    <col min="12" max="12" width="10" bestFit="1" customWidth="1"/>
    <col min="13" max="13" width="9.28515625" bestFit="1" customWidth="1"/>
    <col min="14" max="14" width="12.140625" bestFit="1" customWidth="1"/>
    <col min="15" max="15" width="7.425781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21" t="s">
        <v>208</v>
      </c>
      <c r="C2" s="722"/>
      <c r="D2" s="722"/>
      <c r="E2" s="722"/>
      <c r="F2" s="722"/>
      <c r="G2" s="723"/>
      <c r="I2" s="724" t="s">
        <v>101</v>
      </c>
      <c r="J2" s="724"/>
      <c r="K2" s="724"/>
      <c r="L2" s="724"/>
      <c r="M2" s="724"/>
      <c r="N2" s="724"/>
      <c r="O2" s="724"/>
      <c r="P2" s="724"/>
      <c r="Q2" s="724"/>
      <c r="R2" s="724"/>
      <c r="S2" s="724"/>
      <c r="T2" s="724"/>
    </row>
    <row r="3" spans="2:20" x14ac:dyDescent="0.25">
      <c r="B3" s="725" t="s">
        <v>102</v>
      </c>
      <c r="C3" s="726"/>
      <c r="D3" s="726"/>
      <c r="E3" s="726"/>
      <c r="F3" s="726"/>
      <c r="G3" s="727"/>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8" t="s">
        <v>113</v>
      </c>
      <c r="C4" s="729"/>
      <c r="D4" s="109"/>
      <c r="E4" s="730" t="s">
        <v>114</v>
      </c>
      <c r="F4" s="729"/>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0" si="0">IF(M5=0,0,M5-K5)-N5</f>
        <v>0</v>
      </c>
      <c r="P5" s="111">
        <f t="shared" ref="P5:P20" si="1">IF(M5=0,K5,0)</f>
        <v>0</v>
      </c>
      <c r="Q5" s="168"/>
      <c r="R5" s="112">
        <v>41400</v>
      </c>
      <c r="S5" s="112"/>
      <c r="T5" s="168"/>
    </row>
    <row r="6" spans="2:20" x14ac:dyDescent="0.25">
      <c r="B6" s="116" t="s">
        <v>116</v>
      </c>
      <c r="C6" s="117">
        <f>SUM(C7:C9)</f>
        <v>665245</v>
      </c>
      <c r="D6" s="140">
        <f>C6/$C$34</f>
        <v>0.2669198997553266</v>
      </c>
      <c r="E6" s="116" t="s">
        <v>117</v>
      </c>
      <c r="F6" s="117">
        <f>F7+F8+F9</f>
        <v>300000</v>
      </c>
      <c r="G6" s="118">
        <f>F6/$F$34</f>
        <v>0.12037064529097999</v>
      </c>
      <c r="I6" s="169" t="s">
        <v>120</v>
      </c>
      <c r="J6" s="110" t="s">
        <v>200</v>
      </c>
      <c r="K6" s="111">
        <v>0</v>
      </c>
      <c r="L6" s="111">
        <v>0</v>
      </c>
      <c r="M6" s="111">
        <v>0</v>
      </c>
      <c r="N6" s="111">
        <v>0</v>
      </c>
      <c r="O6" s="111">
        <f t="shared" si="0"/>
        <v>0</v>
      </c>
      <c r="P6" s="111">
        <f t="shared" si="1"/>
        <v>0</v>
      </c>
      <c r="Q6" s="168"/>
      <c r="R6" s="112">
        <v>41400</v>
      </c>
      <c r="S6" s="112"/>
      <c r="T6" s="168"/>
    </row>
    <row r="7" spans="2:20" x14ac:dyDescent="0.25">
      <c r="B7" s="119" t="s">
        <v>84</v>
      </c>
      <c r="C7" s="120">
        <f>EconomiaT40!C16</f>
        <v>396545</v>
      </c>
      <c r="D7" s="202">
        <f>C7/$C$34</f>
        <v>0.15910792512303887</v>
      </c>
      <c r="E7" s="203" t="s">
        <v>118</v>
      </c>
      <c r="F7" s="204">
        <f>EconomiaT40!C5</f>
        <v>300000</v>
      </c>
      <c r="G7" s="121">
        <f>F7/$F$34</f>
        <v>0.12037064529097999</v>
      </c>
      <c r="I7" s="169" t="s">
        <v>115</v>
      </c>
      <c r="J7" s="110" t="s">
        <v>205</v>
      </c>
      <c r="K7" s="111">
        <v>0</v>
      </c>
      <c r="L7" s="111">
        <v>0</v>
      </c>
      <c r="M7" s="111">
        <v>0</v>
      </c>
      <c r="N7" s="111">
        <v>0</v>
      </c>
      <c r="O7" s="111">
        <f t="shared" si="0"/>
        <v>0</v>
      </c>
      <c r="P7" s="111">
        <f t="shared" si="1"/>
        <v>0</v>
      </c>
      <c r="Q7" s="168"/>
      <c r="R7" s="112">
        <v>41400</v>
      </c>
      <c r="S7" s="112"/>
      <c r="T7" s="168"/>
    </row>
    <row r="8" spans="2:20" x14ac:dyDescent="0.25">
      <c r="B8" s="119" t="s">
        <v>67</v>
      </c>
      <c r="C8" s="120">
        <f>EconomiaT40!C20</f>
        <v>268700</v>
      </c>
      <c r="D8" s="202">
        <f>C8/$C$34</f>
        <v>0.10781197463228774</v>
      </c>
      <c r="E8" s="203" t="s">
        <v>261</v>
      </c>
      <c r="F8" s="204">
        <v>0</v>
      </c>
      <c r="G8" s="121">
        <f>F8/$F$34</f>
        <v>0</v>
      </c>
      <c r="I8" s="169" t="s">
        <v>115</v>
      </c>
      <c r="J8" s="110" t="s">
        <v>195</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262</v>
      </c>
      <c r="F9" s="204">
        <v>0</v>
      </c>
      <c r="G9" s="121">
        <f>F9/$F$34</f>
        <v>0</v>
      </c>
      <c r="I9" s="169" t="s">
        <v>115</v>
      </c>
      <c r="J9" s="110" t="s">
        <v>199</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203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0</v>
      </c>
      <c r="D11" s="140">
        <f>C11/$C$34</f>
        <v>0</v>
      </c>
      <c r="E11" s="116" t="s">
        <v>107</v>
      </c>
      <c r="F11" s="117">
        <f>SUM(F12:F17)+C9</f>
        <v>709677</v>
      </c>
      <c r="G11" s="118">
        <f t="shared" ref="G11:G17" si="2">F11/$F$34</f>
        <v>0.28474759479388934</v>
      </c>
      <c r="I11" s="169" t="s">
        <v>115</v>
      </c>
      <c r="J11" s="110" t="s">
        <v>193</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SUMIF(I4:I89,"S",$P$4:$P$89)</f>
        <v>0</v>
      </c>
      <c r="D12" s="202">
        <f>C12/$C$34</f>
        <v>0</v>
      </c>
      <c r="E12" s="49" t="s">
        <v>122</v>
      </c>
      <c r="F12" s="131">
        <f>SUMIF(I4:I54,"J",$O$4:$O$84)</f>
        <v>0</v>
      </c>
      <c r="G12" s="121">
        <f t="shared" si="2"/>
        <v>0</v>
      </c>
      <c r="I12" s="169" t="s">
        <v>115</v>
      </c>
      <c r="J12" s="110" t="s">
        <v>197</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SUMIF(I4:I84,"J",$P$4:$P$84)</f>
        <v>0</v>
      </c>
      <c r="D13" s="202">
        <f>C13/$C$34</f>
        <v>0</v>
      </c>
      <c r="E13" s="49" t="s">
        <v>123</v>
      </c>
      <c r="F13" s="131">
        <f>SUMIF(I3:I53,"S",$O$4:$O$84)</f>
        <v>0</v>
      </c>
      <c r="G13" s="121">
        <f t="shared" si="2"/>
        <v>0</v>
      </c>
      <c r="I13" s="169" t="s">
        <v>115</v>
      </c>
      <c r="J13" s="110" t="s">
        <v>191</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SUMIF(I4:I84,"E",$P$4:$P$84)</f>
        <v>0</v>
      </c>
      <c r="D14" s="202">
        <f>C14/$C$34</f>
        <v>0</v>
      </c>
      <c r="E14" s="49" t="s">
        <v>124</v>
      </c>
      <c r="F14" s="131">
        <f>SUMIF(I4:I54,"C",$O$4:$O$84)</f>
        <v>0</v>
      </c>
      <c r="G14" s="121">
        <f t="shared" si="2"/>
        <v>0</v>
      </c>
      <c r="I14" s="169" t="s">
        <v>115</v>
      </c>
      <c r="J14" s="110" t="s">
        <v>196</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SUMIF(I4:I84,"M",$P$4:$P$84)</f>
        <v>0</v>
      </c>
      <c r="D15" s="202">
        <f>C15/$C$34</f>
        <v>0</v>
      </c>
      <c r="E15" s="49" t="s">
        <v>126</v>
      </c>
      <c r="F15" s="131">
        <f>SUMIF(I4:I54,"E",$O$4:$O$84)</f>
        <v>0</v>
      </c>
      <c r="G15" s="121">
        <f t="shared" si="2"/>
        <v>0</v>
      </c>
      <c r="I15" s="169" t="s">
        <v>115</v>
      </c>
      <c r="J15" s="110" t="s">
        <v>190</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SUMIF(I4:I54,"M",$O$4:$O$84)</f>
        <v>0</v>
      </c>
      <c r="G16" s="121">
        <f t="shared" si="2"/>
        <v>0</v>
      </c>
      <c r="I16" s="169" t="s">
        <v>115</v>
      </c>
      <c r="J16" s="110" t="s">
        <v>198</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0</v>
      </c>
      <c r="D17" s="140">
        <f>C17/$C$34</f>
        <v>0</v>
      </c>
      <c r="E17" s="135" t="s">
        <v>128</v>
      </c>
      <c r="F17" s="136">
        <f>'A-P_T40'!C9+C22-F27+EconomiaT40!C24-EconomiaT40!C5</f>
        <v>709677</v>
      </c>
      <c r="G17" s="121">
        <f t="shared" si="2"/>
        <v>0.28474759479388934</v>
      </c>
      <c r="I17" s="169" t="s">
        <v>115</v>
      </c>
      <c r="J17" s="110" t="s">
        <v>202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SUM(M4:M63)</f>
        <v>0</v>
      </c>
      <c r="D18" s="202">
        <f>C18/$C$34</f>
        <v>0</v>
      </c>
      <c r="E18" s="124"/>
      <c r="F18" s="125"/>
      <c r="G18" s="137"/>
      <c r="I18" s="169" t="s">
        <v>115</v>
      </c>
      <c r="J18" s="110" t="s">
        <v>192</v>
      </c>
      <c r="K18" s="111">
        <v>0</v>
      </c>
      <c r="L18" s="111">
        <v>0</v>
      </c>
      <c r="M18" s="111">
        <v>0</v>
      </c>
      <c r="N18" s="111">
        <v>0</v>
      </c>
      <c r="O18" s="111">
        <f t="shared" si="0"/>
        <v>0</v>
      </c>
      <c r="P18" s="111">
        <f t="shared" si="1"/>
        <v>0</v>
      </c>
      <c r="Q18" s="168"/>
      <c r="R18" s="112">
        <v>41400</v>
      </c>
      <c r="S18" s="112"/>
      <c r="T18" s="168"/>
    </row>
    <row r="19" spans="2:20" x14ac:dyDescent="0.25">
      <c r="B19" s="122" t="s">
        <v>76</v>
      </c>
      <c r="C19" s="123">
        <f>SUM(N4:N45)*-1</f>
        <v>0</v>
      </c>
      <c r="D19" s="202">
        <f>C19/$C$34</f>
        <v>0</v>
      </c>
      <c r="E19" s="116" t="s">
        <v>129</v>
      </c>
      <c r="F19" s="134">
        <f>F20+F21</f>
        <v>0</v>
      </c>
      <c r="G19" s="118">
        <f>F19/$F$34</f>
        <v>0</v>
      </c>
      <c r="I19" s="169" t="s">
        <v>115</v>
      </c>
      <c r="J19" s="110" t="s">
        <v>201</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EconomiaT40!C19</f>
        <v>0</v>
      </c>
      <c r="G20" s="121">
        <f>F20/$F$34</f>
        <v>0</v>
      </c>
      <c r="I20" s="169" t="s">
        <v>115</v>
      </c>
      <c r="J20" s="110" t="s">
        <v>194</v>
      </c>
      <c r="K20" s="111">
        <v>0</v>
      </c>
      <c r="L20" s="111">
        <v>0</v>
      </c>
      <c r="M20" s="111">
        <v>0</v>
      </c>
      <c r="N20" s="111">
        <v>0</v>
      </c>
      <c r="O20" s="111">
        <f t="shared" si="0"/>
        <v>0</v>
      </c>
      <c r="P20" s="111">
        <f t="shared" si="1"/>
        <v>0</v>
      </c>
      <c r="Q20" s="168"/>
      <c r="R20" s="112">
        <v>41400</v>
      </c>
      <c r="S20" s="112"/>
      <c r="T20" s="168"/>
    </row>
    <row r="21" spans="2:20" x14ac:dyDescent="0.25">
      <c r="B21" s="132"/>
      <c r="C21" s="133"/>
      <c r="D21" s="140"/>
      <c r="E21" s="122" t="s">
        <v>130</v>
      </c>
      <c r="F21" s="208">
        <f>SUM(L4:L54)*-1</f>
        <v>0</v>
      </c>
      <c r="G21" s="121">
        <f>F21/$F$34</f>
        <v>0</v>
      </c>
      <c r="I21" s="17"/>
      <c r="J21" s="108"/>
      <c r="K21" s="126"/>
      <c r="L21" s="126"/>
      <c r="M21" s="126"/>
      <c r="N21" s="126"/>
      <c r="O21" s="126"/>
      <c r="P21" s="126"/>
      <c r="Q21" s="127"/>
      <c r="R21" s="128"/>
      <c r="S21" s="128"/>
      <c r="T21" s="127"/>
    </row>
    <row r="22" spans="2:20" x14ac:dyDescent="0.25">
      <c r="B22" s="116" t="s">
        <v>131</v>
      </c>
      <c r="C22" s="117">
        <f>SUM(C23:C27)</f>
        <v>1504841</v>
      </c>
      <c r="D22" s="140">
        <f t="shared" ref="D22:D27" si="3">C22/$C$34</f>
        <v>0.60379560743441207</v>
      </c>
      <c r="E22" s="116"/>
      <c r="F22" s="117"/>
      <c r="G22" s="118"/>
      <c r="I22" s="17"/>
      <c r="J22" s="108"/>
      <c r="K22" s="126"/>
      <c r="L22" s="126"/>
      <c r="M22" s="126"/>
      <c r="N22" s="126"/>
      <c r="O22" s="126"/>
      <c r="P22" s="126"/>
      <c r="Q22" s="127"/>
      <c r="R22" s="128"/>
      <c r="S22" s="128"/>
      <c r="T22" s="167"/>
    </row>
    <row r="23" spans="2:20" x14ac:dyDescent="0.25">
      <c r="B23" s="138" t="s">
        <v>69</v>
      </c>
      <c r="C23" s="139">
        <f>EconomiaT40!C11</f>
        <v>38970</v>
      </c>
      <c r="D23" s="202">
        <f t="shared" si="3"/>
        <v>1.5636146823298301E-2</v>
      </c>
      <c r="E23" s="116" t="s">
        <v>264</v>
      </c>
      <c r="F23" s="117">
        <f>SUM(F24:F25)</f>
        <v>665245</v>
      </c>
      <c r="G23" s="118">
        <f>F23/$F$34</f>
        <v>0.2669198997553266</v>
      </c>
      <c r="I23" s="17"/>
      <c r="J23" s="108"/>
      <c r="K23" s="126"/>
      <c r="L23" s="126"/>
      <c r="M23" s="126"/>
      <c r="N23" s="126"/>
      <c r="O23" s="126"/>
      <c r="P23" s="126"/>
      <c r="Q23" s="127"/>
      <c r="R23" s="128"/>
      <c r="S23" s="128"/>
      <c r="T23" s="167"/>
    </row>
    <row r="24" spans="2:20" x14ac:dyDescent="0.25">
      <c r="B24" s="138" t="s">
        <v>79</v>
      </c>
      <c r="C24" s="139">
        <f>EconomiaT40!C12</f>
        <v>164000</v>
      </c>
      <c r="D24" s="202">
        <f t="shared" si="3"/>
        <v>6.5802619425735731E-2</v>
      </c>
      <c r="E24" s="206" t="s">
        <v>84</v>
      </c>
      <c r="F24" s="209">
        <f>EconomiaT40!C16</f>
        <v>396545</v>
      </c>
      <c r="G24" s="121">
        <f>F24/$F$34</f>
        <v>0.15910792512303887</v>
      </c>
      <c r="I24" s="17"/>
      <c r="J24" s="108"/>
      <c r="K24" s="126"/>
      <c r="L24" s="126"/>
      <c r="M24" s="126"/>
      <c r="N24" s="126"/>
      <c r="O24" s="126"/>
      <c r="P24" s="126"/>
      <c r="Q24" s="127"/>
      <c r="R24" s="128"/>
      <c r="S24" s="128"/>
      <c r="T24" s="167"/>
    </row>
    <row r="25" spans="2:20" x14ac:dyDescent="0.25">
      <c r="B25" s="138" t="s">
        <v>71</v>
      </c>
      <c r="C25" s="139">
        <f>EconomiaT40!C6</f>
        <v>675050</v>
      </c>
      <c r="D25" s="202">
        <f t="shared" si="3"/>
        <v>0.27085401367892015</v>
      </c>
      <c r="E25" s="206" t="s">
        <v>67</v>
      </c>
      <c r="F25" s="209">
        <f>EconomiaT40!C20</f>
        <v>268700</v>
      </c>
      <c r="G25" s="121">
        <f>F25/$F$34</f>
        <v>0.10781197463228774</v>
      </c>
      <c r="I25" s="17"/>
      <c r="J25" s="108"/>
      <c r="K25" s="126"/>
      <c r="L25" s="126"/>
      <c r="M25" s="126"/>
      <c r="N25" s="126"/>
      <c r="O25" s="126"/>
      <c r="P25" s="126"/>
      <c r="Q25" s="127"/>
      <c r="R25" s="128"/>
      <c r="S25" s="128"/>
      <c r="T25" s="167"/>
    </row>
    <row r="26" spans="2:20" x14ac:dyDescent="0.25">
      <c r="B26" s="138" t="s">
        <v>72</v>
      </c>
      <c r="C26" s="139">
        <f>EconomiaT40!C7</f>
        <v>626821</v>
      </c>
      <c r="D26" s="202">
        <f t="shared" si="3"/>
        <v>0.25150282750645786</v>
      </c>
      <c r="E26" s="116"/>
      <c r="F26" s="117"/>
      <c r="G26" s="118"/>
      <c r="I26" s="17"/>
      <c r="J26" s="108"/>
      <c r="K26" s="126"/>
      <c r="L26" s="126"/>
      <c r="M26" s="126"/>
      <c r="N26" s="126"/>
      <c r="O26" s="126"/>
      <c r="P26" s="126"/>
      <c r="Q26" s="127"/>
      <c r="R26" s="128"/>
      <c r="S26" s="128"/>
      <c r="T26" s="127"/>
    </row>
    <row r="27" spans="2:20" x14ac:dyDescent="0.25">
      <c r="B27" s="138" t="s">
        <v>76</v>
      </c>
      <c r="C27" s="139">
        <f>EconomiaT40!C10</f>
        <v>0</v>
      </c>
      <c r="D27" s="202">
        <f t="shared" si="3"/>
        <v>0</v>
      </c>
      <c r="E27" s="116" t="s">
        <v>265</v>
      </c>
      <c r="F27" s="117">
        <f>SUM(F28:F33)</f>
        <v>817380</v>
      </c>
      <c r="G27" s="118">
        <f t="shared" ref="G27:G32" si="4">F27/$F$34</f>
        <v>0.32796186015980405</v>
      </c>
      <c r="I27" s="17"/>
      <c r="J27" s="108"/>
      <c r="K27" s="126"/>
      <c r="L27" s="126"/>
      <c r="M27" s="126"/>
      <c r="N27" s="126"/>
      <c r="O27" s="126"/>
      <c r="P27" s="126"/>
      <c r="Q27" s="127"/>
      <c r="R27" s="128"/>
      <c r="S27" s="128"/>
      <c r="T27" s="127"/>
    </row>
    <row r="28" spans="2:20" x14ac:dyDescent="0.25">
      <c r="B28" s="116"/>
      <c r="C28" s="117"/>
      <c r="D28" s="140"/>
      <c r="E28" s="206" t="s">
        <v>132</v>
      </c>
      <c r="F28" s="209">
        <f>EconomiaT40!C14</f>
        <v>98780</v>
      </c>
      <c r="G28" s="121">
        <f t="shared" si="4"/>
        <v>3.9634041139476675E-2</v>
      </c>
      <c r="I28" s="17"/>
      <c r="J28" s="181"/>
      <c r="K28" s="126"/>
      <c r="L28" s="126"/>
      <c r="M28" s="126"/>
      <c r="N28" s="126"/>
      <c r="O28" s="126"/>
      <c r="P28" s="126"/>
      <c r="Q28" s="127"/>
      <c r="R28" s="128"/>
      <c r="S28" s="128"/>
      <c r="T28" s="127"/>
    </row>
    <row r="29" spans="2:20" x14ac:dyDescent="0.25">
      <c r="B29" s="116" t="s">
        <v>133</v>
      </c>
      <c r="C29" s="117">
        <f>EconomiaT40!T24</f>
        <v>322216</v>
      </c>
      <c r="D29" s="140">
        <f>C29/$C$34</f>
        <v>0.12928449281026136</v>
      </c>
      <c r="E29" s="206" t="s">
        <v>82</v>
      </c>
      <c r="F29" s="209">
        <f>EconomiaT40!C15</f>
        <v>119600</v>
      </c>
      <c r="G29" s="121">
        <f t="shared" si="4"/>
        <v>4.7987763922670686E-2</v>
      </c>
      <c r="I29" s="17"/>
      <c r="J29" s="108"/>
      <c r="K29" s="126"/>
      <c r="L29" s="126"/>
      <c r="M29" s="126"/>
      <c r="N29" s="126"/>
      <c r="O29" s="126"/>
      <c r="P29" s="126"/>
      <c r="Q29" s="127"/>
      <c r="R29" s="128"/>
      <c r="S29" s="128"/>
      <c r="T29" s="167"/>
    </row>
    <row r="30" spans="2:20" x14ac:dyDescent="0.25">
      <c r="B30" s="116"/>
      <c r="C30" s="117"/>
      <c r="D30" s="140"/>
      <c r="E30" s="206" t="s">
        <v>85</v>
      </c>
      <c r="F30" s="209">
        <f>EconomiaT40!C17</f>
        <v>243000</v>
      </c>
      <c r="G30" s="121">
        <f t="shared" si="4"/>
        <v>9.7500222685693791E-2</v>
      </c>
      <c r="I30" s="17"/>
      <c r="J30" s="108"/>
      <c r="K30" s="126"/>
      <c r="L30" s="126"/>
      <c r="M30" s="126"/>
      <c r="N30" s="126"/>
      <c r="O30" s="126"/>
      <c r="P30" s="126"/>
      <c r="Q30" s="127"/>
      <c r="R30" s="128"/>
      <c r="S30" s="128"/>
      <c r="T30" s="167"/>
    </row>
    <row r="31" spans="2:20" x14ac:dyDescent="0.25">
      <c r="B31" s="116"/>
      <c r="C31" s="117"/>
      <c r="D31" s="140"/>
      <c r="E31" s="206" t="s">
        <v>86</v>
      </c>
      <c r="F31" s="209">
        <f>EconomiaT40!C18</f>
        <v>330000</v>
      </c>
      <c r="G31" s="121">
        <f t="shared" si="4"/>
        <v>0.13240770982007799</v>
      </c>
      <c r="I31" s="17"/>
      <c r="J31" s="108"/>
      <c r="K31" s="126"/>
      <c r="L31" s="126"/>
      <c r="M31" s="126"/>
      <c r="N31" s="126"/>
      <c r="O31" s="126"/>
      <c r="P31" s="126"/>
      <c r="Q31" s="127"/>
      <c r="R31" s="128"/>
      <c r="S31" s="128"/>
      <c r="T31" s="167"/>
    </row>
    <row r="32" spans="2:20" x14ac:dyDescent="0.25">
      <c r="B32" s="116"/>
      <c r="C32" s="117"/>
      <c r="D32" s="140"/>
      <c r="E32" s="206" t="s">
        <v>89</v>
      </c>
      <c r="F32" s="209">
        <f>EconomiaT40!C21</f>
        <v>26000</v>
      </c>
      <c r="G32" s="121">
        <f t="shared" si="4"/>
        <v>1.0432122591884932E-2</v>
      </c>
      <c r="I32" s="17"/>
      <c r="J32" s="108"/>
      <c r="K32" s="126"/>
      <c r="L32" s="126"/>
      <c r="M32" s="126"/>
      <c r="N32" s="126"/>
      <c r="O32" s="126"/>
      <c r="P32" s="126"/>
      <c r="Q32" s="127"/>
      <c r="R32" s="128"/>
      <c r="S32" s="128"/>
      <c r="T32" s="167"/>
    </row>
    <row r="33" spans="2:20" x14ac:dyDescent="0.25">
      <c r="B33" s="141"/>
      <c r="C33" s="142"/>
      <c r="D33" s="140"/>
      <c r="E33" s="206" t="s">
        <v>90</v>
      </c>
      <c r="F33" s="209">
        <f>EconomiaT40!C22</f>
        <v>0</v>
      </c>
      <c r="G33" s="121">
        <f t="shared" ref="G33" si="5">F33/$F$34</f>
        <v>0</v>
      </c>
      <c r="I33" s="17"/>
      <c r="J33" s="108"/>
      <c r="K33" s="126"/>
      <c r="L33" s="126"/>
      <c r="M33" s="126"/>
      <c r="N33" s="126"/>
      <c r="O33" s="126"/>
      <c r="P33" s="126"/>
      <c r="Q33" s="127"/>
      <c r="R33" s="128"/>
      <c r="S33" s="128"/>
      <c r="T33" s="167"/>
    </row>
    <row r="34" spans="2:20" ht="18.75" x14ac:dyDescent="0.3">
      <c r="B34" s="143" t="s">
        <v>27</v>
      </c>
      <c r="C34" s="144">
        <f>C22+C17+C11+C6+C29</f>
        <v>2492302</v>
      </c>
      <c r="D34" s="145">
        <f>C34/$C$34</f>
        <v>1</v>
      </c>
      <c r="E34" s="146" t="s">
        <v>27</v>
      </c>
      <c r="F34" s="147">
        <f>F27+F19+F11+F6+F23</f>
        <v>2492302</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67"/>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4" priority="9" operator="lessThan">
      <formula>0</formula>
    </cfRule>
    <cfRule type="cellIs" dxfId="263" priority="10" operator="greaterThan">
      <formula>0</formula>
    </cfRule>
  </conditionalFormatting>
  <pageMargins left="0.7" right="0.7" top="0.75" bottom="0.75" header="0.3" footer="0.3"/>
  <pageSetup paperSize="9"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E7" sqref="E7"/>
    </sheetView>
  </sheetViews>
  <sheetFormatPr defaultColWidth="11.42578125" defaultRowHeight="15" x14ac:dyDescent="0.25"/>
  <cols>
    <col min="1" max="1" width="23" style="4" bestFit="1" customWidth="1"/>
    <col min="2" max="2" width="16" style="4" customWidth="1"/>
    <col min="3" max="3" width="18.28515625" style="4" bestFit="1" customWidth="1"/>
    <col min="4" max="4" width="16.7109375" style="215"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EconomiaT40!T25</f>
        <v>41516</v>
      </c>
      <c r="E2" s="55">
        <f t="shared" ref="E2:S2" si="0">D2+7</f>
        <v>41523</v>
      </c>
      <c r="F2" s="55">
        <f t="shared" si="0"/>
        <v>41530</v>
      </c>
      <c r="G2" s="55">
        <f t="shared" si="0"/>
        <v>41537</v>
      </c>
      <c r="H2" s="55">
        <f t="shared" si="0"/>
        <v>41544</v>
      </c>
      <c r="I2" s="55">
        <f t="shared" si="0"/>
        <v>41551</v>
      </c>
      <c r="J2" s="55">
        <f t="shared" si="0"/>
        <v>41558</v>
      </c>
      <c r="K2" s="55">
        <f t="shared" si="0"/>
        <v>41565</v>
      </c>
      <c r="L2" s="55">
        <f t="shared" si="0"/>
        <v>41572</v>
      </c>
      <c r="M2" s="55">
        <f t="shared" si="0"/>
        <v>41579</v>
      </c>
      <c r="N2" s="55">
        <f t="shared" si="0"/>
        <v>41586</v>
      </c>
      <c r="O2" s="55">
        <f t="shared" si="0"/>
        <v>41593</v>
      </c>
      <c r="P2" s="55">
        <f t="shared" si="0"/>
        <v>41600</v>
      </c>
      <c r="Q2" s="55">
        <f t="shared" si="0"/>
        <v>41607</v>
      </c>
      <c r="R2" s="55">
        <f t="shared" si="0"/>
        <v>41614</v>
      </c>
      <c r="S2" s="55">
        <f t="shared" si="0"/>
        <v>41621</v>
      </c>
      <c r="T2" s="56"/>
    </row>
    <row r="3" spans="1:26" s="59" customFormat="1" x14ac:dyDescent="0.25">
      <c r="A3" s="57"/>
      <c r="B3" s="57" t="s">
        <v>207</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f>EconomiaT40!T4+65+36</f>
        <v>750</v>
      </c>
      <c r="E4" s="61">
        <f t="shared" ref="E4:S4" si="1">D4+(D11/30)</f>
        <v>783</v>
      </c>
      <c r="F4" s="61">
        <f t="shared" si="1"/>
        <v>815</v>
      </c>
      <c r="G4" s="61">
        <f t="shared" si="1"/>
        <v>835</v>
      </c>
      <c r="H4" s="61">
        <f t="shared" si="1"/>
        <v>855</v>
      </c>
      <c r="I4" s="61">
        <f t="shared" si="1"/>
        <v>881</v>
      </c>
      <c r="J4" s="61">
        <f t="shared" si="1"/>
        <v>901</v>
      </c>
      <c r="K4" s="61">
        <f t="shared" si="1"/>
        <v>920</v>
      </c>
      <c r="L4" s="61">
        <f t="shared" si="1"/>
        <v>939</v>
      </c>
      <c r="M4" s="61">
        <f t="shared" si="1"/>
        <v>959</v>
      </c>
      <c r="N4" s="61">
        <f t="shared" si="1"/>
        <v>979</v>
      </c>
      <c r="O4" s="61">
        <f t="shared" si="1"/>
        <v>995</v>
      </c>
      <c r="P4" s="61">
        <f t="shared" si="1"/>
        <v>1014</v>
      </c>
      <c r="Q4" s="61">
        <f t="shared" si="1"/>
        <v>1030</v>
      </c>
      <c r="R4" s="61">
        <f t="shared" si="1"/>
        <v>1047</v>
      </c>
      <c r="S4" s="61">
        <f t="shared" si="1"/>
        <v>1073</v>
      </c>
    </row>
    <row r="5" spans="1:26" s="66" customFormat="1" ht="18.75" x14ac:dyDescent="0.3">
      <c r="A5" s="62" t="s">
        <v>70</v>
      </c>
      <c r="B5" s="62"/>
      <c r="C5" s="63">
        <f>EconomiaT40!C24</f>
        <v>322216</v>
      </c>
      <c r="D5" s="64">
        <f>C5</f>
        <v>322216</v>
      </c>
      <c r="E5" s="64">
        <f t="shared" ref="E5:Q5" si="2">D24</f>
        <v>337290</v>
      </c>
      <c r="F5" s="64">
        <f t="shared" si="2"/>
        <v>427252</v>
      </c>
      <c r="G5" s="64">
        <f t="shared" si="2"/>
        <v>571208</v>
      </c>
      <c r="H5" s="64">
        <f t="shared" si="2"/>
        <v>566617</v>
      </c>
      <c r="I5" s="64">
        <f t="shared" si="2"/>
        <v>677806</v>
      </c>
      <c r="J5" s="64">
        <f t="shared" si="2"/>
        <v>675454</v>
      </c>
      <c r="K5" s="64">
        <f t="shared" si="2"/>
        <v>827074</v>
      </c>
      <c r="L5" s="64">
        <f t="shared" si="2"/>
        <v>824826</v>
      </c>
      <c r="M5" s="64">
        <f t="shared" si="2"/>
        <v>204081</v>
      </c>
      <c r="N5" s="64">
        <f t="shared" si="2"/>
        <v>192919</v>
      </c>
      <c r="O5" s="64">
        <f t="shared" si="2"/>
        <v>332044</v>
      </c>
      <c r="P5" s="64">
        <f t="shared" si="2"/>
        <v>331691</v>
      </c>
      <c r="Q5" s="64">
        <f t="shared" si="2"/>
        <v>477091</v>
      </c>
      <c r="R5" s="64">
        <f>Q24</f>
        <v>477168</v>
      </c>
      <c r="S5" s="64">
        <f>R24</f>
        <v>625182</v>
      </c>
    </row>
    <row r="6" spans="1:26" x14ac:dyDescent="0.25">
      <c r="A6" s="67" t="s">
        <v>71</v>
      </c>
      <c r="B6" s="67" t="s">
        <v>71</v>
      </c>
      <c r="C6" s="68">
        <f t="shared" ref="C6:C23" si="3">SUM(D6:S6)</f>
        <v>1221024</v>
      </c>
      <c r="D6" s="69">
        <v>29486</v>
      </c>
      <c r="E6" s="69">
        <f>99512</f>
        <v>99512</v>
      </c>
      <c r="F6" s="69">
        <f>150407+3869</f>
        <v>154276</v>
      </c>
      <c r="G6" s="69">
        <v>5944</v>
      </c>
      <c r="H6" s="69">
        <v>122534</v>
      </c>
      <c r="I6" s="69">
        <v>5428</v>
      </c>
      <c r="J6" s="69">
        <f>155285+4650</f>
        <v>159935</v>
      </c>
      <c r="K6" s="69">
        <v>4957</v>
      </c>
      <c r="L6" s="69">
        <v>160649</v>
      </c>
      <c r="M6" s="69">
        <v>6507</v>
      </c>
      <c r="N6" s="69">
        <f>140156+3478-240</f>
        <v>143394</v>
      </c>
      <c r="O6" s="69">
        <v>4886</v>
      </c>
      <c r="P6" s="69">
        <f>147317+6472</f>
        <v>153789</v>
      </c>
      <c r="Q6" s="69">
        <v>5821</v>
      </c>
      <c r="R6" s="69">
        <f>148583+7515</f>
        <v>156098</v>
      </c>
      <c r="S6" s="69">
        <v>7808</v>
      </c>
      <c r="Y6" s="67" t="s">
        <v>71</v>
      </c>
      <c r="Z6" s="71">
        <f>C6/$C$13</f>
        <v>0.54083321226466907</v>
      </c>
    </row>
    <row r="7" spans="1:26" x14ac:dyDescent="0.25">
      <c r="A7" s="67" t="s">
        <v>72</v>
      </c>
      <c r="B7" s="67" t="s">
        <v>72</v>
      </c>
      <c r="C7" s="68">
        <f t="shared" si="3"/>
        <v>992208</v>
      </c>
      <c r="D7" s="72">
        <f>43908+840</f>
        <v>44748</v>
      </c>
      <c r="E7" s="72">
        <v>51620</v>
      </c>
      <c r="F7" s="72">
        <v>54580</v>
      </c>
      <c r="G7" s="72">
        <v>56245</v>
      </c>
      <c r="H7" s="72">
        <v>59205</v>
      </c>
      <c r="I7" s="72">
        <v>61240</v>
      </c>
      <c r="J7" s="72">
        <v>62535</v>
      </c>
      <c r="K7" s="72">
        <v>63645</v>
      </c>
      <c r="L7" s="72">
        <v>64570</v>
      </c>
      <c r="M7" s="72">
        <f>L7+900+25</f>
        <v>65495</v>
      </c>
      <c r="N7" s="72">
        <v>66235</v>
      </c>
      <c r="O7" s="72">
        <v>66975</v>
      </c>
      <c r="P7" s="72">
        <v>67715</v>
      </c>
      <c r="Q7" s="72">
        <v>68270</v>
      </c>
      <c r="R7" s="72">
        <v>69010</v>
      </c>
      <c r="S7" s="72">
        <v>70120</v>
      </c>
      <c r="Y7" s="67" t="s">
        <v>72</v>
      </c>
      <c r="Z7" s="71">
        <f t="shared" ref="Z7:Z12" si="4">C7/$C$13</f>
        <v>0.43948279466636431</v>
      </c>
    </row>
    <row r="8" spans="1:26" x14ac:dyDescent="0.25">
      <c r="A8" s="67" t="s">
        <v>73</v>
      </c>
      <c r="B8" s="67" t="s">
        <v>74</v>
      </c>
      <c r="C8" s="68">
        <f t="shared" si="3"/>
        <v>1900</v>
      </c>
      <c r="D8" s="69">
        <v>0</v>
      </c>
      <c r="E8" s="69">
        <v>0</v>
      </c>
      <c r="F8" s="69">
        <v>1900</v>
      </c>
      <c r="G8" s="69">
        <v>0</v>
      </c>
      <c r="H8" s="69">
        <v>0</v>
      </c>
      <c r="I8" s="69">
        <v>0</v>
      </c>
      <c r="J8" s="69">
        <v>0</v>
      </c>
      <c r="K8" s="69">
        <v>0</v>
      </c>
      <c r="L8" s="69">
        <v>0</v>
      </c>
      <c r="M8" s="69">
        <v>0</v>
      </c>
      <c r="N8" s="69">
        <v>0</v>
      </c>
      <c r="O8" s="69">
        <v>0</v>
      </c>
      <c r="P8" s="69">
        <v>0</v>
      </c>
      <c r="Q8" s="69">
        <v>0</v>
      </c>
      <c r="R8" s="69">
        <v>0</v>
      </c>
      <c r="S8" s="69">
        <v>0</v>
      </c>
      <c r="Y8" s="67" t="s">
        <v>74</v>
      </c>
      <c r="Z8" s="71">
        <f t="shared" si="4"/>
        <v>8.4157486118444135E-4</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0</v>
      </c>
    </row>
    <row r="11" spans="1:26" x14ac:dyDescent="0.25">
      <c r="A11" s="715" t="s">
        <v>77</v>
      </c>
      <c r="B11" s="67" t="s">
        <v>78</v>
      </c>
      <c r="C11" s="68">
        <f t="shared" si="3"/>
        <v>42540</v>
      </c>
      <c r="D11" s="72">
        <f>450+540</f>
        <v>990</v>
      </c>
      <c r="E11" s="72">
        <f>540+420</f>
        <v>960</v>
      </c>
      <c r="F11" s="72">
        <v>600</v>
      </c>
      <c r="G11" s="72">
        <f>F11</f>
        <v>600</v>
      </c>
      <c r="H11" s="72">
        <f>390*2</f>
        <v>780</v>
      </c>
      <c r="I11" s="72">
        <v>600</v>
      </c>
      <c r="J11" s="72">
        <f>300+270</f>
        <v>570</v>
      </c>
      <c r="K11" s="72">
        <f t="shared" ref="K11:M11" si="5">J11</f>
        <v>570</v>
      </c>
      <c r="L11" s="72">
        <v>600</v>
      </c>
      <c r="M11" s="72">
        <f t="shared" si="5"/>
        <v>600</v>
      </c>
      <c r="N11" s="72">
        <v>480</v>
      </c>
      <c r="O11" s="72">
        <v>570</v>
      </c>
      <c r="P11" s="72">
        <v>480</v>
      </c>
      <c r="Q11" s="72">
        <v>510</v>
      </c>
      <c r="R11" s="72">
        <v>780</v>
      </c>
      <c r="S11" s="72">
        <f>(S4*30)+750-90</f>
        <v>32850</v>
      </c>
      <c r="Y11" s="67" t="s">
        <v>78</v>
      </c>
      <c r="Z11" s="71">
        <f t="shared" si="4"/>
        <v>1.8842418207782177E-2</v>
      </c>
    </row>
    <row r="12" spans="1:26" x14ac:dyDescent="0.25">
      <c r="A12" s="716"/>
      <c r="B12" s="67" t="s">
        <v>79</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79</v>
      </c>
      <c r="Z12" s="71">
        <f t="shared" si="4"/>
        <v>0</v>
      </c>
    </row>
    <row r="13" spans="1:26" s="78" customFormat="1" ht="18.75" x14ac:dyDescent="0.3">
      <c r="A13" s="73" t="s">
        <v>80</v>
      </c>
      <c r="B13" s="74"/>
      <c r="C13" s="75">
        <f t="shared" si="3"/>
        <v>2257672</v>
      </c>
      <c r="D13" s="76">
        <f t="shared" ref="D13:H13" si="6">SUM(D6:D12)</f>
        <v>75224</v>
      </c>
      <c r="E13" s="76">
        <f t="shared" si="6"/>
        <v>152092</v>
      </c>
      <c r="F13" s="76">
        <f>F12+F11+F10+F9+F8+F7+F6</f>
        <v>211356</v>
      </c>
      <c r="G13" s="76">
        <f t="shared" si="6"/>
        <v>62789</v>
      </c>
      <c r="H13" s="76">
        <f t="shared" si="6"/>
        <v>182519</v>
      </c>
      <c r="I13" s="76">
        <f t="shared" ref="I13:S13" si="7">SUM(I6:I12)</f>
        <v>67268</v>
      </c>
      <c r="J13" s="76">
        <f t="shared" si="7"/>
        <v>223040</v>
      </c>
      <c r="K13" s="76">
        <f t="shared" si="7"/>
        <v>69172</v>
      </c>
      <c r="L13" s="76">
        <f t="shared" si="7"/>
        <v>225819</v>
      </c>
      <c r="M13" s="76">
        <f t="shared" si="7"/>
        <v>72602</v>
      </c>
      <c r="N13" s="76">
        <f t="shared" si="7"/>
        <v>210109</v>
      </c>
      <c r="O13" s="76">
        <f t="shared" si="7"/>
        <v>72431</v>
      </c>
      <c r="P13" s="76">
        <f t="shared" si="7"/>
        <v>221984</v>
      </c>
      <c r="Q13" s="76">
        <f t="shared" si="7"/>
        <v>74601</v>
      </c>
      <c r="R13" s="76">
        <f t="shared" si="7"/>
        <v>225888</v>
      </c>
      <c r="S13" s="76">
        <f t="shared" si="7"/>
        <v>110778</v>
      </c>
      <c r="Z13" s="79">
        <f>SUM(Z6:Z12)</f>
        <v>1</v>
      </c>
    </row>
    <row r="14" spans="1:26" ht="18.75" x14ac:dyDescent="0.3">
      <c r="A14" s="80" t="s">
        <v>81</v>
      </c>
      <c r="B14" s="81" t="str">
        <f>A14</f>
        <v>Sueldos</v>
      </c>
      <c r="C14" s="82">
        <f t="shared" si="3"/>
        <v>171948</v>
      </c>
      <c r="D14" s="83">
        <f>EconomiaT40!T14</f>
        <v>7420</v>
      </c>
      <c r="E14" s="83">
        <v>9400</v>
      </c>
      <c r="F14" s="83">
        <v>9670</v>
      </c>
      <c r="G14" s="83">
        <v>9250</v>
      </c>
      <c r="H14" s="83">
        <v>9600</v>
      </c>
      <c r="I14" s="83">
        <v>9890</v>
      </c>
      <c r="J14" s="83">
        <f t="shared" ref="F14:S15" si="8">I14</f>
        <v>9890</v>
      </c>
      <c r="K14" s="83">
        <f t="shared" si="8"/>
        <v>9890</v>
      </c>
      <c r="L14" s="83">
        <f t="shared" si="8"/>
        <v>9890</v>
      </c>
      <c r="M14" s="83">
        <v>11234</v>
      </c>
      <c r="N14" s="83">
        <v>11254</v>
      </c>
      <c r="O14" s="83">
        <f t="shared" si="8"/>
        <v>11254</v>
      </c>
      <c r="P14" s="83">
        <f t="shared" si="8"/>
        <v>11254</v>
      </c>
      <c r="Q14" s="83">
        <v>11194</v>
      </c>
      <c r="R14" s="83">
        <v>14544</v>
      </c>
      <c r="S14" s="83">
        <v>16314</v>
      </c>
      <c r="Y14" s="717">
        <f>C13</f>
        <v>2257672</v>
      </c>
      <c r="Z14" s="718"/>
    </row>
    <row r="15" spans="1:26" x14ac:dyDescent="0.25">
      <c r="A15" s="80" t="s">
        <v>82</v>
      </c>
      <c r="B15" s="81" t="str">
        <f>A15</f>
        <v xml:space="preserve">Mantenimiento </v>
      </c>
      <c r="C15" s="82">
        <f t="shared" si="3"/>
        <v>174880</v>
      </c>
      <c r="D15" s="83">
        <v>10930</v>
      </c>
      <c r="E15" s="83">
        <v>10930</v>
      </c>
      <c r="F15" s="83">
        <f t="shared" si="8"/>
        <v>10930</v>
      </c>
      <c r="G15" s="83">
        <f t="shared" si="8"/>
        <v>10930</v>
      </c>
      <c r="H15" s="83">
        <f t="shared" si="8"/>
        <v>10930</v>
      </c>
      <c r="I15" s="83">
        <v>10930</v>
      </c>
      <c r="J15" s="83">
        <f t="shared" si="8"/>
        <v>10930</v>
      </c>
      <c r="K15" s="83">
        <f t="shared" si="8"/>
        <v>10930</v>
      </c>
      <c r="L15" s="83">
        <f t="shared" si="8"/>
        <v>10930</v>
      </c>
      <c r="M15" s="83">
        <f t="shared" si="8"/>
        <v>10930</v>
      </c>
      <c r="N15" s="83">
        <f t="shared" si="8"/>
        <v>10930</v>
      </c>
      <c r="O15" s="83">
        <f t="shared" si="8"/>
        <v>10930</v>
      </c>
      <c r="P15" s="83">
        <f t="shared" si="8"/>
        <v>10930</v>
      </c>
      <c r="Q15" s="83">
        <f t="shared" si="8"/>
        <v>10930</v>
      </c>
      <c r="R15" s="83">
        <f t="shared" si="8"/>
        <v>10930</v>
      </c>
      <c r="S15" s="83">
        <f t="shared" si="8"/>
        <v>10930</v>
      </c>
    </row>
    <row r="16" spans="1:26" ht="30" x14ac:dyDescent="0.25">
      <c r="A16" s="80" t="s">
        <v>83</v>
      </c>
      <c r="B16" s="81" t="s">
        <v>84</v>
      </c>
      <c r="C16" s="82">
        <f t="shared" si="3"/>
        <v>546685</v>
      </c>
      <c r="D16" s="83">
        <v>0</v>
      </c>
      <c r="E16" s="83">
        <v>0</v>
      </c>
      <c r="F16" s="83">
        <v>0</v>
      </c>
      <c r="G16" s="83">
        <v>0</v>
      </c>
      <c r="H16" s="83">
        <v>0</v>
      </c>
      <c r="I16" s="83">
        <v>0</v>
      </c>
      <c r="J16" s="83">
        <v>0</v>
      </c>
      <c r="K16" s="83">
        <v>0</v>
      </c>
      <c r="L16" s="83">
        <v>0</v>
      </c>
      <c r="M16" s="83">
        <v>0</v>
      </c>
      <c r="N16" s="83">
        <v>0</v>
      </c>
      <c r="O16" s="83">
        <v>0</v>
      </c>
      <c r="P16" s="83">
        <v>0</v>
      </c>
      <c r="Q16" s="83">
        <v>0</v>
      </c>
      <c r="R16" s="83">
        <v>0</v>
      </c>
      <c r="S16" s="83">
        <v>546685</v>
      </c>
    </row>
    <row r="17" spans="1:26" x14ac:dyDescent="0.25">
      <c r="A17" s="80" t="s">
        <v>85</v>
      </c>
      <c r="B17" s="81" t="str">
        <f>A17</f>
        <v>Empleados</v>
      </c>
      <c r="C17" s="82">
        <f t="shared" si="3"/>
        <v>459000</v>
      </c>
      <c r="D17" s="83">
        <f>EconomiaT40!T17</f>
        <v>19800</v>
      </c>
      <c r="E17" s="83">
        <f>D17</f>
        <v>19800</v>
      </c>
      <c r="F17" s="83">
        <f t="shared" ref="F17:S18" si="9">E17</f>
        <v>19800</v>
      </c>
      <c r="G17" s="83">
        <v>25200</v>
      </c>
      <c r="H17" s="83">
        <v>28800</v>
      </c>
      <c r="I17" s="83">
        <f>H17</f>
        <v>28800</v>
      </c>
      <c r="J17" s="83">
        <v>30600</v>
      </c>
      <c r="K17" s="83">
        <f t="shared" si="9"/>
        <v>30600</v>
      </c>
      <c r="L17" s="83">
        <v>32400</v>
      </c>
      <c r="M17" s="83">
        <v>34200</v>
      </c>
      <c r="N17" s="83">
        <v>28800</v>
      </c>
      <c r="O17" s="83">
        <v>30600</v>
      </c>
      <c r="P17" s="83">
        <v>32400</v>
      </c>
      <c r="Q17" s="83">
        <f t="shared" ref="Q17" si="10">P17</f>
        <v>32400</v>
      </c>
      <c r="R17" s="83">
        <f t="shared" ref="R17" si="11">Q17</f>
        <v>32400</v>
      </c>
      <c r="S17" s="83">
        <f t="shared" ref="S17" si="12">R17</f>
        <v>32400</v>
      </c>
    </row>
    <row r="18" spans="1:26" x14ac:dyDescent="0.25">
      <c r="A18" s="80" t="s">
        <v>86</v>
      </c>
      <c r="B18" s="81" t="str">
        <f>A18</f>
        <v>Juveniles</v>
      </c>
      <c r="C18" s="82">
        <f t="shared" si="3"/>
        <v>320000</v>
      </c>
      <c r="D18" s="83">
        <f>EconomiaT40!T18</f>
        <v>20000</v>
      </c>
      <c r="E18" s="83">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87</v>
      </c>
      <c r="B19" s="81" t="s">
        <v>88</v>
      </c>
      <c r="C19" s="82">
        <f t="shared" si="3"/>
        <v>773344</v>
      </c>
      <c r="D19" s="83">
        <v>0</v>
      </c>
      <c r="E19" s="83">
        <v>0</v>
      </c>
      <c r="F19" s="83">
        <v>0</v>
      </c>
      <c r="G19" s="83">
        <v>0</v>
      </c>
      <c r="H19" s="83">
        <v>0</v>
      </c>
      <c r="I19" s="83">
        <v>0</v>
      </c>
      <c r="J19" s="83">
        <v>0</v>
      </c>
      <c r="K19" s="83">
        <v>0</v>
      </c>
      <c r="L19" s="83">
        <v>773344</v>
      </c>
      <c r="M19" s="83">
        <v>0</v>
      </c>
      <c r="N19" s="83">
        <v>0</v>
      </c>
      <c r="O19" s="83">
        <v>0</v>
      </c>
      <c r="P19" s="83">
        <v>0</v>
      </c>
      <c r="Q19" s="83">
        <v>0</v>
      </c>
      <c r="R19" s="83">
        <v>0</v>
      </c>
      <c r="S19" s="83">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83">
        <v>0</v>
      </c>
    </row>
    <row r="21" spans="1:26" x14ac:dyDescent="0.25">
      <c r="A21" s="84"/>
      <c r="B21" s="81" t="s">
        <v>89</v>
      </c>
      <c r="C21" s="82">
        <f t="shared" si="3"/>
        <v>24400</v>
      </c>
      <c r="D21" s="83">
        <v>2000</v>
      </c>
      <c r="E21" s="83">
        <v>2000</v>
      </c>
      <c r="F21" s="83">
        <v>7000</v>
      </c>
      <c r="G21" s="83">
        <v>2000</v>
      </c>
      <c r="H21" s="83">
        <v>2000</v>
      </c>
      <c r="I21" s="83">
        <v>0</v>
      </c>
      <c r="J21" s="83">
        <f t="shared" ref="J21" si="13">I21</f>
        <v>0</v>
      </c>
      <c r="K21" s="83">
        <v>0</v>
      </c>
      <c r="L21" s="83">
        <v>0</v>
      </c>
      <c r="M21" s="83">
        <v>7400</v>
      </c>
      <c r="N21" s="83">
        <v>0</v>
      </c>
      <c r="O21" s="83">
        <v>0</v>
      </c>
      <c r="P21" s="83">
        <v>2000</v>
      </c>
      <c r="Q21" s="83">
        <v>0</v>
      </c>
      <c r="R21" s="83">
        <f t="shared" ref="R21" si="14">Q21</f>
        <v>0</v>
      </c>
      <c r="S21" s="83">
        <f t="shared" ref="S21" si="15">R21</f>
        <v>0</v>
      </c>
    </row>
    <row r="22" spans="1:26" x14ac:dyDescent="0.25">
      <c r="A22" s="80" t="s">
        <v>90</v>
      </c>
      <c r="B22" s="81" t="str">
        <f>A22</f>
        <v>Intereses</v>
      </c>
      <c r="C22" s="82">
        <f t="shared" si="3"/>
        <v>0</v>
      </c>
      <c r="D22" s="83">
        <v>0</v>
      </c>
      <c r="E22" s="83">
        <v>0</v>
      </c>
      <c r="F22" s="83">
        <v>0</v>
      </c>
      <c r="G22" s="83">
        <v>0</v>
      </c>
      <c r="H22" s="83">
        <v>0</v>
      </c>
      <c r="I22" s="83">
        <v>0</v>
      </c>
      <c r="J22" s="83">
        <v>0</v>
      </c>
      <c r="K22" s="83">
        <v>0</v>
      </c>
      <c r="L22" s="83">
        <v>0</v>
      </c>
      <c r="M22" s="83">
        <v>0</v>
      </c>
      <c r="N22" s="83">
        <v>0</v>
      </c>
      <c r="O22" s="83">
        <v>0</v>
      </c>
      <c r="P22" s="83">
        <v>0</v>
      </c>
      <c r="Q22" s="83">
        <v>0</v>
      </c>
      <c r="R22" s="83">
        <v>0</v>
      </c>
      <c r="S22" s="83">
        <v>0</v>
      </c>
    </row>
    <row r="23" spans="1:26" s="90" customFormat="1" ht="18.75" x14ac:dyDescent="0.3">
      <c r="A23" s="85" t="s">
        <v>91</v>
      </c>
      <c r="B23" s="86"/>
      <c r="C23" s="87">
        <f t="shared" si="3"/>
        <v>2470257</v>
      </c>
      <c r="D23" s="88">
        <f t="shared" ref="D23:S23" si="16">SUM(D14:D22)</f>
        <v>60150</v>
      </c>
      <c r="E23" s="88">
        <f t="shared" si="16"/>
        <v>62130</v>
      </c>
      <c r="F23" s="88">
        <f t="shared" si="16"/>
        <v>67400</v>
      </c>
      <c r="G23" s="88">
        <f t="shared" si="16"/>
        <v>67380</v>
      </c>
      <c r="H23" s="88">
        <f t="shared" si="16"/>
        <v>71330</v>
      </c>
      <c r="I23" s="88">
        <f t="shared" si="16"/>
        <v>69620</v>
      </c>
      <c r="J23" s="88">
        <f t="shared" si="16"/>
        <v>71420</v>
      </c>
      <c r="K23" s="88">
        <f t="shared" si="16"/>
        <v>71420</v>
      </c>
      <c r="L23" s="88">
        <f t="shared" si="16"/>
        <v>846564</v>
      </c>
      <c r="M23" s="88">
        <f t="shared" si="16"/>
        <v>83764</v>
      </c>
      <c r="N23" s="88">
        <f t="shared" si="16"/>
        <v>70984</v>
      </c>
      <c r="O23" s="88">
        <f t="shared" si="16"/>
        <v>72784</v>
      </c>
      <c r="P23" s="88">
        <f t="shared" si="16"/>
        <v>76584</v>
      </c>
      <c r="Q23" s="88">
        <f t="shared" si="16"/>
        <v>74524</v>
      </c>
      <c r="R23" s="88">
        <f t="shared" si="16"/>
        <v>77874</v>
      </c>
      <c r="S23" s="88">
        <f t="shared" si="16"/>
        <v>626329</v>
      </c>
      <c r="Y23" s="81" t="s">
        <v>81</v>
      </c>
      <c r="Z23" s="91">
        <f>C14/$C$23</f>
        <v>6.9607332354487808E-2</v>
      </c>
    </row>
    <row r="24" spans="1:26" s="66" customFormat="1" ht="18.75" x14ac:dyDescent="0.3">
      <c r="A24" s="92" t="s">
        <v>92</v>
      </c>
      <c r="B24" s="92"/>
      <c r="C24" s="64">
        <f>C5+C13-C23</f>
        <v>109631</v>
      </c>
      <c r="D24" s="64">
        <f t="shared" ref="D24:S24" si="17">D5+D13-D23</f>
        <v>337290</v>
      </c>
      <c r="E24" s="64">
        <f t="shared" si="17"/>
        <v>427252</v>
      </c>
      <c r="F24" s="64">
        <f t="shared" si="17"/>
        <v>571208</v>
      </c>
      <c r="G24" s="64">
        <f t="shared" si="17"/>
        <v>566617</v>
      </c>
      <c r="H24" s="64">
        <f t="shared" si="17"/>
        <v>677806</v>
      </c>
      <c r="I24" s="64">
        <f t="shared" si="17"/>
        <v>675454</v>
      </c>
      <c r="J24" s="64">
        <f t="shared" si="17"/>
        <v>827074</v>
      </c>
      <c r="K24" s="64">
        <f t="shared" si="17"/>
        <v>824826</v>
      </c>
      <c r="L24" s="64">
        <f t="shared" si="17"/>
        <v>204081</v>
      </c>
      <c r="M24" s="64">
        <f t="shared" si="17"/>
        <v>192919</v>
      </c>
      <c r="N24" s="64">
        <f t="shared" si="17"/>
        <v>332044</v>
      </c>
      <c r="O24" s="64">
        <f t="shared" si="17"/>
        <v>331691</v>
      </c>
      <c r="P24" s="64">
        <f t="shared" si="17"/>
        <v>477091</v>
      </c>
      <c r="Q24" s="64">
        <f t="shared" si="17"/>
        <v>477168</v>
      </c>
      <c r="R24" s="64">
        <f t="shared" si="17"/>
        <v>625182</v>
      </c>
      <c r="S24" s="64">
        <f t="shared" si="17"/>
        <v>109631</v>
      </c>
      <c r="Y24" s="81" t="s">
        <v>82</v>
      </c>
      <c r="Z24" s="91">
        <f t="shared" ref="Z24:Z31" si="18">C15/$C$23</f>
        <v>7.079425339144875E-2</v>
      </c>
    </row>
    <row r="25" spans="1:26" s="53" customFormat="1" x14ac:dyDescent="0.25">
      <c r="A25" s="93"/>
      <c r="B25" s="93"/>
      <c r="C25" s="93"/>
      <c r="D25" s="94">
        <f>D2+7</f>
        <v>41523</v>
      </c>
      <c r="E25" s="94">
        <f t="shared" ref="E25:S25" si="19">D25+7</f>
        <v>41530</v>
      </c>
      <c r="F25" s="94">
        <f t="shared" si="19"/>
        <v>41537</v>
      </c>
      <c r="G25" s="94">
        <f t="shared" si="19"/>
        <v>41544</v>
      </c>
      <c r="H25" s="94">
        <f t="shared" si="19"/>
        <v>41551</v>
      </c>
      <c r="I25" s="94">
        <f t="shared" si="19"/>
        <v>41558</v>
      </c>
      <c r="J25" s="94">
        <f t="shared" si="19"/>
        <v>41565</v>
      </c>
      <c r="K25" s="94">
        <f t="shared" si="19"/>
        <v>41572</v>
      </c>
      <c r="L25" s="94">
        <f t="shared" si="19"/>
        <v>41579</v>
      </c>
      <c r="M25" s="94">
        <f t="shared" si="19"/>
        <v>41586</v>
      </c>
      <c r="N25" s="94">
        <f t="shared" si="19"/>
        <v>41593</v>
      </c>
      <c r="O25" s="94">
        <f t="shared" si="19"/>
        <v>41600</v>
      </c>
      <c r="P25" s="94">
        <f t="shared" si="19"/>
        <v>41607</v>
      </c>
      <c r="Q25" s="94">
        <f t="shared" si="19"/>
        <v>41614</v>
      </c>
      <c r="R25" s="94">
        <f t="shared" si="19"/>
        <v>41621</v>
      </c>
      <c r="S25" s="94">
        <f t="shared" si="19"/>
        <v>41628</v>
      </c>
      <c r="Y25" s="81" t="s">
        <v>84</v>
      </c>
      <c r="Z25" s="91">
        <f t="shared" si="18"/>
        <v>0.22130693284140071</v>
      </c>
    </row>
    <row r="26" spans="1:26" s="53" customFormat="1" x14ac:dyDescent="0.25">
      <c r="A26" s="719" t="s">
        <v>93</v>
      </c>
      <c r="B26" s="719"/>
      <c r="C26" s="96">
        <f>C6+C7+C11</f>
        <v>2255772</v>
      </c>
      <c r="D26" s="96">
        <f t="shared" ref="D26:S26" si="20">D6+D7+D11</f>
        <v>75224</v>
      </c>
      <c r="E26" s="96">
        <f t="shared" si="20"/>
        <v>152092</v>
      </c>
      <c r="F26" s="96">
        <f t="shared" si="20"/>
        <v>209456</v>
      </c>
      <c r="G26" s="96">
        <f t="shared" si="20"/>
        <v>62789</v>
      </c>
      <c r="H26" s="96">
        <f t="shared" si="20"/>
        <v>182519</v>
      </c>
      <c r="I26" s="96">
        <f t="shared" si="20"/>
        <v>67268</v>
      </c>
      <c r="J26" s="96">
        <f t="shared" si="20"/>
        <v>223040</v>
      </c>
      <c r="K26" s="96">
        <f t="shared" si="20"/>
        <v>69172</v>
      </c>
      <c r="L26" s="96">
        <f t="shared" si="20"/>
        <v>225819</v>
      </c>
      <c r="M26" s="96">
        <f t="shared" si="20"/>
        <v>72602</v>
      </c>
      <c r="N26" s="96">
        <f t="shared" si="20"/>
        <v>210109</v>
      </c>
      <c r="O26" s="96">
        <f t="shared" si="20"/>
        <v>72431</v>
      </c>
      <c r="P26" s="96">
        <f t="shared" si="20"/>
        <v>221984</v>
      </c>
      <c r="Q26" s="96">
        <f t="shared" si="20"/>
        <v>74601</v>
      </c>
      <c r="R26" s="96">
        <f>R6+R7+R11</f>
        <v>225888</v>
      </c>
      <c r="S26" s="96">
        <f t="shared" si="20"/>
        <v>110778</v>
      </c>
      <c r="T26" s="97"/>
      <c r="Y26" s="81" t="s">
        <v>85</v>
      </c>
      <c r="Z26" s="91">
        <f t="shared" si="18"/>
        <v>0.18581062618181024</v>
      </c>
    </row>
    <row r="27" spans="1:26" s="53" customFormat="1" x14ac:dyDescent="0.25">
      <c r="A27" s="710" t="s">
        <v>94</v>
      </c>
      <c r="B27" s="710"/>
      <c r="C27" s="98">
        <f>C14+C15+C17+C18+C21</f>
        <v>1150228</v>
      </c>
      <c r="D27" s="98">
        <f t="shared" ref="D27:S27" si="21">D14+D15+D17+D18+D21</f>
        <v>60150</v>
      </c>
      <c r="E27" s="98">
        <f t="shared" si="21"/>
        <v>62130</v>
      </c>
      <c r="F27" s="98">
        <f t="shared" si="21"/>
        <v>67400</v>
      </c>
      <c r="G27" s="98">
        <f t="shared" si="21"/>
        <v>67380</v>
      </c>
      <c r="H27" s="98">
        <f t="shared" si="21"/>
        <v>71330</v>
      </c>
      <c r="I27" s="98">
        <f t="shared" si="21"/>
        <v>69620</v>
      </c>
      <c r="J27" s="98">
        <f t="shared" si="21"/>
        <v>71420</v>
      </c>
      <c r="K27" s="98">
        <f t="shared" si="21"/>
        <v>71420</v>
      </c>
      <c r="L27" s="98">
        <f t="shared" si="21"/>
        <v>73220</v>
      </c>
      <c r="M27" s="98">
        <f t="shared" si="21"/>
        <v>83764</v>
      </c>
      <c r="N27" s="98">
        <f t="shared" si="21"/>
        <v>70984</v>
      </c>
      <c r="O27" s="98">
        <f t="shared" si="21"/>
        <v>72784</v>
      </c>
      <c r="P27" s="98">
        <f t="shared" si="21"/>
        <v>76584</v>
      </c>
      <c r="Q27" s="98">
        <f t="shared" si="21"/>
        <v>74524</v>
      </c>
      <c r="R27" s="98">
        <f>R14+R15+R17+R18+R21</f>
        <v>77874</v>
      </c>
      <c r="S27" s="98">
        <f t="shared" si="21"/>
        <v>79644</v>
      </c>
      <c r="T27" s="99"/>
      <c r="Y27" s="81" t="s">
        <v>86</v>
      </c>
      <c r="Z27" s="91">
        <f t="shared" si="18"/>
        <v>0.12954117729450823</v>
      </c>
    </row>
    <row r="28" spans="1:26" x14ac:dyDescent="0.25">
      <c r="A28" s="711" t="s">
        <v>95</v>
      </c>
      <c r="B28" s="711"/>
      <c r="C28" s="100">
        <f>C26-C27</f>
        <v>1105544</v>
      </c>
      <c r="D28" s="100">
        <f t="shared" ref="D28:S28" si="22">D26-D27</f>
        <v>15074</v>
      </c>
      <c r="E28" s="100">
        <f t="shared" si="22"/>
        <v>89962</v>
      </c>
      <c r="F28" s="100">
        <f t="shared" si="22"/>
        <v>142056</v>
      </c>
      <c r="G28" s="100">
        <f t="shared" si="22"/>
        <v>-4591</v>
      </c>
      <c r="H28" s="100">
        <f t="shared" si="22"/>
        <v>111189</v>
      </c>
      <c r="I28" s="100">
        <f t="shared" si="22"/>
        <v>-2352</v>
      </c>
      <c r="J28" s="100">
        <f t="shared" si="22"/>
        <v>151620</v>
      </c>
      <c r="K28" s="100">
        <f t="shared" si="22"/>
        <v>-2248</v>
      </c>
      <c r="L28" s="100">
        <f t="shared" si="22"/>
        <v>152599</v>
      </c>
      <c r="M28" s="100">
        <f t="shared" si="22"/>
        <v>-11162</v>
      </c>
      <c r="N28" s="100">
        <f t="shared" si="22"/>
        <v>139125</v>
      </c>
      <c r="O28" s="100">
        <f t="shared" si="22"/>
        <v>-353</v>
      </c>
      <c r="P28" s="100">
        <f t="shared" si="22"/>
        <v>145400</v>
      </c>
      <c r="Q28" s="100">
        <f t="shared" si="22"/>
        <v>77</v>
      </c>
      <c r="R28" s="100">
        <f>R26-R27</f>
        <v>148014</v>
      </c>
      <c r="S28" s="100">
        <f t="shared" si="22"/>
        <v>31134</v>
      </c>
      <c r="T28" s="101"/>
      <c r="Y28" s="81" t="s">
        <v>88</v>
      </c>
      <c r="Z28" s="91">
        <f t="shared" si="18"/>
        <v>0.31306216316763802</v>
      </c>
    </row>
    <row r="29" spans="1:26" x14ac:dyDescent="0.25">
      <c r="A29" s="719" t="s">
        <v>96</v>
      </c>
      <c r="B29" s="719"/>
      <c r="C29" s="96">
        <f>C8+C9+C10+C12</f>
        <v>1900</v>
      </c>
      <c r="D29" s="96">
        <f t="shared" ref="D29:S29" si="23">D8+D9+D10+D12</f>
        <v>0</v>
      </c>
      <c r="E29" s="96">
        <f t="shared" si="23"/>
        <v>0</v>
      </c>
      <c r="F29" s="96">
        <f t="shared" si="23"/>
        <v>1900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0</v>
      </c>
      <c r="T29" s="101"/>
      <c r="Y29" s="81" t="s">
        <v>67</v>
      </c>
      <c r="Z29" s="91">
        <f t="shared" si="18"/>
        <v>0</v>
      </c>
    </row>
    <row r="30" spans="1:26" s="59" customFormat="1" x14ac:dyDescent="0.25">
      <c r="A30" s="710" t="s">
        <v>97</v>
      </c>
      <c r="B30" s="710"/>
      <c r="C30" s="98">
        <f>C16+C19+C20+C22</f>
        <v>1320029</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773344</v>
      </c>
      <c r="M30" s="98">
        <f t="shared" si="24"/>
        <v>0</v>
      </c>
      <c r="N30" s="98">
        <f t="shared" si="24"/>
        <v>0</v>
      </c>
      <c r="O30" s="98">
        <f t="shared" si="24"/>
        <v>0</v>
      </c>
      <c r="P30" s="98">
        <f t="shared" si="24"/>
        <v>0</v>
      </c>
      <c r="Q30" s="98">
        <f t="shared" si="24"/>
        <v>0</v>
      </c>
      <c r="R30" s="98">
        <f>R16+R19+R20+R22</f>
        <v>0</v>
      </c>
      <c r="S30" s="98">
        <f t="shared" si="24"/>
        <v>546685</v>
      </c>
      <c r="Y30" s="81" t="s">
        <v>89</v>
      </c>
      <c r="Z30" s="91">
        <f t="shared" si="18"/>
        <v>9.8775147687062519E-3</v>
      </c>
    </row>
    <row r="31" spans="1:26" s="59" customFormat="1" x14ac:dyDescent="0.25">
      <c r="A31" s="711" t="s">
        <v>98</v>
      </c>
      <c r="B31" s="711"/>
      <c r="C31" s="100">
        <f>C29-C30</f>
        <v>-1318129</v>
      </c>
      <c r="D31" s="100">
        <f t="shared" ref="D31:S31" si="25">D29-D30</f>
        <v>0</v>
      </c>
      <c r="E31" s="100">
        <f t="shared" si="25"/>
        <v>0</v>
      </c>
      <c r="F31" s="100">
        <f t="shared" si="25"/>
        <v>1900</v>
      </c>
      <c r="G31" s="100">
        <f t="shared" si="25"/>
        <v>0</v>
      </c>
      <c r="H31" s="100">
        <f t="shared" si="25"/>
        <v>0</v>
      </c>
      <c r="I31" s="100">
        <f t="shared" si="25"/>
        <v>0</v>
      </c>
      <c r="J31" s="100">
        <f t="shared" si="25"/>
        <v>0</v>
      </c>
      <c r="K31" s="100">
        <f t="shared" si="25"/>
        <v>0</v>
      </c>
      <c r="L31" s="100">
        <f t="shared" si="25"/>
        <v>-773344</v>
      </c>
      <c r="M31" s="100">
        <f t="shared" si="25"/>
        <v>0</v>
      </c>
      <c r="N31" s="100">
        <f t="shared" si="25"/>
        <v>0</v>
      </c>
      <c r="O31" s="100">
        <f t="shared" si="25"/>
        <v>0</v>
      </c>
      <c r="P31" s="100">
        <f t="shared" si="25"/>
        <v>0</v>
      </c>
      <c r="Q31" s="100">
        <f t="shared" si="25"/>
        <v>0</v>
      </c>
      <c r="R31" s="100">
        <f>R29-R30</f>
        <v>0</v>
      </c>
      <c r="S31" s="100">
        <f t="shared" si="25"/>
        <v>-546685</v>
      </c>
      <c r="Y31" s="81" t="s">
        <v>90</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20" t="s">
        <v>259</v>
      </c>
      <c r="C33" s="173" t="s">
        <v>181</v>
      </c>
      <c r="D33" s="174"/>
      <c r="E33" s="174"/>
      <c r="F33" s="174"/>
      <c r="G33" s="174"/>
      <c r="H33" s="174"/>
      <c r="I33" s="174"/>
      <c r="J33" s="174"/>
      <c r="K33" s="174"/>
      <c r="L33" s="174"/>
      <c r="M33" s="174"/>
      <c r="N33" s="174"/>
      <c r="O33" s="174"/>
      <c r="P33" s="174"/>
      <c r="Q33" s="174"/>
      <c r="R33" s="174"/>
      <c r="S33" s="174">
        <v>49820</v>
      </c>
      <c r="Y33" s="712">
        <f>C23</f>
        <v>2470257</v>
      </c>
      <c r="Z33" s="713"/>
    </row>
    <row r="34" spans="1:26" x14ac:dyDescent="0.25">
      <c r="A34" s="57"/>
      <c r="B34" s="720"/>
      <c r="C34" s="173" t="s">
        <v>104</v>
      </c>
      <c r="D34" s="174"/>
      <c r="E34" s="174"/>
      <c r="F34" s="174"/>
      <c r="G34" s="174"/>
      <c r="H34" s="174"/>
      <c r="I34" s="174"/>
      <c r="J34" s="174"/>
      <c r="K34" s="174"/>
      <c r="L34" s="174"/>
      <c r="M34" s="174"/>
      <c r="N34" s="174"/>
      <c r="O34" s="174"/>
      <c r="P34" s="174"/>
      <c r="Q34" s="174"/>
      <c r="R34" s="174"/>
      <c r="S34" s="174">
        <v>16014</v>
      </c>
    </row>
    <row r="35" spans="1:26" x14ac:dyDescent="0.25">
      <c r="A35" s="57"/>
      <c r="B35" s="720"/>
      <c r="C35" s="173" t="s">
        <v>61</v>
      </c>
      <c r="D35" s="175"/>
      <c r="E35" s="175"/>
      <c r="F35" s="175"/>
      <c r="G35" s="175"/>
      <c r="H35" s="175"/>
      <c r="I35" s="175"/>
      <c r="J35" s="175"/>
      <c r="K35" s="175"/>
      <c r="L35" s="175"/>
      <c r="M35" s="175"/>
      <c r="N35" s="175"/>
      <c r="O35" s="175"/>
      <c r="P35" s="175"/>
      <c r="Q35" s="175"/>
      <c r="R35" s="175"/>
      <c r="S35" s="175" t="s">
        <v>392</v>
      </c>
    </row>
    <row r="36" spans="1:26" x14ac:dyDescent="0.25">
      <c r="A36" s="57"/>
      <c r="B36" s="720"/>
      <c r="C36" s="173" t="s">
        <v>210</v>
      </c>
      <c r="D36" s="176"/>
      <c r="E36" s="176"/>
      <c r="F36" s="176"/>
      <c r="G36" s="176"/>
      <c r="H36" s="176"/>
      <c r="I36" s="176"/>
      <c r="J36" s="176"/>
      <c r="K36" s="176"/>
      <c r="L36" s="176"/>
      <c r="M36" s="176"/>
      <c r="N36" s="176"/>
      <c r="O36" s="176"/>
      <c r="P36" s="176"/>
      <c r="Q36" s="176"/>
      <c r="R36" s="176"/>
      <c r="S36" s="176" t="s">
        <v>395</v>
      </c>
    </row>
    <row r="37" spans="1:26" ht="30" x14ac:dyDescent="0.25">
      <c r="B37" s="720"/>
      <c r="C37" s="173" t="s">
        <v>211</v>
      </c>
      <c r="D37" s="176"/>
      <c r="E37" s="176"/>
      <c r="F37" s="176"/>
      <c r="G37" s="176"/>
      <c r="H37" s="176"/>
      <c r="I37" s="176"/>
      <c r="J37" s="176"/>
      <c r="K37" s="176"/>
      <c r="L37" s="176"/>
      <c r="M37" s="176"/>
      <c r="N37" s="176"/>
      <c r="O37" s="176"/>
      <c r="P37" s="176"/>
      <c r="Q37" s="176"/>
      <c r="R37" s="176"/>
      <c r="S37" s="176" t="s">
        <v>393</v>
      </c>
    </row>
    <row r="38" spans="1:26" x14ac:dyDescent="0.25">
      <c r="B38" s="720"/>
      <c r="C38" s="173" t="s">
        <v>257</v>
      </c>
      <c r="D38" s="176"/>
      <c r="E38" s="176"/>
      <c r="F38" s="176"/>
      <c r="G38" s="176"/>
      <c r="H38" s="176"/>
      <c r="I38" s="176"/>
      <c r="J38" s="176"/>
      <c r="K38" s="176"/>
      <c r="L38" s="176"/>
      <c r="M38" s="176"/>
      <c r="N38" s="176"/>
      <c r="O38" s="176"/>
      <c r="P38" s="176"/>
      <c r="Q38" s="176"/>
      <c r="R38" s="176"/>
      <c r="S38" s="176" t="s">
        <v>394</v>
      </c>
    </row>
    <row r="39" spans="1:26" ht="15" customHeight="1" x14ac:dyDescent="0.25">
      <c r="G39" s="216"/>
      <c r="H39" s="104"/>
      <c r="I39"/>
      <c r="J39"/>
    </row>
    <row r="40" spans="1:26" ht="15" customHeight="1" x14ac:dyDescent="0.25">
      <c r="G40" s="714"/>
      <c r="H40" s="714"/>
      <c r="I40" s="714"/>
      <c r="J40" s="714"/>
    </row>
    <row r="41" spans="1:26" x14ac:dyDescent="0.25">
      <c r="G41" s="216"/>
      <c r="H41" s="216"/>
      <c r="I41" s="216"/>
      <c r="J41" s="216"/>
    </row>
    <row r="42" spans="1:26" x14ac:dyDescent="0.25">
      <c r="G42" s="216"/>
      <c r="H42" s="216"/>
      <c r="I42" s="216"/>
      <c r="J42" s="216"/>
    </row>
    <row r="43" spans="1:26" x14ac:dyDescent="0.25">
      <c r="G43" s="216"/>
      <c r="H43" s="216"/>
      <c r="I43" s="216"/>
      <c r="J43" s="216"/>
    </row>
    <row r="44" spans="1:26" x14ac:dyDescent="0.25">
      <c r="G44" s="216"/>
      <c r="H44" s="216"/>
      <c r="I44" s="216"/>
      <c r="J44" s="216"/>
    </row>
    <row r="45" spans="1:26" x14ac:dyDescent="0.25">
      <c r="G45" s="216"/>
      <c r="H45" s="216"/>
      <c r="I45" s="216"/>
      <c r="J45" s="216"/>
    </row>
    <row r="46" spans="1:26" x14ac:dyDescent="0.25">
      <c r="G46" s="216"/>
      <c r="H46" s="216"/>
      <c r="I46" s="216"/>
      <c r="J46" s="216"/>
    </row>
    <row r="47" spans="1:26" x14ac:dyDescent="0.25">
      <c r="G47" s="216"/>
      <c r="H47" s="216"/>
      <c r="I47" s="216"/>
      <c r="J47" s="216"/>
    </row>
    <row r="48" spans="1:26" x14ac:dyDescent="0.25">
      <c r="G48" s="216"/>
      <c r="H48" s="216"/>
      <c r="I48" s="216"/>
      <c r="J48" s="216"/>
    </row>
    <row r="49" spans="7:10" x14ac:dyDescent="0.25">
      <c r="G49" s="709"/>
      <c r="H49" s="709"/>
      <c r="I49" s="709"/>
      <c r="J49" s="709"/>
    </row>
    <row r="50" spans="7:10" x14ac:dyDescent="0.25">
      <c r="G50" s="216"/>
      <c r="H50" s="216"/>
      <c r="I50" s="216"/>
      <c r="J50" s="216"/>
    </row>
    <row r="51" spans="7:10" x14ac:dyDescent="0.25">
      <c r="G51" s="709"/>
      <c r="H51" s="709"/>
      <c r="I51" s="709"/>
      <c r="J51" s="709"/>
    </row>
    <row r="52" spans="7:10" ht="15" customHeight="1" x14ac:dyDescent="0.25">
      <c r="G52" s="709"/>
      <c r="H52" s="709"/>
      <c r="I52" s="709"/>
      <c r="J52" s="105"/>
    </row>
  </sheetData>
  <mergeCells count="15">
    <mergeCell ref="G49:J49"/>
    <mergeCell ref="G51:J51"/>
    <mergeCell ref="G52:I52"/>
    <mergeCell ref="A30:B30"/>
    <mergeCell ref="A31:B31"/>
    <mergeCell ref="B33:B38"/>
    <mergeCell ref="Y33:Z33"/>
    <mergeCell ref="G40:H40"/>
    <mergeCell ref="I40:J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21" t="s">
        <v>289</v>
      </c>
      <c r="C2" s="722"/>
      <c r="D2" s="722"/>
      <c r="E2" s="722"/>
      <c r="F2" s="722"/>
      <c r="G2" s="723"/>
      <c r="I2" s="724" t="s">
        <v>101</v>
      </c>
      <c r="J2" s="724"/>
      <c r="K2" s="724"/>
      <c r="L2" s="724"/>
      <c r="M2" s="724"/>
      <c r="N2" s="724"/>
      <c r="O2" s="724"/>
      <c r="P2" s="724"/>
      <c r="Q2" s="724"/>
      <c r="R2" s="724"/>
      <c r="S2" s="724"/>
      <c r="T2" s="724"/>
    </row>
    <row r="3" spans="2:20" x14ac:dyDescent="0.25">
      <c r="B3" s="725" t="s">
        <v>102</v>
      </c>
      <c r="C3" s="726"/>
      <c r="D3" s="726"/>
      <c r="E3" s="726"/>
      <c r="F3" s="726"/>
      <c r="G3" s="727"/>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8" t="s">
        <v>113</v>
      </c>
      <c r="C4" s="729"/>
      <c r="D4" s="109"/>
      <c r="E4" s="730" t="s">
        <v>114</v>
      </c>
      <c r="F4" s="729"/>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0" si="0">IF(M5=0,0,M5-K5)-N5</f>
        <v>0</v>
      </c>
      <c r="P5" s="111">
        <f t="shared" ref="P5:P20" si="1">IF(M5=0,K5,0)</f>
        <v>0</v>
      </c>
      <c r="Q5" s="168"/>
      <c r="R5" s="112">
        <v>41400</v>
      </c>
      <c r="S5" s="112"/>
      <c r="T5" s="168"/>
    </row>
    <row r="6" spans="2:20" x14ac:dyDescent="0.25">
      <c r="B6" s="116" t="s">
        <v>116</v>
      </c>
      <c r="C6" s="117">
        <f>SUM(C7:C9)</f>
        <v>1211930</v>
      </c>
      <c r="D6" s="140">
        <f>C6/$C$34</f>
        <v>0.27852565008584923</v>
      </c>
      <c r="E6" s="116" t="s">
        <v>117</v>
      </c>
      <c r="F6" s="117">
        <f>F7+F8+F9</f>
        <v>987461</v>
      </c>
      <c r="G6" s="118">
        <f>F6/$F$34</f>
        <v>0.22693820349312482</v>
      </c>
      <c r="I6" s="219" t="s">
        <v>120</v>
      </c>
      <c r="J6" s="220" t="s">
        <v>200</v>
      </c>
      <c r="K6" s="221">
        <v>0</v>
      </c>
      <c r="L6" s="221">
        <v>0</v>
      </c>
      <c r="M6" s="221">
        <v>2000</v>
      </c>
      <c r="N6" s="221">
        <v>100</v>
      </c>
      <c r="O6" s="221">
        <f t="shared" si="0"/>
        <v>1900</v>
      </c>
      <c r="P6" s="221">
        <f t="shared" si="1"/>
        <v>0</v>
      </c>
      <c r="Q6" s="222"/>
      <c r="R6" s="223">
        <v>41400</v>
      </c>
      <c r="S6" s="223">
        <v>41537</v>
      </c>
      <c r="T6" s="222"/>
    </row>
    <row r="7" spans="2:20" x14ac:dyDescent="0.25">
      <c r="B7" s="119" t="s">
        <v>84</v>
      </c>
      <c r="C7" s="120">
        <f>EconomiaT41!C16+'A-P_T40'!C7</f>
        <v>943230</v>
      </c>
      <c r="D7" s="202">
        <f>C7/$C$34</f>
        <v>0.21677303881451535</v>
      </c>
      <c r="E7" s="203" t="s">
        <v>118</v>
      </c>
      <c r="F7" s="204">
        <f>EconomiaT40!C5</f>
        <v>300000</v>
      </c>
      <c r="G7" s="121">
        <f>F7/$F$34</f>
        <v>6.8945974623744577E-2</v>
      </c>
      <c r="I7" s="169" t="s">
        <v>115</v>
      </c>
      <c r="J7" s="110" t="s">
        <v>205</v>
      </c>
      <c r="K7" s="111">
        <v>0</v>
      </c>
      <c r="L7" s="111">
        <v>0</v>
      </c>
      <c r="M7" s="111">
        <v>0</v>
      </c>
      <c r="N7" s="111">
        <v>0</v>
      </c>
      <c r="O7" s="111">
        <f t="shared" si="0"/>
        <v>0</v>
      </c>
      <c r="P7" s="111">
        <f t="shared" si="1"/>
        <v>0</v>
      </c>
      <c r="Q7" s="168"/>
      <c r="R7" s="112">
        <v>41400</v>
      </c>
      <c r="S7" s="112"/>
      <c r="T7" s="168"/>
    </row>
    <row r="8" spans="2:20" x14ac:dyDescent="0.25">
      <c r="B8" s="119" t="s">
        <v>67</v>
      </c>
      <c r="C8" s="120">
        <f>EconomiaT41!C20+'A-P_T40'!C8</f>
        <v>268700</v>
      </c>
      <c r="D8" s="202">
        <f>C8/$C$34</f>
        <v>6.1752611271333899E-2</v>
      </c>
      <c r="E8" s="203" t="s">
        <v>261</v>
      </c>
      <c r="F8" s="204">
        <v>0</v>
      </c>
      <c r="G8" s="121">
        <f>F8/$F$34</f>
        <v>0</v>
      </c>
      <c r="I8" s="169" t="s">
        <v>115</v>
      </c>
      <c r="J8" s="110" t="s">
        <v>195</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288</v>
      </c>
      <c r="F9" s="204">
        <f>'A-P_T40'!F11-EconomiaT40!C24+EconomiaT40!C5</f>
        <v>687461</v>
      </c>
      <c r="G9" s="121">
        <f>F9/$F$34</f>
        <v>0.15799222886938025</v>
      </c>
      <c r="I9" s="169" t="s">
        <v>115</v>
      </c>
      <c r="J9" s="110" t="s">
        <v>199</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203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772000</v>
      </c>
      <c r="D11" s="140">
        <f>C11/$C$34</f>
        <v>0.17742097469843604</v>
      </c>
      <c r="E11" s="116" t="s">
        <v>107</v>
      </c>
      <c r="F11" s="117">
        <f>SUM(F12:F17)+C9</f>
        <v>894859</v>
      </c>
      <c r="G11" s="118">
        <f t="shared" ref="G11:G17" si="2">F11/$F$34</f>
        <v>0.20565641968609816</v>
      </c>
      <c r="I11" s="169" t="s">
        <v>115</v>
      </c>
      <c r="J11" s="110" t="s">
        <v>193</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SUMIF(I4:I89,"S",$P$4:$P$89)</f>
        <v>0</v>
      </c>
      <c r="D12" s="202">
        <f>C12/$C$34</f>
        <v>0</v>
      </c>
      <c r="E12" s="49" t="s">
        <v>122</v>
      </c>
      <c r="F12" s="131">
        <f>SUMIF(I4:I54,"J",$O$4:$O$84)</f>
        <v>0</v>
      </c>
      <c r="G12" s="121">
        <f t="shared" si="2"/>
        <v>0</v>
      </c>
      <c r="I12" s="169" t="s">
        <v>115</v>
      </c>
      <c r="J12" s="110" t="s">
        <v>197</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SUMIF(I4:I84,"J",$P$4:$P$84)</f>
        <v>772000</v>
      </c>
      <c r="D13" s="202">
        <f>C13/$C$34</f>
        <v>0.17742097469843604</v>
      </c>
      <c r="E13" s="49" t="s">
        <v>123</v>
      </c>
      <c r="F13" s="131">
        <f>SUMIF(I3:I53,"S",$O$4:$O$84)</f>
        <v>0</v>
      </c>
      <c r="G13" s="121">
        <f t="shared" si="2"/>
        <v>0</v>
      </c>
      <c r="I13" s="169" t="s">
        <v>115</v>
      </c>
      <c r="J13" s="110" t="s">
        <v>191</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SUMIF(I4:I84,"E",$P$4:$P$84)</f>
        <v>0</v>
      </c>
      <c r="D14" s="202">
        <f>C14/$C$34</f>
        <v>0</v>
      </c>
      <c r="E14" s="49" t="s">
        <v>124</v>
      </c>
      <c r="F14" s="131">
        <f>SUMIF(I4:I54,"C",$O$4:$O$84)</f>
        <v>0</v>
      </c>
      <c r="G14" s="121">
        <f t="shared" si="2"/>
        <v>0</v>
      </c>
      <c r="I14" s="169" t="s">
        <v>115</v>
      </c>
      <c r="J14" s="110" t="s">
        <v>196</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SUMIF(I4:I84,"M",$P$4:$P$84)</f>
        <v>0</v>
      </c>
      <c r="D15" s="202">
        <f>C15/$C$34</f>
        <v>0</v>
      </c>
      <c r="E15" s="49" t="s">
        <v>126</v>
      </c>
      <c r="F15" s="131">
        <f>SUMIF(I4:I54,"E",$O$4:$O$84)</f>
        <v>1900</v>
      </c>
      <c r="G15" s="121">
        <f t="shared" si="2"/>
        <v>4.3665783928371568E-4</v>
      </c>
      <c r="I15" s="169" t="s">
        <v>115</v>
      </c>
      <c r="J15" s="110" t="s">
        <v>190</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SUMIF(I4:I54,"M",$O$4:$O$84)</f>
        <v>0</v>
      </c>
      <c r="G16" s="121">
        <f t="shared" si="2"/>
        <v>0</v>
      </c>
      <c r="I16" s="169" t="s">
        <v>115</v>
      </c>
      <c r="J16" s="110" t="s">
        <v>198</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1900</v>
      </c>
      <c r="D17" s="140">
        <f>C17/$C$34</f>
        <v>4.3665783928371568E-4</v>
      </c>
      <c r="E17" s="135" t="s">
        <v>128</v>
      </c>
      <c r="F17" s="136">
        <f>C9+C22-F27+EconomiaT41!C24-EconomiaT41!C5</f>
        <v>892959</v>
      </c>
      <c r="G17" s="121">
        <f t="shared" si="2"/>
        <v>0.20521976184681445</v>
      </c>
      <c r="I17" s="169" t="s">
        <v>115</v>
      </c>
      <c r="J17" s="110" t="s">
        <v>202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SUM(M4:M63)</f>
        <v>2000</v>
      </c>
      <c r="D18" s="202">
        <f>C18/$C$34</f>
        <v>4.5963983082496386E-4</v>
      </c>
      <c r="E18" s="124"/>
      <c r="F18" s="125"/>
      <c r="G18" s="137"/>
      <c r="I18" s="169" t="s">
        <v>115</v>
      </c>
      <c r="J18" s="110" t="s">
        <v>192</v>
      </c>
      <c r="K18" s="111">
        <v>0</v>
      </c>
      <c r="L18" s="111">
        <v>0</v>
      </c>
      <c r="M18" s="111">
        <v>0</v>
      </c>
      <c r="N18" s="111">
        <v>0</v>
      </c>
      <c r="O18" s="111">
        <f t="shared" si="0"/>
        <v>0</v>
      </c>
      <c r="P18" s="111">
        <f t="shared" si="1"/>
        <v>0</v>
      </c>
      <c r="Q18" s="168"/>
      <c r="R18" s="112">
        <v>41400</v>
      </c>
      <c r="S18" s="112"/>
      <c r="T18" s="168"/>
    </row>
    <row r="19" spans="2:20" x14ac:dyDescent="0.25">
      <c r="B19" s="122" t="s">
        <v>76</v>
      </c>
      <c r="C19" s="123">
        <f>SUM(N4:N45)*-1</f>
        <v>-100</v>
      </c>
      <c r="D19" s="202">
        <f>C19/$C$34</f>
        <v>-2.2981991541248192E-5</v>
      </c>
      <c r="E19" s="116" t="s">
        <v>129</v>
      </c>
      <c r="F19" s="134">
        <f>F20+F21</f>
        <v>772000</v>
      </c>
      <c r="G19" s="118">
        <f>F19/$F$34</f>
        <v>0.17742097469843604</v>
      </c>
      <c r="I19" s="169" t="s">
        <v>115</v>
      </c>
      <c r="J19" s="110" t="s">
        <v>201</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EconomiaT41!C19</f>
        <v>773344</v>
      </c>
      <c r="G20" s="121">
        <f>F20/$F$34</f>
        <v>0.17772985266475042</v>
      </c>
      <c r="I20" s="169" t="s">
        <v>115</v>
      </c>
      <c r="J20" s="110" t="s">
        <v>194</v>
      </c>
      <c r="K20" s="111">
        <v>0</v>
      </c>
      <c r="L20" s="111">
        <v>0</v>
      </c>
      <c r="M20" s="111">
        <v>0</v>
      </c>
      <c r="N20" s="111">
        <v>0</v>
      </c>
      <c r="O20" s="111">
        <f t="shared" si="0"/>
        <v>0</v>
      </c>
      <c r="P20" s="111">
        <f t="shared" si="1"/>
        <v>0</v>
      </c>
      <c r="Q20" s="168"/>
      <c r="R20" s="112">
        <v>41400</v>
      </c>
      <c r="S20" s="112"/>
      <c r="T20" s="168"/>
    </row>
    <row r="21" spans="2:20" x14ac:dyDescent="0.25">
      <c r="B21" s="132"/>
      <c r="C21" s="133"/>
      <c r="D21" s="140"/>
      <c r="E21" s="122" t="s">
        <v>130</v>
      </c>
      <c r="F21" s="208">
        <f>SUM(L4:L54)*-1</f>
        <v>-1344</v>
      </c>
      <c r="G21" s="121">
        <f>F21/$F$34</f>
        <v>-3.0887796631437573E-4</v>
      </c>
      <c r="I21" s="169" t="s">
        <v>120</v>
      </c>
      <c r="J21" s="110" t="s">
        <v>293</v>
      </c>
      <c r="K21" s="111">
        <v>0</v>
      </c>
      <c r="L21" s="111">
        <v>0</v>
      </c>
      <c r="M21" s="111">
        <v>0</v>
      </c>
      <c r="N21" s="111">
        <v>0</v>
      </c>
      <c r="O21" s="111">
        <f t="shared" ref="O21" si="3">IF(M21=0,0,M21-K21)-N21</f>
        <v>0</v>
      </c>
      <c r="P21" s="111">
        <f t="shared" ref="P21" si="4">IF(M21=0,K21,0)</f>
        <v>0</v>
      </c>
      <c r="Q21" s="168"/>
      <c r="R21" s="112">
        <v>41519</v>
      </c>
      <c r="S21" s="112"/>
      <c r="T21" s="168"/>
    </row>
    <row r="22" spans="2:20" x14ac:dyDescent="0.25">
      <c r="B22" s="116" t="s">
        <v>131</v>
      </c>
      <c r="C22" s="117">
        <f>SUM(C23:C27)</f>
        <v>2255772</v>
      </c>
      <c r="D22" s="140">
        <f t="shared" ref="D22:D27" si="5">C22/$C$34</f>
        <v>0.51842133022984516</v>
      </c>
      <c r="E22" s="116"/>
      <c r="F22" s="117"/>
      <c r="G22" s="118"/>
      <c r="I22" s="169" t="s">
        <v>120</v>
      </c>
      <c r="J22" s="110" t="s">
        <v>294</v>
      </c>
      <c r="K22" s="111">
        <v>0</v>
      </c>
      <c r="L22" s="111">
        <v>0</v>
      </c>
      <c r="M22" s="111">
        <v>0</v>
      </c>
      <c r="N22" s="111">
        <v>0</v>
      </c>
      <c r="O22" s="111">
        <f t="shared" ref="O22" si="6">IF(M22=0,0,M22-K22)-N22</f>
        <v>0</v>
      </c>
      <c r="P22" s="111">
        <f t="shared" ref="P22" si="7">IF(M22=0,K22,0)</f>
        <v>0</v>
      </c>
      <c r="Q22" s="168"/>
      <c r="R22" s="112">
        <v>41527</v>
      </c>
      <c r="S22" s="112"/>
      <c r="T22" s="168"/>
    </row>
    <row r="23" spans="2:20" x14ac:dyDescent="0.25">
      <c r="B23" s="138" t="s">
        <v>69</v>
      </c>
      <c r="C23" s="139">
        <f>EconomiaT41!C11</f>
        <v>42540</v>
      </c>
      <c r="D23" s="202">
        <f t="shared" si="5"/>
        <v>9.7765392016469811E-3</v>
      </c>
      <c r="E23" s="116" t="s">
        <v>264</v>
      </c>
      <c r="F23" s="117">
        <f>SUM(F24:F25)</f>
        <v>546685</v>
      </c>
      <c r="G23" s="118">
        <f>F23/$F$34</f>
        <v>0.1256391004572727</v>
      </c>
      <c r="I23" s="169" t="s">
        <v>120</v>
      </c>
      <c r="J23" s="110" t="s">
        <v>295</v>
      </c>
      <c r="K23" s="111">
        <v>0</v>
      </c>
      <c r="L23" s="111">
        <v>0</v>
      </c>
      <c r="M23" s="111">
        <v>0</v>
      </c>
      <c r="N23" s="111">
        <v>0</v>
      </c>
      <c r="O23" s="111">
        <f t="shared" ref="O23:O24" si="8">IF(M23=0,0,M23-K23)-N23</f>
        <v>0</v>
      </c>
      <c r="P23" s="111">
        <f t="shared" ref="P23:P24" si="9">IF(M23=0,K23,0)</f>
        <v>0</v>
      </c>
      <c r="Q23" s="168"/>
      <c r="R23" s="112">
        <v>41532</v>
      </c>
      <c r="S23" s="112"/>
      <c r="T23" s="168"/>
    </row>
    <row r="24" spans="2:20" x14ac:dyDescent="0.25">
      <c r="B24" s="138" t="s">
        <v>79</v>
      </c>
      <c r="C24" s="139">
        <f>EconomiaT41!C12</f>
        <v>0</v>
      </c>
      <c r="D24" s="202">
        <f t="shared" si="5"/>
        <v>0</v>
      </c>
      <c r="E24" s="206" t="s">
        <v>84</v>
      </c>
      <c r="F24" s="209">
        <f>EconomiaT41!C16</f>
        <v>546685</v>
      </c>
      <c r="G24" s="121">
        <f>F24/$F$34</f>
        <v>0.1256391004572727</v>
      </c>
      <c r="I24" s="169" t="s">
        <v>115</v>
      </c>
      <c r="J24" s="110" t="s">
        <v>387</v>
      </c>
      <c r="K24" s="111">
        <v>772000</v>
      </c>
      <c r="L24" s="111">
        <v>1344</v>
      </c>
      <c r="M24" s="111">
        <v>0</v>
      </c>
      <c r="N24" s="111">
        <v>0</v>
      </c>
      <c r="O24" s="111">
        <f t="shared" si="8"/>
        <v>0</v>
      </c>
      <c r="P24" s="111">
        <f t="shared" si="9"/>
        <v>772000</v>
      </c>
      <c r="Q24" s="168"/>
      <c r="R24" s="112">
        <v>41576</v>
      </c>
      <c r="S24" s="112"/>
      <c r="T24" s="168"/>
    </row>
    <row r="25" spans="2:20" x14ac:dyDescent="0.25">
      <c r="B25" s="138" t="s">
        <v>71</v>
      </c>
      <c r="C25" s="139">
        <f>EconomiaT41!C6</f>
        <v>1221024</v>
      </c>
      <c r="D25" s="202">
        <f t="shared" si="5"/>
        <v>0.28061563239661036</v>
      </c>
      <c r="E25" s="206" t="s">
        <v>67</v>
      </c>
      <c r="F25" s="209">
        <f>EconomiaT41!C20</f>
        <v>0</v>
      </c>
      <c r="G25" s="121">
        <f>F25/$F$34</f>
        <v>0</v>
      </c>
      <c r="I25" s="17"/>
      <c r="J25" s="108"/>
      <c r="K25" s="126"/>
      <c r="L25" s="126"/>
      <c r="M25" s="126"/>
      <c r="N25" s="126"/>
      <c r="O25" s="126"/>
      <c r="P25" s="126"/>
      <c r="Q25" s="127"/>
      <c r="R25" s="128"/>
      <c r="S25" s="128"/>
      <c r="T25" s="167"/>
    </row>
    <row r="26" spans="2:20" x14ac:dyDescent="0.25">
      <c r="B26" s="138" t="s">
        <v>72</v>
      </c>
      <c r="C26" s="139">
        <f>EconomiaT41!C7</f>
        <v>992208</v>
      </c>
      <c r="D26" s="202">
        <f t="shared" si="5"/>
        <v>0.22802915863158787</v>
      </c>
      <c r="E26" s="116"/>
      <c r="F26" s="117"/>
      <c r="G26" s="118"/>
      <c r="I26" s="17"/>
      <c r="J26" s="108"/>
      <c r="K26" s="126"/>
      <c r="L26" s="126"/>
      <c r="M26" s="126"/>
      <c r="N26" s="126"/>
      <c r="O26" s="126"/>
      <c r="P26" s="126"/>
      <c r="Q26" s="127"/>
      <c r="R26" s="128"/>
      <c r="S26" s="128"/>
      <c r="T26" s="127"/>
    </row>
    <row r="27" spans="2:20" x14ac:dyDescent="0.25">
      <c r="B27" s="138" t="s">
        <v>76</v>
      </c>
      <c r="C27" s="139">
        <f>EconomiaT41!C10</f>
        <v>0</v>
      </c>
      <c r="D27" s="202">
        <f t="shared" si="5"/>
        <v>0</v>
      </c>
      <c r="E27" s="116" t="s">
        <v>265</v>
      </c>
      <c r="F27" s="117">
        <f>SUM(F28:F33)</f>
        <v>1150228</v>
      </c>
      <c r="G27" s="118">
        <f t="shared" ref="G27:G33" si="10">F27/$F$34</f>
        <v>0.26434530166506826</v>
      </c>
      <c r="I27" s="17"/>
      <c r="J27" s="108"/>
      <c r="K27" s="126"/>
      <c r="L27" s="126"/>
      <c r="M27" s="126"/>
      <c r="N27" s="126"/>
      <c r="O27" s="126"/>
      <c r="P27" s="126"/>
      <c r="Q27" s="127"/>
      <c r="R27" s="128"/>
      <c r="S27" s="128"/>
      <c r="T27" s="127"/>
    </row>
    <row r="28" spans="2:20" x14ac:dyDescent="0.25">
      <c r="B28" s="116"/>
      <c r="C28" s="117"/>
      <c r="D28" s="140"/>
      <c r="E28" s="206" t="s">
        <v>132</v>
      </c>
      <c r="F28" s="209">
        <f>EconomiaT41!C14</f>
        <v>171948</v>
      </c>
      <c r="G28" s="121">
        <f t="shared" si="10"/>
        <v>3.9517074815345443E-2</v>
      </c>
      <c r="I28" s="17"/>
      <c r="J28" s="181"/>
      <c r="K28" s="126"/>
      <c r="L28" s="126"/>
      <c r="M28" s="126"/>
      <c r="N28" s="126"/>
      <c r="O28" s="126"/>
      <c r="P28" s="126"/>
      <c r="Q28" s="127"/>
      <c r="R28" s="128"/>
      <c r="S28" s="128"/>
      <c r="T28" s="127"/>
    </row>
    <row r="29" spans="2:20" x14ac:dyDescent="0.25">
      <c r="B29" s="116" t="s">
        <v>133</v>
      </c>
      <c r="C29" s="117">
        <f>EconomiaT41!S24</f>
        <v>109631</v>
      </c>
      <c r="D29" s="140">
        <f>C29/$C$34</f>
        <v>2.5195387146585806E-2</v>
      </c>
      <c r="E29" s="206" t="s">
        <v>82</v>
      </c>
      <c r="F29" s="209">
        <f>EconomiaT41!C15</f>
        <v>174880</v>
      </c>
      <c r="G29" s="121">
        <f t="shared" si="10"/>
        <v>4.0190906807334843E-2</v>
      </c>
      <c r="I29" s="17"/>
      <c r="J29" s="108"/>
      <c r="K29" s="126"/>
      <c r="L29" s="126"/>
      <c r="M29" s="126"/>
      <c r="N29" s="126"/>
      <c r="O29" s="126"/>
      <c r="P29" s="126"/>
      <c r="Q29" s="127"/>
      <c r="R29" s="128"/>
      <c r="S29" s="128"/>
      <c r="T29" s="167"/>
    </row>
    <row r="30" spans="2:20" x14ac:dyDescent="0.25">
      <c r="B30" s="116"/>
      <c r="C30" s="117"/>
      <c r="D30" s="140"/>
      <c r="E30" s="206" t="s">
        <v>85</v>
      </c>
      <c r="F30" s="209">
        <f>EconomiaT41!C17</f>
        <v>459000</v>
      </c>
      <c r="G30" s="121">
        <f t="shared" si="10"/>
        <v>0.1054873411743292</v>
      </c>
      <c r="I30" s="17"/>
      <c r="J30" s="108"/>
      <c r="K30" s="126"/>
      <c r="L30" s="126"/>
      <c r="M30" s="126"/>
      <c r="N30" s="126"/>
      <c r="O30" s="126"/>
      <c r="P30" s="126"/>
      <c r="Q30" s="127"/>
      <c r="R30" s="128"/>
      <c r="S30" s="128"/>
      <c r="T30" s="167"/>
    </row>
    <row r="31" spans="2:20" x14ac:dyDescent="0.25">
      <c r="B31" s="116"/>
      <c r="C31" s="117"/>
      <c r="D31" s="140"/>
      <c r="E31" s="206" t="s">
        <v>86</v>
      </c>
      <c r="F31" s="209">
        <f>EconomiaT41!C18</f>
        <v>320000</v>
      </c>
      <c r="G31" s="121">
        <f t="shared" si="10"/>
        <v>7.3542372931994213E-2</v>
      </c>
      <c r="I31" s="17"/>
      <c r="J31" s="108"/>
      <c r="K31" s="126"/>
      <c r="L31" s="126"/>
      <c r="M31" s="126"/>
      <c r="N31" s="126"/>
      <c r="O31" s="126"/>
      <c r="P31" s="126"/>
      <c r="Q31" s="127"/>
      <c r="R31" s="128"/>
      <c r="S31" s="128"/>
      <c r="T31" s="167"/>
    </row>
    <row r="32" spans="2:20" x14ac:dyDescent="0.25">
      <c r="B32" s="116"/>
      <c r="C32" s="117"/>
      <c r="D32" s="140"/>
      <c r="E32" s="206" t="s">
        <v>89</v>
      </c>
      <c r="F32" s="209">
        <f>EconomiaT41!C21</f>
        <v>24400</v>
      </c>
      <c r="G32" s="121">
        <f t="shared" si="10"/>
        <v>5.6076059360645591E-3</v>
      </c>
      <c r="I32" s="17"/>
      <c r="J32" s="108"/>
      <c r="K32" s="126"/>
      <c r="L32" s="126"/>
      <c r="M32" s="126"/>
      <c r="N32" s="126"/>
      <c r="O32" s="126"/>
      <c r="P32" s="126"/>
      <c r="Q32" s="127"/>
      <c r="R32" s="128"/>
      <c r="S32" s="128"/>
      <c r="T32" s="167"/>
    </row>
    <row r="33" spans="2:20" x14ac:dyDescent="0.25">
      <c r="B33" s="141"/>
      <c r="C33" s="142"/>
      <c r="D33" s="140"/>
      <c r="E33" s="206" t="s">
        <v>90</v>
      </c>
      <c r="F33" s="209">
        <f>EconomiaT41!C22</f>
        <v>0</v>
      </c>
      <c r="G33" s="121">
        <f t="shared" si="10"/>
        <v>0</v>
      </c>
      <c r="I33" s="17"/>
      <c r="J33" s="108"/>
      <c r="K33" s="126"/>
      <c r="L33" s="126"/>
      <c r="M33" s="126"/>
      <c r="N33" s="126"/>
      <c r="O33" s="126"/>
      <c r="P33" s="126"/>
      <c r="Q33" s="127"/>
      <c r="R33" s="128"/>
      <c r="S33" s="128"/>
      <c r="T33" s="167"/>
    </row>
    <row r="34" spans="2:20" ht="18.75" x14ac:dyDescent="0.3">
      <c r="B34" s="143" t="s">
        <v>27</v>
      </c>
      <c r="C34" s="144">
        <f>C22+C17+C11+C6+C29</f>
        <v>4351233</v>
      </c>
      <c r="D34" s="145">
        <f>C34/$C$34</f>
        <v>1</v>
      </c>
      <c r="E34" s="146" t="s">
        <v>27</v>
      </c>
      <c r="F34" s="147">
        <f>F27+F19+F11+F6+F23</f>
        <v>4351233</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67"/>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2" priority="1" operator="lessThan">
      <formula>0</formula>
    </cfRule>
    <cfRule type="cellIs" dxfId="261" priority="2" operator="greaterThan">
      <formula>0</formula>
    </cfRule>
  </conditionalFormatting>
  <pageMargins left="0.7" right="0.7" top="0.75" bottom="0.75" header="0.3" footer="0.3"/>
  <pageSetup paperSize="9" orientation="portrait"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C35" sqref="C35"/>
    </sheetView>
  </sheetViews>
  <sheetFormatPr defaultColWidth="11.42578125" defaultRowHeight="15" x14ac:dyDescent="0.25"/>
  <cols>
    <col min="1" max="1" width="23" style="4" bestFit="1" customWidth="1"/>
    <col min="2" max="2" width="16" style="4" customWidth="1"/>
    <col min="3" max="3" width="18.28515625" style="4" bestFit="1" customWidth="1"/>
    <col min="4" max="4" width="16.7109375" style="24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EconomiaT41!S25</f>
        <v>41628</v>
      </c>
      <c r="E2" s="55">
        <f t="shared" ref="E2:S2" si="0">D2+7</f>
        <v>41635</v>
      </c>
      <c r="F2" s="55">
        <f t="shared" si="0"/>
        <v>41642</v>
      </c>
      <c r="G2" s="55">
        <f t="shared" si="0"/>
        <v>41649</v>
      </c>
      <c r="H2" s="55">
        <f t="shared" si="0"/>
        <v>41656</v>
      </c>
      <c r="I2" s="55">
        <f t="shared" si="0"/>
        <v>41663</v>
      </c>
      <c r="J2" s="55">
        <f t="shared" si="0"/>
        <v>41670</v>
      </c>
      <c r="K2" s="55">
        <f t="shared" si="0"/>
        <v>41677</v>
      </c>
      <c r="L2" s="55">
        <f t="shared" si="0"/>
        <v>41684</v>
      </c>
      <c r="M2" s="55">
        <f t="shared" si="0"/>
        <v>41691</v>
      </c>
      <c r="N2" s="55">
        <f t="shared" si="0"/>
        <v>41698</v>
      </c>
      <c r="O2" s="55">
        <f t="shared" si="0"/>
        <v>41705</v>
      </c>
      <c r="P2" s="55">
        <f t="shared" si="0"/>
        <v>41712</v>
      </c>
      <c r="Q2" s="55">
        <f t="shared" si="0"/>
        <v>41719</v>
      </c>
      <c r="R2" s="55">
        <f t="shared" si="0"/>
        <v>41726</v>
      </c>
      <c r="S2" s="55">
        <f t="shared" si="0"/>
        <v>41733</v>
      </c>
      <c r="T2" s="56"/>
    </row>
    <row r="3" spans="1:26" s="59" customFormat="1" x14ac:dyDescent="0.25">
      <c r="A3" s="57"/>
      <c r="B3" s="57" t="s">
        <v>207</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v>980</v>
      </c>
      <c r="E4" s="61">
        <f t="shared" ref="E4:S4" si="1">D4+(D11/30)</f>
        <v>1011</v>
      </c>
      <c r="F4" s="61">
        <f t="shared" si="1"/>
        <v>1032</v>
      </c>
      <c r="G4" s="61">
        <f t="shared" si="1"/>
        <v>1044</v>
      </c>
      <c r="H4" s="61">
        <f t="shared" si="1"/>
        <v>1068</v>
      </c>
      <c r="I4" s="61">
        <f t="shared" si="1"/>
        <v>1092</v>
      </c>
      <c r="J4" s="61">
        <f t="shared" si="1"/>
        <v>1115</v>
      </c>
      <c r="K4" s="61">
        <f t="shared" si="1"/>
        <v>1137</v>
      </c>
      <c r="L4" s="61">
        <f t="shared" si="1"/>
        <v>1159</v>
      </c>
      <c r="M4" s="61">
        <f t="shared" si="1"/>
        <v>1181</v>
      </c>
      <c r="N4" s="61">
        <f t="shared" si="1"/>
        <v>1203</v>
      </c>
      <c r="O4" s="61">
        <f t="shared" si="1"/>
        <v>1224</v>
      </c>
      <c r="P4" s="61">
        <f t="shared" si="1"/>
        <v>1244</v>
      </c>
      <c r="Q4" s="61">
        <f t="shared" si="1"/>
        <v>1264</v>
      </c>
      <c r="R4" s="61">
        <f t="shared" si="1"/>
        <v>1284</v>
      </c>
      <c r="S4" s="61">
        <f t="shared" si="1"/>
        <v>1302</v>
      </c>
    </row>
    <row r="5" spans="1:26" s="66" customFormat="1" ht="18.75" x14ac:dyDescent="0.3">
      <c r="A5" s="62" t="s">
        <v>70</v>
      </c>
      <c r="B5" s="62"/>
      <c r="C5" s="63">
        <f>EconomiaT41!C24</f>
        <v>109631</v>
      </c>
      <c r="D5" s="64">
        <f>C5</f>
        <v>109631</v>
      </c>
      <c r="E5" s="64">
        <f t="shared" ref="E5:Q5" si="2">D24</f>
        <v>138751</v>
      </c>
      <c r="F5" s="64">
        <f t="shared" si="2"/>
        <v>414690</v>
      </c>
      <c r="G5" s="64">
        <f t="shared" si="2"/>
        <v>402288</v>
      </c>
      <c r="H5" s="64">
        <f t="shared" si="2"/>
        <v>616894</v>
      </c>
      <c r="I5" s="64">
        <f t="shared" si="2"/>
        <v>596935</v>
      </c>
      <c r="J5" s="64">
        <f t="shared" si="2"/>
        <v>800253</v>
      </c>
      <c r="K5" s="64">
        <f t="shared" si="2"/>
        <v>793985</v>
      </c>
      <c r="L5" s="64">
        <f t="shared" si="2"/>
        <v>1013881</v>
      </c>
      <c r="M5" s="64">
        <f t="shared" si="2"/>
        <v>1012427</v>
      </c>
      <c r="N5" s="64">
        <f t="shared" si="2"/>
        <v>1252082</v>
      </c>
      <c r="O5" s="64">
        <f t="shared" si="2"/>
        <v>1249964</v>
      </c>
      <c r="P5" s="64">
        <f t="shared" si="2"/>
        <v>1479953</v>
      </c>
      <c r="Q5" s="64">
        <f t="shared" si="2"/>
        <v>1483681</v>
      </c>
      <c r="R5" s="64">
        <f>Q24</f>
        <v>1703088</v>
      </c>
      <c r="S5" s="64">
        <f>R24</f>
        <v>1583638</v>
      </c>
    </row>
    <row r="6" spans="1:26" x14ac:dyDescent="0.25">
      <c r="A6" s="67" t="s">
        <v>71</v>
      </c>
      <c r="B6" s="67" t="s">
        <v>71</v>
      </c>
      <c r="C6" s="68">
        <f t="shared" ref="C6:C23" si="3">SUM(D6:S6)</f>
        <v>1882541</v>
      </c>
      <c r="D6" s="69">
        <v>61014</v>
      </c>
      <c r="E6" s="69">
        <v>296928</v>
      </c>
      <c r="F6" s="69">
        <f>5944+5076</f>
        <v>11020</v>
      </c>
      <c r="G6" s="69">
        <v>237453</v>
      </c>
      <c r="H6" s="69">
        <v>9813</v>
      </c>
      <c r="I6" s="69">
        <v>218595</v>
      </c>
      <c r="J6" s="69">
        <v>9349</v>
      </c>
      <c r="K6" s="69">
        <v>233013</v>
      </c>
      <c r="L6" s="69">
        <v>12738</v>
      </c>
      <c r="M6" s="69">
        <f>248003+10000+200+40-1</f>
        <v>258242</v>
      </c>
      <c r="N6" s="69">
        <v>10559</v>
      </c>
      <c r="O6" s="69">
        <v>240476</v>
      </c>
      <c r="P6" s="69">
        <v>13475</v>
      </c>
      <c r="Q6" s="69">
        <v>243614</v>
      </c>
      <c r="R6" s="69">
        <v>11657</v>
      </c>
      <c r="S6" s="69">
        <v>14595</v>
      </c>
      <c r="Y6" s="67" t="s">
        <v>71</v>
      </c>
      <c r="Z6" s="71">
        <f>C6/$C$13</f>
        <v>0.59462289410952385</v>
      </c>
    </row>
    <row r="7" spans="1:26" x14ac:dyDescent="0.25">
      <c r="A7" s="67" t="s">
        <v>72</v>
      </c>
      <c r="B7" s="67" t="s">
        <v>72</v>
      </c>
      <c r="C7" s="68">
        <f t="shared" si="3"/>
        <v>1080120</v>
      </c>
      <c r="D7" s="72">
        <f>43908+840+2072</f>
        <v>46820</v>
      </c>
      <c r="E7" s="72">
        <v>58095</v>
      </c>
      <c r="F7" s="72">
        <v>61610</v>
      </c>
      <c r="G7" s="72">
        <v>64015</v>
      </c>
      <c r="H7" s="72">
        <v>65680</v>
      </c>
      <c r="I7" s="72">
        <v>66975</v>
      </c>
      <c r="J7" s="72">
        <v>68085</v>
      </c>
      <c r="K7" s="72">
        <v>68825</v>
      </c>
      <c r="L7" s="72">
        <v>69750</v>
      </c>
      <c r="M7" s="72">
        <f>L7+925</f>
        <v>70675</v>
      </c>
      <c r="N7" s="72">
        <f>M7+500+200+75-35</f>
        <v>71415</v>
      </c>
      <c r="O7" s="72">
        <v>72155</v>
      </c>
      <c r="P7" s="72">
        <v>72895</v>
      </c>
      <c r="Q7" s="72">
        <v>73635</v>
      </c>
      <c r="R7" s="72">
        <v>74375</v>
      </c>
      <c r="S7" s="72">
        <v>75115</v>
      </c>
      <c r="Y7" s="67" t="s">
        <v>72</v>
      </c>
      <c r="Z7" s="71">
        <f t="shared" ref="Z7:Z12" si="4">C7/$C$13</f>
        <v>0.3411687078186233</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74</v>
      </c>
      <c r="Z8" s="71">
        <f t="shared" si="4"/>
        <v>0</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0</v>
      </c>
    </row>
    <row r="11" spans="1:26" x14ac:dyDescent="0.25">
      <c r="A11" s="715" t="s">
        <v>77</v>
      </c>
      <c r="B11" s="67" t="s">
        <v>78</v>
      </c>
      <c r="C11" s="68">
        <f t="shared" si="3"/>
        <v>53280</v>
      </c>
      <c r="D11" s="72">
        <v>930</v>
      </c>
      <c r="E11" s="72">
        <v>630</v>
      </c>
      <c r="F11" s="72">
        <v>360</v>
      </c>
      <c r="G11" s="72">
        <v>720</v>
      </c>
      <c r="H11" s="72">
        <v>720</v>
      </c>
      <c r="I11" s="72">
        <v>690</v>
      </c>
      <c r="J11" s="72">
        <v>660</v>
      </c>
      <c r="K11" s="72">
        <f t="shared" ref="K11:Q11" si="5">J11</f>
        <v>660</v>
      </c>
      <c r="L11" s="72">
        <f t="shared" si="5"/>
        <v>660</v>
      </c>
      <c r="M11" s="72">
        <f t="shared" si="5"/>
        <v>660</v>
      </c>
      <c r="N11" s="72">
        <v>630</v>
      </c>
      <c r="O11" s="72">
        <v>600</v>
      </c>
      <c r="P11" s="72">
        <f t="shared" si="5"/>
        <v>600</v>
      </c>
      <c r="Q11" s="72">
        <f t="shared" si="5"/>
        <v>600</v>
      </c>
      <c r="R11" s="72">
        <f>270*2</f>
        <v>540</v>
      </c>
      <c r="S11" s="72">
        <f>(S4*30)+600+3960</f>
        <v>43620</v>
      </c>
      <c r="Y11" s="67" t="s">
        <v>78</v>
      </c>
      <c r="Z11" s="71">
        <f t="shared" si="4"/>
        <v>1.682911968353169E-2</v>
      </c>
    </row>
    <row r="12" spans="1:26" x14ac:dyDescent="0.25">
      <c r="A12" s="716"/>
      <c r="B12" s="67" t="s">
        <v>79</v>
      </c>
      <c r="C12" s="68">
        <f t="shared" si="3"/>
        <v>150000</v>
      </c>
      <c r="D12" s="72">
        <v>0</v>
      </c>
      <c r="E12" s="72">
        <v>0</v>
      </c>
      <c r="F12" s="72">
        <v>0</v>
      </c>
      <c r="G12" s="72">
        <v>0</v>
      </c>
      <c r="H12" s="72"/>
      <c r="I12" s="72">
        <v>0</v>
      </c>
      <c r="J12" s="72">
        <v>0</v>
      </c>
      <c r="K12" s="72">
        <v>0</v>
      </c>
      <c r="L12" s="72">
        <v>0</v>
      </c>
      <c r="M12" s="72">
        <v>0</v>
      </c>
      <c r="N12" s="72">
        <v>0</v>
      </c>
      <c r="O12" s="72">
        <v>0</v>
      </c>
      <c r="P12" s="72">
        <v>0</v>
      </c>
      <c r="Q12" s="72">
        <v>0</v>
      </c>
      <c r="R12" s="72">
        <v>0</v>
      </c>
      <c r="S12" s="72">
        <f>90000+60000</f>
        <v>150000</v>
      </c>
      <c r="Y12" s="67" t="s">
        <v>79</v>
      </c>
      <c r="Z12" s="71">
        <f t="shared" si="4"/>
        <v>4.7379278388321198E-2</v>
      </c>
    </row>
    <row r="13" spans="1:26" s="78" customFormat="1" ht="18.75" x14ac:dyDescent="0.3">
      <c r="A13" s="73" t="s">
        <v>80</v>
      </c>
      <c r="B13" s="74"/>
      <c r="C13" s="75">
        <f t="shared" si="3"/>
        <v>3165941</v>
      </c>
      <c r="D13" s="76">
        <f t="shared" ref="D13:H13" si="6">SUM(D6:D12)</f>
        <v>108764</v>
      </c>
      <c r="E13" s="76">
        <f t="shared" si="6"/>
        <v>355653</v>
      </c>
      <c r="F13" s="76">
        <f>F12+F11+F10+F9+F8+F7+F6</f>
        <v>72990</v>
      </c>
      <c r="G13" s="76">
        <f t="shared" si="6"/>
        <v>302188</v>
      </c>
      <c r="H13" s="76">
        <f t="shared" si="6"/>
        <v>76213</v>
      </c>
      <c r="I13" s="76">
        <f t="shared" ref="I13:S13" si="7">SUM(I6:I12)</f>
        <v>286260</v>
      </c>
      <c r="J13" s="76">
        <f t="shared" si="7"/>
        <v>78094</v>
      </c>
      <c r="K13" s="76">
        <f t="shared" si="7"/>
        <v>302498</v>
      </c>
      <c r="L13" s="76">
        <f t="shared" si="7"/>
        <v>83148</v>
      </c>
      <c r="M13" s="76">
        <f t="shared" si="7"/>
        <v>329577</v>
      </c>
      <c r="N13" s="76">
        <f t="shared" si="7"/>
        <v>82604</v>
      </c>
      <c r="O13" s="76">
        <f t="shared" si="7"/>
        <v>313231</v>
      </c>
      <c r="P13" s="76">
        <f t="shared" si="7"/>
        <v>86970</v>
      </c>
      <c r="Q13" s="76">
        <f t="shared" si="7"/>
        <v>317849</v>
      </c>
      <c r="R13" s="76">
        <f t="shared" si="7"/>
        <v>86572</v>
      </c>
      <c r="S13" s="76">
        <f t="shared" si="7"/>
        <v>283330</v>
      </c>
      <c r="Z13" s="79">
        <f>SUM(Z6:Z12)</f>
        <v>1</v>
      </c>
    </row>
    <row r="14" spans="1:26" ht="18.75" x14ac:dyDescent="0.3">
      <c r="A14" s="80" t="s">
        <v>81</v>
      </c>
      <c r="B14" s="81" t="str">
        <f>A14</f>
        <v>Sueldos</v>
      </c>
      <c r="C14" s="82">
        <f t="shared" si="3"/>
        <v>280442</v>
      </c>
      <c r="D14" s="83">
        <f>EconomiaT41!S14</f>
        <v>16314</v>
      </c>
      <c r="E14" s="83">
        <v>16384</v>
      </c>
      <c r="F14" s="83">
        <v>16504</v>
      </c>
      <c r="G14" s="83">
        <v>16694</v>
      </c>
      <c r="H14" s="83">
        <v>17084</v>
      </c>
      <c r="I14" s="83">
        <v>17654</v>
      </c>
      <c r="J14" s="83">
        <v>17074</v>
      </c>
      <c r="K14" s="83">
        <v>17314</v>
      </c>
      <c r="L14" s="83">
        <f t="shared" ref="L14:Q14" si="8">K14</f>
        <v>17314</v>
      </c>
      <c r="M14" s="83">
        <v>17434</v>
      </c>
      <c r="N14" s="83">
        <f t="shared" si="8"/>
        <v>17434</v>
      </c>
      <c r="O14" s="83">
        <v>17954</v>
      </c>
      <c r="P14" s="83">
        <f t="shared" si="8"/>
        <v>17954</v>
      </c>
      <c r="Q14" s="83">
        <f t="shared" si="8"/>
        <v>17954</v>
      </c>
      <c r="R14" s="83">
        <v>19764</v>
      </c>
      <c r="S14" s="83">
        <v>19612</v>
      </c>
      <c r="Y14" s="717">
        <f>C13</f>
        <v>3165941</v>
      </c>
      <c r="Z14" s="718"/>
    </row>
    <row r="15" spans="1:26" x14ac:dyDescent="0.25">
      <c r="A15" s="80" t="s">
        <v>82</v>
      </c>
      <c r="B15" s="81" t="str">
        <f>A15</f>
        <v xml:space="preserve">Mantenimiento </v>
      </c>
      <c r="C15" s="82">
        <f t="shared" si="3"/>
        <v>252692</v>
      </c>
      <c r="D15" s="83">
        <f>EconomiaT41!S15</f>
        <v>10930</v>
      </c>
      <c r="E15" s="83">
        <f t="shared" ref="E15:R20" si="9">D15</f>
        <v>10930</v>
      </c>
      <c r="F15" s="83">
        <v>16488</v>
      </c>
      <c r="G15" s="83">
        <f t="shared" si="9"/>
        <v>16488</v>
      </c>
      <c r="H15" s="83">
        <f t="shared" si="9"/>
        <v>16488</v>
      </c>
      <c r="I15" s="83">
        <f t="shared" si="9"/>
        <v>16488</v>
      </c>
      <c r="J15" s="83">
        <f t="shared" si="9"/>
        <v>16488</v>
      </c>
      <c r="K15" s="83">
        <f t="shared" si="9"/>
        <v>16488</v>
      </c>
      <c r="L15" s="83">
        <f t="shared" si="9"/>
        <v>16488</v>
      </c>
      <c r="M15" s="83">
        <f t="shared" si="9"/>
        <v>16488</v>
      </c>
      <c r="N15" s="83">
        <f t="shared" si="9"/>
        <v>16488</v>
      </c>
      <c r="O15" s="83">
        <f t="shared" si="9"/>
        <v>16488</v>
      </c>
      <c r="P15" s="83">
        <f t="shared" si="9"/>
        <v>16488</v>
      </c>
      <c r="Q15" s="83">
        <f t="shared" si="9"/>
        <v>16488</v>
      </c>
      <c r="R15" s="83">
        <f t="shared" si="9"/>
        <v>16488</v>
      </c>
      <c r="S15" s="83">
        <f t="shared" ref="S15" si="10">R15</f>
        <v>16488</v>
      </c>
    </row>
    <row r="16" spans="1:26" ht="30" x14ac:dyDescent="0.25">
      <c r="A16" s="80" t="s">
        <v>83</v>
      </c>
      <c r="B16" s="81" t="s">
        <v>84</v>
      </c>
      <c r="C16" s="82">
        <f t="shared" si="3"/>
        <v>116470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v>116470</v>
      </c>
      <c r="S16" s="83">
        <v>0</v>
      </c>
    </row>
    <row r="17" spans="1:26" x14ac:dyDescent="0.25">
      <c r="A17" s="80" t="s">
        <v>85</v>
      </c>
      <c r="B17" s="81" t="str">
        <f>A17</f>
        <v>Empleados</v>
      </c>
      <c r="C17" s="82">
        <f t="shared" si="3"/>
        <v>491400</v>
      </c>
      <c r="D17" s="83">
        <f>EconomiaT41!S17</f>
        <v>32400</v>
      </c>
      <c r="E17" s="83">
        <f t="shared" si="9"/>
        <v>32400</v>
      </c>
      <c r="F17" s="83">
        <f t="shared" si="9"/>
        <v>32400</v>
      </c>
      <c r="G17" s="83">
        <f t="shared" si="9"/>
        <v>32400</v>
      </c>
      <c r="H17" s="83">
        <v>34200</v>
      </c>
      <c r="I17" s="83">
        <v>28800</v>
      </c>
      <c r="J17" s="83">
        <f t="shared" si="9"/>
        <v>28800</v>
      </c>
      <c r="K17" s="83">
        <f t="shared" si="9"/>
        <v>28800</v>
      </c>
      <c r="L17" s="83">
        <f t="shared" si="9"/>
        <v>28800</v>
      </c>
      <c r="M17" s="83">
        <v>32400</v>
      </c>
      <c r="N17" s="83">
        <v>28800</v>
      </c>
      <c r="O17" s="83">
        <f t="shared" si="9"/>
        <v>28800</v>
      </c>
      <c r="P17" s="83">
        <f t="shared" si="9"/>
        <v>28800</v>
      </c>
      <c r="Q17" s="83">
        <v>32400</v>
      </c>
      <c r="R17" s="83">
        <v>28800</v>
      </c>
      <c r="S17" s="83">
        <v>32400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ref="S18" si="11">R18</f>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ref="S19" si="12">R19</f>
        <v>0</v>
      </c>
    </row>
    <row r="20" spans="1:26" x14ac:dyDescent="0.25">
      <c r="A20" s="84" t="s">
        <v>77</v>
      </c>
      <c r="B20" s="81" t="s">
        <v>67</v>
      </c>
      <c r="C20" s="82">
        <f t="shared" si="3"/>
        <v>0</v>
      </c>
      <c r="D20" s="83">
        <v>0</v>
      </c>
      <c r="E20" s="83">
        <f t="shared" si="9"/>
        <v>0</v>
      </c>
      <c r="F20" s="83">
        <f t="shared" si="9"/>
        <v>0</v>
      </c>
      <c r="G20" s="83">
        <f t="shared" si="9"/>
        <v>0</v>
      </c>
      <c r="H20" s="83">
        <f t="shared" si="9"/>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ref="S20" si="13">R20</f>
        <v>0</v>
      </c>
    </row>
    <row r="21" spans="1:26" x14ac:dyDescent="0.25">
      <c r="A21" s="84"/>
      <c r="B21" s="81" t="s">
        <v>89</v>
      </c>
      <c r="C21" s="82">
        <f t="shared" si="3"/>
        <v>44100</v>
      </c>
      <c r="D21" s="83">
        <v>0</v>
      </c>
      <c r="E21" s="83">
        <v>0</v>
      </c>
      <c r="F21" s="83">
        <v>0</v>
      </c>
      <c r="G21" s="83">
        <v>2000</v>
      </c>
      <c r="H21" s="83">
        <v>8400</v>
      </c>
      <c r="I21" s="83">
        <v>0</v>
      </c>
      <c r="J21" s="83">
        <v>2000</v>
      </c>
      <c r="K21" s="83">
        <v>0</v>
      </c>
      <c r="L21" s="83">
        <v>2000</v>
      </c>
      <c r="M21" s="83">
        <v>3600</v>
      </c>
      <c r="N21" s="83">
        <v>2000</v>
      </c>
      <c r="O21" s="83">
        <v>0</v>
      </c>
      <c r="P21" s="83">
        <v>0</v>
      </c>
      <c r="Q21" s="83">
        <v>11600</v>
      </c>
      <c r="R21" s="83">
        <v>4500</v>
      </c>
      <c r="S21" s="83">
        <v>8000</v>
      </c>
    </row>
    <row r="22" spans="1:26" x14ac:dyDescent="0.25">
      <c r="A22" s="80" t="s">
        <v>90</v>
      </c>
      <c r="B22" s="81" t="str">
        <f>A22</f>
        <v>Intereses</v>
      </c>
      <c r="C22" s="82">
        <f t="shared" si="3"/>
        <v>0</v>
      </c>
      <c r="D22" s="83">
        <v>0</v>
      </c>
      <c r="E22" s="83">
        <f>D22</f>
        <v>0</v>
      </c>
      <c r="F22" s="83">
        <f t="shared" ref="F22:R22" si="14">E22</f>
        <v>0</v>
      </c>
      <c r="G22" s="83">
        <f t="shared" si="14"/>
        <v>0</v>
      </c>
      <c r="H22" s="83">
        <f t="shared" si="14"/>
        <v>0</v>
      </c>
      <c r="I22" s="83">
        <f t="shared" si="14"/>
        <v>0</v>
      </c>
      <c r="J22" s="83">
        <f t="shared" si="14"/>
        <v>0</v>
      </c>
      <c r="K22" s="83">
        <f t="shared" si="14"/>
        <v>0</v>
      </c>
      <c r="L22" s="83">
        <f t="shared" si="14"/>
        <v>0</v>
      </c>
      <c r="M22" s="83">
        <f t="shared" si="14"/>
        <v>0</v>
      </c>
      <c r="N22" s="83">
        <f t="shared" si="14"/>
        <v>0</v>
      </c>
      <c r="O22" s="83">
        <f t="shared" si="14"/>
        <v>0</v>
      </c>
      <c r="P22" s="83">
        <f t="shared" si="14"/>
        <v>0</v>
      </c>
      <c r="Q22" s="83">
        <f t="shared" si="14"/>
        <v>0</v>
      </c>
      <c r="R22" s="83">
        <f t="shared" si="14"/>
        <v>0</v>
      </c>
      <c r="S22" s="83">
        <f t="shared" ref="S22" si="15">R22</f>
        <v>0</v>
      </c>
    </row>
    <row r="23" spans="1:26" s="90" customFormat="1" ht="18.75" x14ac:dyDescent="0.3">
      <c r="A23" s="85" t="s">
        <v>91</v>
      </c>
      <c r="B23" s="86"/>
      <c r="C23" s="87">
        <f t="shared" si="3"/>
        <v>1505104</v>
      </c>
      <c r="D23" s="88">
        <f t="shared" ref="D23:S23" si="16">SUM(D14:D22)</f>
        <v>79644</v>
      </c>
      <c r="E23" s="88">
        <f t="shared" si="16"/>
        <v>79714</v>
      </c>
      <c r="F23" s="88">
        <f t="shared" si="16"/>
        <v>85392</v>
      </c>
      <c r="G23" s="88">
        <f t="shared" si="16"/>
        <v>87582</v>
      </c>
      <c r="H23" s="88">
        <f t="shared" si="16"/>
        <v>96172</v>
      </c>
      <c r="I23" s="88">
        <f t="shared" si="16"/>
        <v>82942</v>
      </c>
      <c r="J23" s="88">
        <f t="shared" si="16"/>
        <v>84362</v>
      </c>
      <c r="K23" s="88">
        <f t="shared" si="16"/>
        <v>82602</v>
      </c>
      <c r="L23" s="88">
        <f t="shared" si="16"/>
        <v>84602</v>
      </c>
      <c r="M23" s="88">
        <f t="shared" si="16"/>
        <v>89922</v>
      </c>
      <c r="N23" s="88">
        <f t="shared" si="16"/>
        <v>84722</v>
      </c>
      <c r="O23" s="88">
        <f t="shared" si="16"/>
        <v>83242</v>
      </c>
      <c r="P23" s="88">
        <f t="shared" si="16"/>
        <v>83242</v>
      </c>
      <c r="Q23" s="88">
        <f t="shared" si="16"/>
        <v>98442</v>
      </c>
      <c r="R23" s="88">
        <f t="shared" si="16"/>
        <v>206022</v>
      </c>
      <c r="S23" s="88">
        <f t="shared" si="16"/>
        <v>96500</v>
      </c>
      <c r="Y23" s="81" t="s">
        <v>81</v>
      </c>
      <c r="Z23" s="91">
        <f>C14/$C$23</f>
        <v>0.18632732356036527</v>
      </c>
    </row>
    <row r="24" spans="1:26" s="66" customFormat="1" ht="18.75" x14ac:dyDescent="0.3">
      <c r="A24" s="92" t="s">
        <v>92</v>
      </c>
      <c r="B24" s="92"/>
      <c r="C24" s="64">
        <f>C5+C13-C23</f>
        <v>1770468</v>
      </c>
      <c r="D24" s="64">
        <f t="shared" ref="D24:S24" si="17">D5+D13-D23</f>
        <v>138751</v>
      </c>
      <c r="E24" s="64">
        <f t="shared" si="17"/>
        <v>414690</v>
      </c>
      <c r="F24" s="64">
        <f t="shared" si="17"/>
        <v>402288</v>
      </c>
      <c r="G24" s="64">
        <f t="shared" si="17"/>
        <v>616894</v>
      </c>
      <c r="H24" s="64">
        <f t="shared" si="17"/>
        <v>596935</v>
      </c>
      <c r="I24" s="64">
        <f t="shared" si="17"/>
        <v>800253</v>
      </c>
      <c r="J24" s="64">
        <f t="shared" si="17"/>
        <v>793985</v>
      </c>
      <c r="K24" s="64">
        <f t="shared" si="17"/>
        <v>1013881</v>
      </c>
      <c r="L24" s="64">
        <f t="shared" si="17"/>
        <v>1012427</v>
      </c>
      <c r="M24" s="64">
        <f t="shared" si="17"/>
        <v>1252082</v>
      </c>
      <c r="N24" s="64">
        <f t="shared" si="17"/>
        <v>1249964</v>
      </c>
      <c r="O24" s="64">
        <f t="shared" si="17"/>
        <v>1479953</v>
      </c>
      <c r="P24" s="64">
        <f t="shared" si="17"/>
        <v>1483681</v>
      </c>
      <c r="Q24" s="64">
        <f t="shared" si="17"/>
        <v>1703088</v>
      </c>
      <c r="R24" s="64">
        <f t="shared" si="17"/>
        <v>1583638</v>
      </c>
      <c r="S24" s="64">
        <f t="shared" si="17"/>
        <v>1770468</v>
      </c>
      <c r="Y24" s="81" t="s">
        <v>82</v>
      </c>
      <c r="Z24" s="91">
        <f t="shared" ref="Z24:Z31" si="18">C15/$C$23</f>
        <v>0.16789005942446503</v>
      </c>
    </row>
    <row r="25" spans="1:26" s="53" customFormat="1" x14ac:dyDescent="0.25">
      <c r="A25" s="93"/>
      <c r="B25" s="93"/>
      <c r="C25" s="93"/>
      <c r="D25" s="94">
        <f>D2+7</f>
        <v>41635</v>
      </c>
      <c r="E25" s="94">
        <f t="shared" ref="E25:S25" si="19">D25+7</f>
        <v>41642</v>
      </c>
      <c r="F25" s="94">
        <f t="shared" si="19"/>
        <v>41649</v>
      </c>
      <c r="G25" s="94">
        <f t="shared" si="19"/>
        <v>41656</v>
      </c>
      <c r="H25" s="94">
        <f t="shared" si="19"/>
        <v>41663</v>
      </c>
      <c r="I25" s="94">
        <f t="shared" si="19"/>
        <v>41670</v>
      </c>
      <c r="J25" s="94">
        <f t="shared" si="19"/>
        <v>41677</v>
      </c>
      <c r="K25" s="94">
        <f t="shared" si="19"/>
        <v>41684</v>
      </c>
      <c r="L25" s="94">
        <f t="shared" si="19"/>
        <v>41691</v>
      </c>
      <c r="M25" s="94">
        <f t="shared" si="19"/>
        <v>41698</v>
      </c>
      <c r="N25" s="94">
        <f t="shared" si="19"/>
        <v>41705</v>
      </c>
      <c r="O25" s="94">
        <f t="shared" si="19"/>
        <v>41712</v>
      </c>
      <c r="P25" s="94">
        <f t="shared" si="19"/>
        <v>41719</v>
      </c>
      <c r="Q25" s="94">
        <f t="shared" si="19"/>
        <v>41726</v>
      </c>
      <c r="R25" s="94">
        <f t="shared" si="19"/>
        <v>41733</v>
      </c>
      <c r="S25" s="94">
        <f t="shared" si="19"/>
        <v>41740</v>
      </c>
      <c r="Y25" s="81" t="s">
        <v>84</v>
      </c>
      <c r="Z25" s="91">
        <f t="shared" si="18"/>
        <v>7.7383356897596442E-2</v>
      </c>
    </row>
    <row r="26" spans="1:26" s="53" customFormat="1" x14ac:dyDescent="0.25">
      <c r="A26" s="719" t="s">
        <v>93</v>
      </c>
      <c r="B26" s="719"/>
      <c r="C26" s="96">
        <f>C6+C7+C11</f>
        <v>3015941</v>
      </c>
      <c r="D26" s="96">
        <f t="shared" ref="D26:S26" si="20">D6+D7+D11</f>
        <v>108764</v>
      </c>
      <c r="E26" s="96">
        <f t="shared" si="20"/>
        <v>355653</v>
      </c>
      <c r="F26" s="96">
        <f t="shared" si="20"/>
        <v>72990</v>
      </c>
      <c r="G26" s="96">
        <f t="shared" si="20"/>
        <v>302188</v>
      </c>
      <c r="H26" s="96">
        <f t="shared" si="20"/>
        <v>76213</v>
      </c>
      <c r="I26" s="96">
        <f t="shared" si="20"/>
        <v>286260</v>
      </c>
      <c r="J26" s="96">
        <f t="shared" si="20"/>
        <v>78094</v>
      </c>
      <c r="K26" s="96">
        <f t="shared" si="20"/>
        <v>302498</v>
      </c>
      <c r="L26" s="96">
        <f t="shared" si="20"/>
        <v>83148</v>
      </c>
      <c r="M26" s="96">
        <f t="shared" si="20"/>
        <v>329577</v>
      </c>
      <c r="N26" s="96">
        <f t="shared" si="20"/>
        <v>82604</v>
      </c>
      <c r="O26" s="96">
        <f t="shared" si="20"/>
        <v>313231</v>
      </c>
      <c r="P26" s="96">
        <f t="shared" si="20"/>
        <v>86970</v>
      </c>
      <c r="Q26" s="96">
        <f t="shared" si="20"/>
        <v>317849</v>
      </c>
      <c r="R26" s="96">
        <f>R6+R7+R11</f>
        <v>86572</v>
      </c>
      <c r="S26" s="96">
        <f t="shared" si="20"/>
        <v>133330</v>
      </c>
      <c r="T26" s="97"/>
      <c r="Y26" s="81" t="s">
        <v>85</v>
      </c>
      <c r="Z26" s="91">
        <f t="shared" si="18"/>
        <v>0.32648906653626592</v>
      </c>
    </row>
    <row r="27" spans="1:26" s="53" customFormat="1" x14ac:dyDescent="0.25">
      <c r="A27" s="710" t="s">
        <v>94</v>
      </c>
      <c r="B27" s="710"/>
      <c r="C27" s="98">
        <f>C14+C15+C17+C18+C21</f>
        <v>1388634</v>
      </c>
      <c r="D27" s="98">
        <f t="shared" ref="D27:S27" si="21">D14+D15+D17+D18+D21</f>
        <v>79644</v>
      </c>
      <c r="E27" s="98">
        <f t="shared" si="21"/>
        <v>79714</v>
      </c>
      <c r="F27" s="98">
        <f t="shared" si="21"/>
        <v>85392</v>
      </c>
      <c r="G27" s="98">
        <f t="shared" si="21"/>
        <v>87582</v>
      </c>
      <c r="H27" s="98">
        <f t="shared" si="21"/>
        <v>96172</v>
      </c>
      <c r="I27" s="98">
        <f t="shared" si="21"/>
        <v>82942</v>
      </c>
      <c r="J27" s="98">
        <f t="shared" si="21"/>
        <v>84362</v>
      </c>
      <c r="K27" s="98">
        <f t="shared" si="21"/>
        <v>82602</v>
      </c>
      <c r="L27" s="98">
        <f t="shared" si="21"/>
        <v>84602</v>
      </c>
      <c r="M27" s="98">
        <f t="shared" si="21"/>
        <v>89922</v>
      </c>
      <c r="N27" s="98">
        <f t="shared" si="21"/>
        <v>84722</v>
      </c>
      <c r="O27" s="98">
        <f t="shared" si="21"/>
        <v>83242</v>
      </c>
      <c r="P27" s="98">
        <f t="shared" si="21"/>
        <v>83242</v>
      </c>
      <c r="Q27" s="98">
        <f t="shared" si="21"/>
        <v>98442</v>
      </c>
      <c r="R27" s="98">
        <f>R14+R15+R17+R18+R21</f>
        <v>89552</v>
      </c>
      <c r="S27" s="98">
        <f t="shared" si="21"/>
        <v>96500</v>
      </c>
      <c r="T27" s="99"/>
      <c r="Y27" s="81" t="s">
        <v>86</v>
      </c>
      <c r="Z27" s="91">
        <f t="shared" si="18"/>
        <v>0.2126098927383091</v>
      </c>
    </row>
    <row r="28" spans="1:26" x14ac:dyDescent="0.25">
      <c r="A28" s="711" t="s">
        <v>95</v>
      </c>
      <c r="B28" s="711"/>
      <c r="C28" s="100">
        <f>C26-C27</f>
        <v>1627307</v>
      </c>
      <c r="D28" s="100">
        <f t="shared" ref="D28:S28" si="22">D26-D27</f>
        <v>29120</v>
      </c>
      <c r="E28" s="100">
        <f t="shared" si="22"/>
        <v>275939</v>
      </c>
      <c r="F28" s="100">
        <f t="shared" si="22"/>
        <v>-12402</v>
      </c>
      <c r="G28" s="100">
        <f t="shared" si="22"/>
        <v>214606</v>
      </c>
      <c r="H28" s="100">
        <f t="shared" si="22"/>
        <v>-19959</v>
      </c>
      <c r="I28" s="100">
        <f t="shared" si="22"/>
        <v>203318</v>
      </c>
      <c r="J28" s="100">
        <f t="shared" si="22"/>
        <v>-6268</v>
      </c>
      <c r="K28" s="100">
        <f t="shared" si="22"/>
        <v>219896</v>
      </c>
      <c r="L28" s="100">
        <f t="shared" si="22"/>
        <v>-1454</v>
      </c>
      <c r="M28" s="100">
        <f t="shared" si="22"/>
        <v>239655</v>
      </c>
      <c r="N28" s="100">
        <f t="shared" si="22"/>
        <v>-2118</v>
      </c>
      <c r="O28" s="100">
        <f t="shared" si="22"/>
        <v>229989</v>
      </c>
      <c r="P28" s="100">
        <f t="shared" si="22"/>
        <v>3728</v>
      </c>
      <c r="Q28" s="100">
        <f t="shared" si="22"/>
        <v>219407</v>
      </c>
      <c r="R28" s="100">
        <f>R26-R27</f>
        <v>-2980</v>
      </c>
      <c r="S28" s="100">
        <f t="shared" si="22"/>
        <v>36830</v>
      </c>
      <c r="T28" s="101"/>
      <c r="Y28" s="81" t="s">
        <v>88</v>
      </c>
      <c r="Z28" s="91">
        <f t="shared" si="18"/>
        <v>0</v>
      </c>
    </row>
    <row r="29" spans="1:26" x14ac:dyDescent="0.25">
      <c r="A29" s="719" t="s">
        <v>96</v>
      </c>
      <c r="B29" s="719"/>
      <c r="C29" s="96">
        <f>C8+C9+C10+C12</f>
        <v>150000</v>
      </c>
      <c r="D29" s="96">
        <f t="shared" ref="D29:S29" si="23">D8+D9+D10+D12</f>
        <v>0</v>
      </c>
      <c r="E29" s="96">
        <f t="shared" si="23"/>
        <v>0</v>
      </c>
      <c r="F29" s="96">
        <f t="shared" si="23"/>
        <v>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150000</v>
      </c>
      <c r="T29" s="101"/>
      <c r="Y29" s="81" t="s">
        <v>67</v>
      </c>
      <c r="Z29" s="91">
        <f t="shared" si="18"/>
        <v>0</v>
      </c>
    </row>
    <row r="30" spans="1:26" s="59" customFormat="1" x14ac:dyDescent="0.25">
      <c r="A30" s="710" t="s">
        <v>97</v>
      </c>
      <c r="B30" s="710"/>
      <c r="C30" s="98">
        <f>C16+C19+C20+C22</f>
        <v>116470</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0</v>
      </c>
      <c r="M30" s="98">
        <f t="shared" si="24"/>
        <v>0</v>
      </c>
      <c r="N30" s="98">
        <f t="shared" si="24"/>
        <v>0</v>
      </c>
      <c r="O30" s="98">
        <f t="shared" si="24"/>
        <v>0</v>
      </c>
      <c r="P30" s="98">
        <f t="shared" si="24"/>
        <v>0</v>
      </c>
      <c r="Q30" s="98">
        <f t="shared" si="24"/>
        <v>0</v>
      </c>
      <c r="R30" s="98">
        <f>R16+R19+R20+R22</f>
        <v>116470</v>
      </c>
      <c r="S30" s="98">
        <f t="shared" si="24"/>
        <v>0</v>
      </c>
      <c r="Y30" s="81" t="s">
        <v>89</v>
      </c>
      <c r="Z30" s="91">
        <f t="shared" si="18"/>
        <v>2.9300300842998225E-2</v>
      </c>
    </row>
    <row r="31" spans="1:26" s="59" customFormat="1" x14ac:dyDescent="0.25">
      <c r="A31" s="711" t="s">
        <v>98</v>
      </c>
      <c r="B31" s="711"/>
      <c r="C31" s="100">
        <f>C29-C30</f>
        <v>33530</v>
      </c>
      <c r="D31" s="100">
        <f t="shared" ref="D31:S31" si="25">D29-D30</f>
        <v>0</v>
      </c>
      <c r="E31" s="100">
        <f t="shared" si="25"/>
        <v>0</v>
      </c>
      <c r="F31" s="100">
        <f t="shared" si="25"/>
        <v>0</v>
      </c>
      <c r="G31" s="100">
        <f t="shared" si="25"/>
        <v>0</v>
      </c>
      <c r="H31" s="100">
        <f t="shared" si="25"/>
        <v>0</v>
      </c>
      <c r="I31" s="100">
        <f t="shared" si="25"/>
        <v>0</v>
      </c>
      <c r="J31" s="100">
        <f t="shared" si="25"/>
        <v>0</v>
      </c>
      <c r="K31" s="100">
        <f t="shared" si="25"/>
        <v>0</v>
      </c>
      <c r="L31" s="100">
        <f t="shared" si="25"/>
        <v>0</v>
      </c>
      <c r="M31" s="100">
        <f t="shared" si="25"/>
        <v>0</v>
      </c>
      <c r="N31" s="100">
        <f t="shared" si="25"/>
        <v>0</v>
      </c>
      <c r="O31" s="100">
        <f t="shared" si="25"/>
        <v>0</v>
      </c>
      <c r="P31" s="100">
        <f t="shared" si="25"/>
        <v>0</v>
      </c>
      <c r="Q31" s="100">
        <f t="shared" si="25"/>
        <v>0</v>
      </c>
      <c r="R31" s="100">
        <f>R29-R30</f>
        <v>-116470</v>
      </c>
      <c r="S31" s="100">
        <f t="shared" si="25"/>
        <v>150000</v>
      </c>
      <c r="Y31" s="81" t="s">
        <v>90</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20" t="s">
        <v>259</v>
      </c>
      <c r="C33" s="173" t="s">
        <v>181</v>
      </c>
      <c r="D33" s="174"/>
      <c r="E33" s="174"/>
      <c r="F33" s="174"/>
      <c r="G33" s="174"/>
      <c r="H33" s="174"/>
      <c r="I33" s="174"/>
      <c r="J33" s="174"/>
      <c r="K33" s="174"/>
      <c r="L33" s="174"/>
      <c r="M33" s="174"/>
      <c r="N33" s="174"/>
      <c r="O33" s="174"/>
      <c r="P33" s="174"/>
      <c r="Q33" s="174"/>
      <c r="R33" s="174"/>
      <c r="S33" s="174"/>
      <c r="Y33" s="712">
        <f>C23</f>
        <v>1505104</v>
      </c>
      <c r="Z33" s="713"/>
    </row>
    <row r="34" spans="1:26" x14ac:dyDescent="0.25">
      <c r="A34" s="57"/>
      <c r="B34" s="720"/>
      <c r="C34" s="173" t="s">
        <v>104</v>
      </c>
      <c r="D34" s="174"/>
      <c r="E34" s="174"/>
      <c r="F34" s="174"/>
      <c r="G34" s="174"/>
      <c r="H34" s="174"/>
      <c r="I34" s="174"/>
      <c r="J34" s="174"/>
      <c r="K34" s="174"/>
      <c r="L34" s="174"/>
      <c r="M34" s="174"/>
      <c r="N34" s="174"/>
      <c r="O34" s="174"/>
      <c r="P34" s="174"/>
      <c r="Q34" s="174"/>
      <c r="R34" s="174"/>
      <c r="S34" s="174"/>
    </row>
    <row r="35" spans="1:26" x14ac:dyDescent="0.25">
      <c r="A35" s="57"/>
      <c r="B35" s="720"/>
      <c r="C35" s="173" t="s">
        <v>61</v>
      </c>
      <c r="D35" s="175"/>
      <c r="E35" s="175"/>
      <c r="F35" s="175"/>
      <c r="G35" s="175"/>
      <c r="H35" s="175"/>
      <c r="I35" s="175"/>
      <c r="J35" s="175"/>
      <c r="K35" s="175"/>
      <c r="L35" s="175"/>
      <c r="M35" s="175"/>
      <c r="N35" s="175"/>
      <c r="O35" s="175"/>
      <c r="P35" s="175"/>
      <c r="Q35" s="175"/>
      <c r="R35" s="175"/>
      <c r="S35" s="175"/>
    </row>
    <row r="36" spans="1:26" x14ac:dyDescent="0.25">
      <c r="A36" s="57"/>
      <c r="B36" s="720"/>
      <c r="C36" s="173" t="s">
        <v>210</v>
      </c>
      <c r="D36" s="176"/>
      <c r="E36" s="176"/>
      <c r="F36" s="176"/>
      <c r="G36" s="176"/>
      <c r="H36" s="176"/>
      <c r="I36" s="176"/>
      <c r="J36" s="176"/>
      <c r="K36" s="176"/>
      <c r="L36" s="176"/>
      <c r="M36" s="176"/>
      <c r="N36" s="176"/>
      <c r="O36" s="176"/>
      <c r="P36" s="176"/>
      <c r="Q36" s="176"/>
      <c r="R36" s="176"/>
      <c r="S36" s="176"/>
    </row>
    <row r="37" spans="1:26" x14ac:dyDescent="0.25">
      <c r="B37" s="720"/>
      <c r="C37" s="173" t="s">
        <v>211</v>
      </c>
      <c r="D37" s="176"/>
      <c r="E37" s="176"/>
      <c r="F37" s="176"/>
      <c r="G37" s="176"/>
      <c r="H37" s="176"/>
      <c r="I37" s="176"/>
      <c r="J37" s="176"/>
      <c r="K37" s="176"/>
      <c r="L37" s="176"/>
      <c r="M37" s="176"/>
      <c r="N37" s="176"/>
      <c r="O37" s="176"/>
      <c r="P37" s="176"/>
      <c r="Q37" s="176"/>
      <c r="R37" s="176"/>
      <c r="S37" s="176"/>
    </row>
    <row r="38" spans="1:26" x14ac:dyDescent="0.25">
      <c r="B38" s="720"/>
      <c r="C38" s="173" t="s">
        <v>257</v>
      </c>
      <c r="D38" s="176"/>
      <c r="E38" s="176"/>
      <c r="F38" s="176"/>
      <c r="G38" s="176"/>
      <c r="H38" s="176"/>
      <c r="I38" s="176"/>
      <c r="J38" s="176"/>
      <c r="K38" s="176"/>
      <c r="L38" s="176"/>
      <c r="M38" s="176"/>
      <c r="N38" s="176"/>
      <c r="O38" s="176"/>
      <c r="P38" s="176"/>
      <c r="Q38" s="176"/>
      <c r="R38" s="176"/>
      <c r="S38" s="176"/>
    </row>
    <row r="39" spans="1:26" ht="15" customHeight="1" x14ac:dyDescent="0.25">
      <c r="G39" s="243"/>
      <c r="H39" s="104"/>
      <c r="I39"/>
      <c r="J39"/>
    </row>
    <row r="40" spans="1:26" ht="15" customHeight="1" x14ac:dyDescent="0.25">
      <c r="G40" s="714"/>
      <c r="H40" s="714"/>
      <c r="I40" s="714"/>
      <c r="J40" s="714"/>
    </row>
    <row r="41" spans="1:26" x14ac:dyDescent="0.25">
      <c r="G41" s="243"/>
      <c r="H41" s="243"/>
      <c r="I41" s="243"/>
      <c r="J41" s="243"/>
    </row>
    <row r="42" spans="1:26" x14ac:dyDescent="0.25">
      <c r="G42" s="243"/>
      <c r="H42" s="243"/>
      <c r="I42" s="243"/>
      <c r="J42" s="243"/>
    </row>
    <row r="43" spans="1:26" x14ac:dyDescent="0.25">
      <c r="G43" s="243"/>
      <c r="H43" s="243"/>
      <c r="I43" s="243"/>
      <c r="J43" s="243"/>
    </row>
    <row r="44" spans="1:26" x14ac:dyDescent="0.25">
      <c r="G44" s="243"/>
      <c r="H44" s="243"/>
      <c r="I44" s="243"/>
      <c r="J44" s="243"/>
    </row>
    <row r="45" spans="1:26" x14ac:dyDescent="0.25">
      <c r="G45" s="243"/>
      <c r="H45" s="243"/>
      <c r="I45" s="243"/>
      <c r="J45" s="243"/>
    </row>
    <row r="46" spans="1:26" x14ac:dyDescent="0.25">
      <c r="G46" s="243"/>
      <c r="H46" s="243"/>
      <c r="I46" s="243"/>
      <c r="J46" s="243"/>
    </row>
    <row r="47" spans="1:26" x14ac:dyDescent="0.25">
      <c r="G47" s="243"/>
      <c r="H47" s="243"/>
      <c r="I47" s="243"/>
      <c r="J47" s="243"/>
    </row>
    <row r="48" spans="1:26" x14ac:dyDescent="0.25">
      <c r="G48" s="243"/>
      <c r="H48" s="243"/>
      <c r="I48" s="243"/>
      <c r="J48" s="243"/>
    </row>
    <row r="49" spans="7:10" x14ac:dyDescent="0.25">
      <c r="G49" s="709"/>
      <c r="H49" s="709"/>
      <c r="I49" s="709"/>
      <c r="J49" s="709"/>
    </row>
    <row r="50" spans="7:10" x14ac:dyDescent="0.25">
      <c r="G50" s="243"/>
      <c r="H50" s="243"/>
      <c r="I50" s="243"/>
      <c r="J50" s="243"/>
    </row>
    <row r="51" spans="7:10" x14ac:dyDescent="0.25">
      <c r="G51" s="709"/>
      <c r="H51" s="709"/>
      <c r="I51" s="709"/>
      <c r="J51" s="709"/>
    </row>
    <row r="52" spans="7:10" ht="15" customHeight="1" x14ac:dyDescent="0.25">
      <c r="G52" s="709"/>
      <c r="H52" s="709"/>
      <c r="I52" s="709"/>
      <c r="J52" s="105"/>
    </row>
  </sheetData>
  <mergeCells count="15">
    <mergeCell ref="Y33:Z33"/>
    <mergeCell ref="G40:H40"/>
    <mergeCell ref="I40:J40"/>
    <mergeCell ref="A11:A12"/>
    <mergeCell ref="Y14:Z14"/>
    <mergeCell ref="A26:B26"/>
    <mergeCell ref="A27:B27"/>
    <mergeCell ref="A28:B28"/>
    <mergeCell ref="A29:B29"/>
    <mergeCell ref="G49:J49"/>
    <mergeCell ref="G51:J51"/>
    <mergeCell ref="G52:I52"/>
    <mergeCell ref="A30:B30"/>
    <mergeCell ref="A31:B31"/>
    <mergeCell ref="B33:B38"/>
  </mergeCells>
  <pageMargins left="0.7" right="0.7" top="0.75" bottom="0.75" header="0.3" footer="0.3"/>
  <pageSetup paperSize="9" orientation="portrait" horizontalDpi="200" verticalDpi="200" r:id="rId1"/>
  <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8"/>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21" t="s">
        <v>389</v>
      </c>
      <c r="C2" s="722"/>
      <c r="D2" s="722"/>
      <c r="E2" s="722"/>
      <c r="F2" s="722"/>
      <c r="G2" s="723"/>
      <c r="I2" s="724" t="s">
        <v>390</v>
      </c>
      <c r="J2" s="724"/>
      <c r="K2" s="724"/>
      <c r="L2" s="724"/>
      <c r="M2" s="724"/>
      <c r="N2" s="724"/>
      <c r="O2" s="724"/>
      <c r="P2" s="724"/>
      <c r="Q2" s="724"/>
      <c r="R2" s="724"/>
      <c r="S2" s="724"/>
      <c r="T2" s="724"/>
    </row>
    <row r="3" spans="2:20" x14ac:dyDescent="0.25">
      <c r="B3" s="725" t="s">
        <v>102</v>
      </c>
      <c r="C3" s="726"/>
      <c r="D3" s="726"/>
      <c r="E3" s="726"/>
      <c r="F3" s="726"/>
      <c r="G3" s="727"/>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8" t="s">
        <v>113</v>
      </c>
      <c r="C4" s="729"/>
      <c r="D4" s="109"/>
      <c r="E4" s="730" t="s">
        <v>114</v>
      </c>
      <c r="F4" s="729"/>
      <c r="G4" s="109"/>
      <c r="I4" s="169" t="s">
        <v>120</v>
      </c>
      <c r="J4" s="110" t="s">
        <v>206</v>
      </c>
      <c r="K4" s="111">
        <v>0</v>
      </c>
      <c r="L4" s="111">
        <v>0</v>
      </c>
      <c r="M4" s="111">
        <v>0</v>
      </c>
      <c r="N4" s="111">
        <v>0</v>
      </c>
      <c r="O4" s="111">
        <f>IF(M4=0,0,M4-K4)-N4</f>
        <v>0</v>
      </c>
      <c r="P4" s="111">
        <f>IF(M4=0,K4,0)</f>
        <v>0</v>
      </c>
      <c r="Q4" s="168"/>
      <c r="R4" s="112">
        <v>41400</v>
      </c>
      <c r="S4" s="112"/>
      <c r="T4" s="168"/>
    </row>
    <row r="5" spans="2:20" x14ac:dyDescent="0.25">
      <c r="B5" s="113"/>
      <c r="C5" s="114"/>
      <c r="D5" s="201"/>
      <c r="E5" s="113"/>
      <c r="F5" s="114"/>
      <c r="G5" s="115"/>
      <c r="I5" s="169" t="s">
        <v>120</v>
      </c>
      <c r="J5" s="110" t="s">
        <v>204</v>
      </c>
      <c r="K5" s="111">
        <v>0</v>
      </c>
      <c r="L5" s="111">
        <v>0</v>
      </c>
      <c r="M5" s="111">
        <v>0</v>
      </c>
      <c r="N5" s="111">
        <v>0</v>
      </c>
      <c r="O5" s="111">
        <f t="shared" ref="O5:O23" si="0">IF(M5=0,0,M5-K5)-N5</f>
        <v>0</v>
      </c>
      <c r="P5" s="111">
        <f t="shared" ref="P5:P23" si="1">IF(M5=0,K5,0)</f>
        <v>0</v>
      </c>
      <c r="Q5" s="168"/>
      <c r="R5" s="112">
        <v>41400</v>
      </c>
      <c r="S5" s="112"/>
      <c r="T5" s="168"/>
    </row>
    <row r="6" spans="2:20" x14ac:dyDescent="0.25">
      <c r="B6" s="116" t="s">
        <v>116</v>
      </c>
      <c r="C6" s="117">
        <f>SUM(C7:C9)</f>
        <v>1328400</v>
      </c>
      <c r="D6" s="140">
        <f>C6/$C$34</f>
        <v>0.18877874900398747</v>
      </c>
      <c r="E6" s="116" t="s">
        <v>117</v>
      </c>
      <c r="F6" s="117">
        <f>F7+F8+F9</f>
        <v>2093561</v>
      </c>
      <c r="G6" s="118">
        <f>F6/$F$34</f>
        <v>0.29751567791594175</v>
      </c>
      <c r="I6" s="169" t="s">
        <v>120</v>
      </c>
      <c r="J6" s="110" t="s">
        <v>205</v>
      </c>
      <c r="K6" s="111">
        <v>0</v>
      </c>
      <c r="L6" s="111">
        <v>0</v>
      </c>
      <c r="M6" s="111">
        <v>0</v>
      </c>
      <c r="N6" s="111">
        <v>0</v>
      </c>
      <c r="O6" s="111">
        <f t="shared" si="0"/>
        <v>0</v>
      </c>
      <c r="P6" s="111">
        <f t="shared" si="1"/>
        <v>0</v>
      </c>
      <c r="Q6" s="168"/>
      <c r="R6" s="112">
        <v>41400</v>
      </c>
      <c r="S6" s="112"/>
      <c r="T6" s="168"/>
    </row>
    <row r="7" spans="2:20" x14ac:dyDescent="0.25">
      <c r="B7" s="119" t="s">
        <v>84</v>
      </c>
      <c r="C7" s="120">
        <f>EconomiaT42!C16+'A-P_T41'!C7</f>
        <v>1059700</v>
      </c>
      <c r="D7" s="202">
        <f>C7/$C$34</f>
        <v>0.15059382740102795</v>
      </c>
      <c r="E7" s="203" t="s">
        <v>118</v>
      </c>
      <c r="F7" s="204">
        <v>300000</v>
      </c>
      <c r="G7" s="121">
        <f>F7/$F$34</f>
        <v>4.2632960479671966E-2</v>
      </c>
      <c r="I7" s="169" t="s">
        <v>115</v>
      </c>
      <c r="J7" s="110" t="s">
        <v>195</v>
      </c>
      <c r="K7" s="111">
        <v>0</v>
      </c>
      <c r="L7" s="111">
        <v>0</v>
      </c>
      <c r="M7" s="111">
        <v>0</v>
      </c>
      <c r="N7" s="111">
        <v>0</v>
      </c>
      <c r="O7" s="111">
        <f t="shared" si="0"/>
        <v>0</v>
      </c>
      <c r="P7" s="111">
        <f t="shared" si="1"/>
        <v>0</v>
      </c>
      <c r="Q7" s="168"/>
      <c r="R7" s="112">
        <v>41400</v>
      </c>
      <c r="S7" s="112"/>
      <c r="T7" s="168"/>
    </row>
    <row r="8" spans="2:20" x14ac:dyDescent="0.25">
      <c r="B8" s="119" t="s">
        <v>67</v>
      </c>
      <c r="C8" s="120">
        <f>EconomiaT42!C20+'A-P_T41'!C8</f>
        <v>268700</v>
      </c>
      <c r="D8" s="202">
        <f>C8/$C$34</f>
        <v>3.8184921602959526E-2</v>
      </c>
      <c r="E8" s="203" t="s">
        <v>261</v>
      </c>
      <c r="F8" s="204">
        <f>'A-P_T41'!F9</f>
        <v>687461</v>
      </c>
      <c r="G8" s="121">
        <f>F8/$F$34</f>
        <v>9.7694992147719234E-2</v>
      </c>
      <c r="I8" s="169" t="s">
        <v>120</v>
      </c>
      <c r="J8" s="110" t="s">
        <v>199</v>
      </c>
      <c r="K8" s="111">
        <v>0</v>
      </c>
      <c r="L8" s="111">
        <v>0</v>
      </c>
      <c r="M8" s="111">
        <v>0</v>
      </c>
      <c r="N8" s="111">
        <v>0</v>
      </c>
      <c r="O8" s="111">
        <f t="shared" si="0"/>
        <v>0</v>
      </c>
      <c r="P8" s="111">
        <f t="shared" si="1"/>
        <v>0</v>
      </c>
      <c r="Q8" s="168"/>
      <c r="R8" s="112">
        <v>41400</v>
      </c>
      <c r="S8" s="112"/>
      <c r="T8" s="168"/>
    </row>
    <row r="9" spans="2:20" x14ac:dyDescent="0.25">
      <c r="B9" s="122" t="s">
        <v>119</v>
      </c>
      <c r="C9" s="123">
        <v>0</v>
      </c>
      <c r="D9" s="202">
        <f>C9/$C$34</f>
        <v>0</v>
      </c>
      <c r="E9" s="203" t="s">
        <v>391</v>
      </c>
      <c r="F9" s="204">
        <f>'A-P_T41'!F11-EconomiaT41!C24+EconomiaT41!C5-1344</f>
        <v>1106100</v>
      </c>
      <c r="G9" s="121">
        <f>F9/$F$34</f>
        <v>0.15718772528855054</v>
      </c>
      <c r="I9" s="169" t="s">
        <v>115</v>
      </c>
      <c r="J9" s="110" t="s">
        <v>203</v>
      </c>
      <c r="K9" s="111">
        <v>0</v>
      </c>
      <c r="L9" s="111">
        <v>0</v>
      </c>
      <c r="M9" s="111">
        <v>0</v>
      </c>
      <c r="N9" s="111">
        <v>0</v>
      </c>
      <c r="O9" s="111">
        <f t="shared" si="0"/>
        <v>0</v>
      </c>
      <c r="P9" s="111">
        <f t="shared" si="1"/>
        <v>0</v>
      </c>
      <c r="Q9" s="168"/>
      <c r="R9" s="112">
        <v>41400</v>
      </c>
      <c r="S9" s="112"/>
      <c r="T9" s="168"/>
    </row>
    <row r="10" spans="2:20" x14ac:dyDescent="0.25">
      <c r="B10" s="124"/>
      <c r="C10" s="125"/>
      <c r="D10" s="140"/>
      <c r="E10" s="205"/>
      <c r="F10" s="125"/>
      <c r="G10" s="118"/>
      <c r="I10" s="169" t="s">
        <v>115</v>
      </c>
      <c r="J10" s="110" t="s">
        <v>193</v>
      </c>
      <c r="K10" s="111">
        <v>0</v>
      </c>
      <c r="L10" s="111">
        <v>0</v>
      </c>
      <c r="M10" s="111">
        <v>0</v>
      </c>
      <c r="N10" s="111">
        <v>0</v>
      </c>
      <c r="O10" s="111">
        <f t="shared" si="0"/>
        <v>0</v>
      </c>
      <c r="P10" s="111">
        <f t="shared" si="1"/>
        <v>0</v>
      </c>
      <c r="Q10" s="168"/>
      <c r="R10" s="112">
        <v>41400</v>
      </c>
      <c r="S10" s="112"/>
      <c r="T10" s="168"/>
    </row>
    <row r="11" spans="2:20" x14ac:dyDescent="0.25">
      <c r="B11" s="116" t="s">
        <v>100</v>
      </c>
      <c r="C11" s="117">
        <f>SUM(C12:C15)</f>
        <v>772000</v>
      </c>
      <c r="D11" s="140">
        <f>C11/$C$34</f>
        <v>0.10970881830102253</v>
      </c>
      <c r="E11" s="116" t="s">
        <v>107</v>
      </c>
      <c r="F11" s="117">
        <f>SUM(F12:F17)+C9</f>
        <v>3438144</v>
      </c>
      <c r="G11" s="118">
        <f t="shared" ref="G11:G17" si="2">F11/$F$34</f>
        <v>0.48859419091807094</v>
      </c>
      <c r="I11" s="169" t="s">
        <v>115</v>
      </c>
      <c r="J11" s="110" t="s">
        <v>197</v>
      </c>
      <c r="K11" s="111">
        <v>0</v>
      </c>
      <c r="L11" s="111">
        <v>0</v>
      </c>
      <c r="M11" s="111">
        <v>0</v>
      </c>
      <c r="N11" s="111">
        <v>0</v>
      </c>
      <c r="O11" s="111">
        <f t="shared" si="0"/>
        <v>0</v>
      </c>
      <c r="P11" s="111">
        <f t="shared" si="1"/>
        <v>0</v>
      </c>
      <c r="Q11" s="168"/>
      <c r="R11" s="112">
        <v>41400</v>
      </c>
      <c r="S11" s="112"/>
      <c r="T11" s="168"/>
    </row>
    <row r="12" spans="2:20" x14ac:dyDescent="0.25">
      <c r="B12" s="129" t="s">
        <v>121</v>
      </c>
      <c r="C12" s="130">
        <f>SUMIF(I4:I88,"S",$P$4:$P$88)</f>
        <v>0</v>
      </c>
      <c r="D12" s="202">
        <f>C12/$C$34</f>
        <v>0</v>
      </c>
      <c r="E12" s="49" t="s">
        <v>122</v>
      </c>
      <c r="F12" s="131">
        <f>SUMIF(I4:I53,"J",$O$4:$O$83)</f>
        <v>0</v>
      </c>
      <c r="G12" s="121">
        <f t="shared" si="2"/>
        <v>0</v>
      </c>
      <c r="I12" s="169" t="s">
        <v>115</v>
      </c>
      <c r="J12" s="110" t="s">
        <v>191</v>
      </c>
      <c r="K12" s="111">
        <v>0</v>
      </c>
      <c r="L12" s="111">
        <v>0</v>
      </c>
      <c r="M12" s="111">
        <v>0</v>
      </c>
      <c r="N12" s="111">
        <v>0</v>
      </c>
      <c r="O12" s="111">
        <f t="shared" si="0"/>
        <v>0</v>
      </c>
      <c r="P12" s="111">
        <f t="shared" si="1"/>
        <v>0</v>
      </c>
      <c r="Q12" s="168"/>
      <c r="R12" s="112">
        <v>41400</v>
      </c>
      <c r="S12" s="112"/>
      <c r="T12" s="168"/>
    </row>
    <row r="13" spans="2:20" x14ac:dyDescent="0.25">
      <c r="B13" s="129" t="s">
        <v>100</v>
      </c>
      <c r="C13" s="130">
        <f>SUMIF(I4:I83,"J",$P$4:$P$83)</f>
        <v>772000</v>
      </c>
      <c r="D13" s="202">
        <f>C13/$C$34</f>
        <v>0.10970881830102253</v>
      </c>
      <c r="E13" s="49" t="s">
        <v>123</v>
      </c>
      <c r="F13" s="131">
        <f>SUMIF(I3:I52,"S",$O$4:$O$83)</f>
        <v>0</v>
      </c>
      <c r="G13" s="121">
        <f t="shared" si="2"/>
        <v>0</v>
      </c>
      <c r="I13" s="169" t="s">
        <v>115</v>
      </c>
      <c r="J13" s="110" t="s">
        <v>196</v>
      </c>
      <c r="K13" s="111">
        <v>0</v>
      </c>
      <c r="L13" s="111">
        <v>0</v>
      </c>
      <c r="M13" s="111">
        <v>0</v>
      </c>
      <c r="N13" s="111">
        <v>0</v>
      </c>
      <c r="O13" s="111">
        <f t="shared" si="0"/>
        <v>0</v>
      </c>
      <c r="P13" s="111">
        <f t="shared" si="1"/>
        <v>0</v>
      </c>
      <c r="Q13" s="168"/>
      <c r="R13" s="112">
        <v>41400</v>
      </c>
      <c r="S13" s="112"/>
      <c r="T13" s="168"/>
    </row>
    <row r="14" spans="2:20" x14ac:dyDescent="0.25">
      <c r="B14" s="129" t="s">
        <v>99</v>
      </c>
      <c r="C14" s="130">
        <f>SUMIF(I4:I83,"E",$P$4:$P$83)</f>
        <v>0</v>
      </c>
      <c r="D14" s="202">
        <f>C14/$C$34</f>
        <v>0</v>
      </c>
      <c r="E14" s="49" t="s">
        <v>124</v>
      </c>
      <c r="F14" s="131">
        <f>SUMIF(I4:I53,"C",$O$4:$O$83)</f>
        <v>0</v>
      </c>
      <c r="G14" s="121">
        <f t="shared" si="2"/>
        <v>0</v>
      </c>
      <c r="I14" s="169" t="s">
        <v>115</v>
      </c>
      <c r="J14" s="110" t="s">
        <v>190</v>
      </c>
      <c r="K14" s="111">
        <v>0</v>
      </c>
      <c r="L14" s="111">
        <v>0</v>
      </c>
      <c r="M14" s="111">
        <v>0</v>
      </c>
      <c r="N14" s="111">
        <v>0</v>
      </c>
      <c r="O14" s="111">
        <f t="shared" si="0"/>
        <v>0</v>
      </c>
      <c r="P14" s="111">
        <f t="shared" si="1"/>
        <v>0</v>
      </c>
      <c r="Q14" s="168"/>
      <c r="R14" s="112">
        <v>41400</v>
      </c>
      <c r="S14" s="112"/>
      <c r="T14" s="168"/>
    </row>
    <row r="15" spans="2:20" x14ac:dyDescent="0.25">
      <c r="B15" s="129" t="s">
        <v>125</v>
      </c>
      <c r="C15" s="130">
        <f>SUMIF(I4:I83,"M",$P$4:$P$83)</f>
        <v>0</v>
      </c>
      <c r="D15" s="202">
        <f>C15/$C$34</f>
        <v>0</v>
      </c>
      <c r="E15" s="49" t="s">
        <v>126</v>
      </c>
      <c r="F15" s="131">
        <f>SUMIF(I4:I53,"E",$O$4:$O$83)</f>
        <v>0</v>
      </c>
      <c r="G15" s="121">
        <f t="shared" si="2"/>
        <v>0</v>
      </c>
      <c r="I15" s="169" t="s">
        <v>115</v>
      </c>
      <c r="J15" s="110" t="s">
        <v>198</v>
      </c>
      <c r="K15" s="111">
        <v>0</v>
      </c>
      <c r="L15" s="111">
        <v>0</v>
      </c>
      <c r="M15" s="111">
        <v>0</v>
      </c>
      <c r="N15" s="111">
        <v>0</v>
      </c>
      <c r="O15" s="111">
        <f t="shared" si="0"/>
        <v>0</v>
      </c>
      <c r="P15" s="111">
        <f t="shared" si="1"/>
        <v>0</v>
      </c>
      <c r="Q15" s="168"/>
      <c r="R15" s="112">
        <v>41400</v>
      </c>
      <c r="S15" s="112"/>
      <c r="T15" s="168"/>
    </row>
    <row r="16" spans="2:20" x14ac:dyDescent="0.25">
      <c r="B16" s="132"/>
      <c r="C16" s="133"/>
      <c r="D16" s="140"/>
      <c r="E16" s="49" t="s">
        <v>127</v>
      </c>
      <c r="F16" s="131">
        <f>SUMIF(I4:I53,"M",$O$4:$O$83)</f>
        <v>0</v>
      </c>
      <c r="G16" s="121">
        <f t="shared" si="2"/>
        <v>0</v>
      </c>
      <c r="I16" s="169" t="s">
        <v>115</v>
      </c>
      <c r="J16" s="110" t="s">
        <v>202</v>
      </c>
      <c r="K16" s="111">
        <v>0</v>
      </c>
      <c r="L16" s="111">
        <v>0</v>
      </c>
      <c r="M16" s="111">
        <v>0</v>
      </c>
      <c r="N16" s="111">
        <v>0</v>
      </c>
      <c r="O16" s="111">
        <f t="shared" si="0"/>
        <v>0</v>
      </c>
      <c r="P16" s="111">
        <f t="shared" si="1"/>
        <v>0</v>
      </c>
      <c r="Q16" s="168"/>
      <c r="R16" s="112">
        <v>41400</v>
      </c>
      <c r="S16" s="112"/>
      <c r="T16" s="168"/>
    </row>
    <row r="17" spans="2:20" x14ac:dyDescent="0.25">
      <c r="B17" s="116" t="s">
        <v>74</v>
      </c>
      <c r="C17" s="134">
        <f>C18+C19</f>
        <v>0</v>
      </c>
      <c r="D17" s="140">
        <f>C17/$C$34</f>
        <v>0</v>
      </c>
      <c r="E17" s="135" t="s">
        <v>128</v>
      </c>
      <c r="F17" s="136">
        <f>C9+C22-F27+EconomiaT42!C24-EconomiaT42!C5</f>
        <v>3438144</v>
      </c>
      <c r="G17" s="121">
        <f t="shared" si="2"/>
        <v>0.48859419091807094</v>
      </c>
      <c r="I17" s="169" t="s">
        <v>115</v>
      </c>
      <c r="J17" s="110" t="s">
        <v>192</v>
      </c>
      <c r="K17" s="111">
        <v>0</v>
      </c>
      <c r="L17" s="111">
        <v>0</v>
      </c>
      <c r="M17" s="111">
        <v>0</v>
      </c>
      <c r="N17" s="111">
        <v>0</v>
      </c>
      <c r="O17" s="111">
        <f t="shared" si="0"/>
        <v>0</v>
      </c>
      <c r="P17" s="111">
        <f t="shared" si="1"/>
        <v>0</v>
      </c>
      <c r="Q17" s="168"/>
      <c r="R17" s="112">
        <v>41400</v>
      </c>
      <c r="S17" s="112"/>
      <c r="T17" s="168"/>
    </row>
    <row r="18" spans="2:20" x14ac:dyDescent="0.25">
      <c r="B18" s="129" t="s">
        <v>74</v>
      </c>
      <c r="C18" s="130">
        <f>SUM(M4:M62)</f>
        <v>0</v>
      </c>
      <c r="D18" s="202">
        <f>C18/$C$34</f>
        <v>0</v>
      </c>
      <c r="E18" s="124"/>
      <c r="F18" s="125"/>
      <c r="G18" s="137"/>
      <c r="I18" s="169" t="s">
        <v>115</v>
      </c>
      <c r="J18" s="110" t="s">
        <v>201</v>
      </c>
      <c r="K18" s="111">
        <v>0</v>
      </c>
      <c r="L18" s="111">
        <v>0</v>
      </c>
      <c r="M18" s="111">
        <v>0</v>
      </c>
      <c r="N18" s="111">
        <v>0</v>
      </c>
      <c r="O18" s="111">
        <f t="shared" si="0"/>
        <v>0</v>
      </c>
      <c r="P18" s="111">
        <f t="shared" si="1"/>
        <v>0</v>
      </c>
      <c r="Q18" s="168"/>
      <c r="R18" s="112">
        <v>41400</v>
      </c>
      <c r="S18" s="112"/>
      <c r="T18" s="168"/>
    </row>
    <row r="19" spans="2:20" x14ac:dyDescent="0.25">
      <c r="B19" s="122" t="s">
        <v>76</v>
      </c>
      <c r="C19" s="123">
        <f>SUM(N4:N44)*-1</f>
        <v>0</v>
      </c>
      <c r="D19" s="202">
        <f>C19/$C$34</f>
        <v>0</v>
      </c>
      <c r="E19" s="116" t="s">
        <v>129</v>
      </c>
      <c r="F19" s="134">
        <f>F20+F21</f>
        <v>0</v>
      </c>
      <c r="G19" s="118">
        <f>F19/$F$34</f>
        <v>0</v>
      </c>
      <c r="I19" s="169" t="s">
        <v>115</v>
      </c>
      <c r="J19" s="110" t="s">
        <v>194</v>
      </c>
      <c r="K19" s="111">
        <v>0</v>
      </c>
      <c r="L19" s="111">
        <v>0</v>
      </c>
      <c r="M19" s="111">
        <v>0</v>
      </c>
      <c r="N19" s="111">
        <v>0</v>
      </c>
      <c r="O19" s="111">
        <f t="shared" si="0"/>
        <v>0</v>
      </c>
      <c r="P19" s="111">
        <f t="shared" si="1"/>
        <v>0</v>
      </c>
      <c r="Q19" s="168"/>
      <c r="R19" s="112">
        <v>41400</v>
      </c>
      <c r="S19" s="112"/>
      <c r="T19" s="168"/>
    </row>
    <row r="20" spans="2:20" x14ac:dyDescent="0.25">
      <c r="B20" s="132"/>
      <c r="C20" s="133"/>
      <c r="D20" s="202"/>
      <c r="E20" s="206" t="s">
        <v>88</v>
      </c>
      <c r="F20" s="207">
        <f>EconomiaT42!C19</f>
        <v>0</v>
      </c>
      <c r="G20" s="121">
        <f>F20/$F$34</f>
        <v>0</v>
      </c>
      <c r="I20" s="169" t="s">
        <v>120</v>
      </c>
      <c r="J20" s="110" t="s">
        <v>293</v>
      </c>
      <c r="K20" s="111">
        <v>0</v>
      </c>
      <c r="L20" s="111">
        <v>0</v>
      </c>
      <c r="M20" s="111">
        <v>0</v>
      </c>
      <c r="N20" s="111">
        <v>0</v>
      </c>
      <c r="O20" s="111">
        <f t="shared" si="0"/>
        <v>0</v>
      </c>
      <c r="P20" s="111">
        <f t="shared" si="1"/>
        <v>0</v>
      </c>
      <c r="Q20" s="168"/>
      <c r="R20" s="112">
        <v>41519</v>
      </c>
      <c r="S20" s="112"/>
      <c r="T20" s="168"/>
    </row>
    <row r="21" spans="2:20" x14ac:dyDescent="0.25">
      <c r="B21" s="132"/>
      <c r="C21" s="133"/>
      <c r="D21" s="140"/>
      <c r="E21" s="122" t="s">
        <v>130</v>
      </c>
      <c r="F21" s="208">
        <f>SUM(L4:L53)*-1</f>
        <v>0</v>
      </c>
      <c r="G21" s="121">
        <f>F21/$F$34</f>
        <v>0</v>
      </c>
      <c r="I21" s="169" t="s">
        <v>120</v>
      </c>
      <c r="J21" s="110" t="s">
        <v>294</v>
      </c>
      <c r="K21" s="111">
        <v>0</v>
      </c>
      <c r="L21" s="111">
        <v>0</v>
      </c>
      <c r="M21" s="111">
        <v>0</v>
      </c>
      <c r="N21" s="111">
        <v>0</v>
      </c>
      <c r="O21" s="111">
        <f t="shared" si="0"/>
        <v>0</v>
      </c>
      <c r="P21" s="111">
        <f t="shared" si="1"/>
        <v>0</v>
      </c>
      <c r="Q21" s="168"/>
      <c r="R21" s="112">
        <v>41527</v>
      </c>
      <c r="S21" s="112"/>
      <c r="T21" s="168"/>
    </row>
    <row r="22" spans="2:20" x14ac:dyDescent="0.25">
      <c r="B22" s="116" t="s">
        <v>131</v>
      </c>
      <c r="C22" s="117">
        <f>SUM(C23:C27)</f>
        <v>3165941</v>
      </c>
      <c r="D22" s="140">
        <f t="shared" ref="D22:D27" si="3">C22/$C$34</f>
        <v>0.44991145844657715</v>
      </c>
      <c r="E22" s="116"/>
      <c r="F22" s="117"/>
      <c r="G22" s="118"/>
      <c r="I22" s="169" t="s">
        <v>120</v>
      </c>
      <c r="J22" s="110" t="s">
        <v>295</v>
      </c>
      <c r="K22" s="111">
        <v>0</v>
      </c>
      <c r="L22" s="111">
        <v>0</v>
      </c>
      <c r="M22" s="111">
        <v>0</v>
      </c>
      <c r="N22" s="111">
        <v>0</v>
      </c>
      <c r="O22" s="111">
        <f t="shared" si="0"/>
        <v>0</v>
      </c>
      <c r="P22" s="111">
        <f t="shared" si="1"/>
        <v>0</v>
      </c>
      <c r="Q22" s="168"/>
      <c r="R22" s="112">
        <v>41532</v>
      </c>
      <c r="S22" s="112"/>
      <c r="T22" s="168"/>
    </row>
    <row r="23" spans="2:20" x14ac:dyDescent="0.25">
      <c r="B23" s="138" t="s">
        <v>69</v>
      </c>
      <c r="C23" s="139">
        <f>EconomiaT42!C11</f>
        <v>53280</v>
      </c>
      <c r="D23" s="202">
        <f t="shared" si="3"/>
        <v>7.571613781189741E-3</v>
      </c>
      <c r="E23" s="116" t="s">
        <v>264</v>
      </c>
      <c r="F23" s="117">
        <f>SUM(F24:F25)</f>
        <v>116470</v>
      </c>
      <c r="G23" s="118">
        <f>F23/$F$34</f>
        <v>1.6551536356891314E-2</v>
      </c>
      <c r="I23" s="169" t="s">
        <v>115</v>
      </c>
      <c r="J23" s="110" t="s">
        <v>387</v>
      </c>
      <c r="K23" s="111">
        <v>772000</v>
      </c>
      <c r="L23" s="111">
        <v>0</v>
      </c>
      <c r="M23" s="111">
        <v>0</v>
      </c>
      <c r="N23" s="111">
        <v>0</v>
      </c>
      <c r="O23" s="111">
        <f t="shared" si="0"/>
        <v>0</v>
      </c>
      <c r="P23" s="111">
        <f t="shared" si="1"/>
        <v>772000</v>
      </c>
      <c r="Q23" s="168"/>
      <c r="R23" s="112">
        <v>41576</v>
      </c>
      <c r="S23" s="112"/>
      <c r="T23" s="168"/>
    </row>
    <row r="24" spans="2:20" x14ac:dyDescent="0.25">
      <c r="B24" s="138" t="s">
        <v>79</v>
      </c>
      <c r="C24" s="139">
        <f>EconomiaT42!C12</f>
        <v>150000</v>
      </c>
      <c r="D24" s="202">
        <f t="shared" si="3"/>
        <v>2.1316480239835983E-2</v>
      </c>
      <c r="E24" s="206" t="s">
        <v>84</v>
      </c>
      <c r="F24" s="209">
        <f>EconomiaT42!C16</f>
        <v>116470</v>
      </c>
      <c r="G24" s="121">
        <f>F24/$F$34</f>
        <v>1.6551536356891314E-2</v>
      </c>
      <c r="I24" s="169" t="s">
        <v>120</v>
      </c>
      <c r="J24" s="110" t="s">
        <v>396</v>
      </c>
      <c r="K24" s="111">
        <v>0</v>
      </c>
      <c r="L24" s="111">
        <v>0</v>
      </c>
      <c r="M24" s="111">
        <v>0</v>
      </c>
      <c r="N24" s="111">
        <v>0</v>
      </c>
      <c r="O24" s="111">
        <f t="shared" ref="O24" si="4">IF(M24=0,0,M24-K24)-N24</f>
        <v>0</v>
      </c>
      <c r="P24" s="111">
        <f t="shared" ref="P24" si="5">IF(M24=0,K24,0)</f>
        <v>0</v>
      </c>
      <c r="Q24" s="168"/>
      <c r="R24" s="112">
        <v>41583</v>
      </c>
      <c r="S24" s="112"/>
      <c r="T24" s="168"/>
    </row>
    <row r="25" spans="2:20" x14ac:dyDescent="0.25">
      <c r="B25" s="138" t="s">
        <v>71</v>
      </c>
      <c r="C25" s="139">
        <f>EconomiaT42!C6</f>
        <v>1882541</v>
      </c>
      <c r="D25" s="202">
        <f t="shared" si="3"/>
        <v>0.26752765351454044</v>
      </c>
      <c r="E25" s="206" t="s">
        <v>67</v>
      </c>
      <c r="F25" s="209">
        <f>EconomiaT42!C20</f>
        <v>0</v>
      </c>
      <c r="G25" s="121">
        <f>F25/$F$34</f>
        <v>0</v>
      </c>
      <c r="I25" s="169" t="s">
        <v>120</v>
      </c>
      <c r="J25" s="110" t="s">
        <v>397</v>
      </c>
      <c r="K25" s="111">
        <v>0</v>
      </c>
      <c r="L25" s="111">
        <v>0</v>
      </c>
      <c r="M25" s="111">
        <v>0</v>
      </c>
      <c r="N25" s="111">
        <v>0</v>
      </c>
      <c r="O25" s="111">
        <f t="shared" ref="O25" si="6">IF(M25=0,0,M25-K25)-N25</f>
        <v>0</v>
      </c>
      <c r="P25" s="111">
        <f t="shared" ref="P25" si="7">IF(M25=0,K25,0)</f>
        <v>0</v>
      </c>
      <c r="Q25" s="168"/>
      <c r="R25" s="112">
        <v>41539</v>
      </c>
      <c r="S25" s="112"/>
      <c r="T25" s="168"/>
    </row>
    <row r="26" spans="2:20" x14ac:dyDescent="0.25">
      <c r="B26" s="138" t="s">
        <v>72</v>
      </c>
      <c r="C26" s="139">
        <f>EconomiaT42!C7</f>
        <v>1080120</v>
      </c>
      <c r="D26" s="202">
        <f t="shared" si="3"/>
        <v>0.15349571091101094</v>
      </c>
      <c r="E26" s="116"/>
      <c r="F26" s="117"/>
      <c r="G26" s="118"/>
      <c r="I26" s="169" t="s">
        <v>120</v>
      </c>
      <c r="J26" s="110" t="s">
        <v>398</v>
      </c>
      <c r="K26" s="111">
        <v>0</v>
      </c>
      <c r="L26" s="111">
        <v>0</v>
      </c>
      <c r="M26" s="111">
        <v>0</v>
      </c>
      <c r="N26" s="111">
        <v>0</v>
      </c>
      <c r="O26" s="111">
        <f t="shared" ref="O26" si="8">IF(M26=0,0,M26-K26)-N26</f>
        <v>0</v>
      </c>
      <c r="P26" s="111">
        <f t="shared" ref="P26" si="9">IF(M26=0,K26,0)</f>
        <v>0</v>
      </c>
      <c r="Q26" s="168"/>
      <c r="R26" s="112">
        <v>41605</v>
      </c>
      <c r="S26" s="112"/>
      <c r="T26" s="168"/>
    </row>
    <row r="27" spans="2:20" x14ac:dyDescent="0.25">
      <c r="B27" s="138" t="s">
        <v>76</v>
      </c>
      <c r="C27" s="139">
        <f>EconomiaT42!C10</f>
        <v>0</v>
      </c>
      <c r="D27" s="202">
        <f t="shared" si="3"/>
        <v>0</v>
      </c>
      <c r="E27" s="116" t="s">
        <v>265</v>
      </c>
      <c r="F27" s="117">
        <f>SUM(F28:F33)</f>
        <v>1388634</v>
      </c>
      <c r="G27" s="118">
        <f t="shared" ref="G27:G33" si="10">F27/$F$34</f>
        <v>0.19733859480909599</v>
      </c>
      <c r="I27" s="169" t="s">
        <v>120</v>
      </c>
      <c r="J27" s="110" t="s">
        <v>399</v>
      </c>
      <c r="K27" s="111">
        <v>0</v>
      </c>
      <c r="L27" s="111">
        <v>0</v>
      </c>
      <c r="M27" s="111">
        <v>0</v>
      </c>
      <c r="N27" s="111">
        <v>0</v>
      </c>
      <c r="O27" s="111">
        <f t="shared" ref="O27" si="11">IF(M27=0,0,M27-K27)-N27</f>
        <v>0</v>
      </c>
      <c r="P27" s="111">
        <f t="shared" ref="P27" si="12">IF(M27=0,K27,0)</f>
        <v>0</v>
      </c>
      <c r="Q27" s="168"/>
      <c r="R27" s="112">
        <v>41552</v>
      </c>
      <c r="S27" s="112"/>
      <c r="T27" s="168"/>
    </row>
    <row r="28" spans="2:20" x14ac:dyDescent="0.25">
      <c r="B28" s="116"/>
      <c r="C28" s="117"/>
      <c r="D28" s="140"/>
      <c r="E28" s="206" t="s">
        <v>132</v>
      </c>
      <c r="F28" s="209">
        <f>EconomiaT42!C14</f>
        <v>280442</v>
      </c>
      <c r="G28" s="121">
        <f t="shared" si="10"/>
        <v>3.9853575676133887E-2</v>
      </c>
      <c r="I28" s="17"/>
      <c r="J28" s="108"/>
      <c r="K28" s="126"/>
      <c r="L28" s="126"/>
      <c r="M28" s="126"/>
      <c r="N28" s="126"/>
      <c r="O28" s="126"/>
      <c r="P28" s="126"/>
      <c r="Q28" s="127"/>
      <c r="R28" s="128"/>
      <c r="S28" s="128"/>
      <c r="T28" s="167"/>
    </row>
    <row r="29" spans="2:20" x14ac:dyDescent="0.25">
      <c r="B29" s="116" t="s">
        <v>133</v>
      </c>
      <c r="C29" s="117">
        <f>EconomiaT42!S24</f>
        <v>1770468</v>
      </c>
      <c r="D29" s="140">
        <f>C29/$C$34</f>
        <v>0.25160097424841288</v>
      </c>
      <c r="E29" s="206" t="s">
        <v>82</v>
      </c>
      <c r="F29" s="209">
        <f>EconomiaT42!C15</f>
        <v>252692</v>
      </c>
      <c r="G29" s="121">
        <f t="shared" si="10"/>
        <v>3.5910026831764225E-2</v>
      </c>
      <c r="I29" s="17"/>
      <c r="J29" s="108"/>
      <c r="K29" s="126"/>
      <c r="L29" s="126"/>
      <c r="M29" s="126"/>
      <c r="N29" s="126"/>
      <c r="O29" s="126"/>
      <c r="P29" s="126"/>
      <c r="Q29" s="127"/>
      <c r="R29" s="128"/>
      <c r="S29" s="128"/>
      <c r="T29" s="167"/>
    </row>
    <row r="30" spans="2:20" x14ac:dyDescent="0.25">
      <c r="B30" s="116"/>
      <c r="C30" s="117"/>
      <c r="D30" s="140"/>
      <c r="E30" s="206" t="s">
        <v>85</v>
      </c>
      <c r="F30" s="209">
        <f>EconomiaT42!C17</f>
        <v>491400</v>
      </c>
      <c r="G30" s="121">
        <f t="shared" si="10"/>
        <v>6.9832789265702674E-2</v>
      </c>
      <c r="I30" s="17"/>
      <c r="J30" s="108"/>
      <c r="K30" s="126"/>
      <c r="L30" s="126"/>
      <c r="M30" s="126"/>
      <c r="N30" s="126"/>
      <c r="O30" s="126"/>
      <c r="P30" s="126"/>
      <c r="Q30" s="127"/>
      <c r="R30" s="128"/>
      <c r="S30" s="128"/>
      <c r="T30" s="167"/>
    </row>
    <row r="31" spans="2:20" x14ac:dyDescent="0.25">
      <c r="B31" s="116"/>
      <c r="C31" s="117"/>
      <c r="D31" s="140"/>
      <c r="E31" s="206" t="s">
        <v>86</v>
      </c>
      <c r="F31" s="209">
        <f>EconomiaT42!C18</f>
        <v>320000</v>
      </c>
      <c r="G31" s="121">
        <f t="shared" si="10"/>
        <v>4.5475157844983433E-2</v>
      </c>
      <c r="I31" s="17"/>
      <c r="J31" s="108"/>
      <c r="K31" s="126"/>
      <c r="L31" s="126"/>
      <c r="M31" s="126"/>
      <c r="N31" s="126"/>
      <c r="O31" s="126"/>
      <c r="P31" s="126"/>
      <c r="Q31" s="127"/>
      <c r="R31" s="128"/>
      <c r="S31" s="128"/>
      <c r="T31" s="167"/>
    </row>
    <row r="32" spans="2:20" x14ac:dyDescent="0.25">
      <c r="B32" s="116"/>
      <c r="C32" s="117"/>
      <c r="D32" s="140"/>
      <c r="E32" s="206" t="s">
        <v>89</v>
      </c>
      <c r="F32" s="209">
        <f>EconomiaT42!C21</f>
        <v>44100</v>
      </c>
      <c r="G32" s="121">
        <f t="shared" si="10"/>
        <v>6.2670451905117788E-3</v>
      </c>
      <c r="I32" s="17"/>
      <c r="J32" s="108"/>
      <c r="K32" s="126"/>
      <c r="L32" s="126"/>
      <c r="M32" s="126"/>
      <c r="N32" s="126"/>
      <c r="O32" s="126"/>
      <c r="P32" s="126"/>
      <c r="Q32" s="127"/>
      <c r="R32" s="128"/>
      <c r="S32" s="128"/>
      <c r="T32" s="167"/>
    </row>
    <row r="33" spans="2:20" x14ac:dyDescent="0.25">
      <c r="B33" s="141"/>
      <c r="C33" s="142"/>
      <c r="D33" s="140"/>
      <c r="E33" s="206" t="s">
        <v>90</v>
      </c>
      <c r="F33" s="209">
        <f>EconomiaT42!C22</f>
        <v>0</v>
      </c>
      <c r="G33" s="121">
        <f t="shared" si="10"/>
        <v>0</v>
      </c>
      <c r="I33" s="17"/>
      <c r="J33" s="108"/>
      <c r="K33" s="126"/>
      <c r="L33" s="126"/>
      <c r="M33" s="126"/>
      <c r="N33" s="126"/>
      <c r="O33" s="126"/>
      <c r="P33" s="126"/>
      <c r="Q33" s="127"/>
      <c r="R33" s="128"/>
      <c r="S33" s="128"/>
      <c r="T33" s="167"/>
    </row>
    <row r="34" spans="2:20" ht="18.75" x14ac:dyDescent="0.3">
      <c r="B34" s="143" t="s">
        <v>27</v>
      </c>
      <c r="C34" s="144">
        <f>C22+C17+C11+C6+C29</f>
        <v>7036809</v>
      </c>
      <c r="D34" s="145">
        <f>C34/$C$34</f>
        <v>1</v>
      </c>
      <c r="E34" s="146" t="s">
        <v>27</v>
      </c>
      <c r="F34" s="147">
        <f>F27+F19+F11+F6+F23</f>
        <v>7036809</v>
      </c>
      <c r="G34" s="145">
        <f>F34/$F$34</f>
        <v>1</v>
      </c>
      <c r="I34" s="17"/>
      <c r="J34" s="108"/>
      <c r="K34" s="126"/>
      <c r="L34" s="126"/>
      <c r="M34" s="126"/>
      <c r="N34" s="126"/>
      <c r="O34" s="126"/>
      <c r="P34" s="126"/>
      <c r="Q34" s="127"/>
      <c r="R34" s="128"/>
      <c r="S34" s="128"/>
      <c r="T34" s="167"/>
    </row>
    <row r="35" spans="2:20" x14ac:dyDescent="0.25">
      <c r="F35" s="106">
        <f>F34-C34</f>
        <v>0</v>
      </c>
      <c r="I35" s="17"/>
      <c r="J35" s="108"/>
      <c r="K35" s="126"/>
      <c r="L35" s="126"/>
      <c r="M35" s="126"/>
      <c r="N35" s="126"/>
      <c r="O35" s="126"/>
      <c r="P35" s="126"/>
      <c r="Q35" s="127"/>
      <c r="R35" s="128"/>
      <c r="S35" s="128"/>
      <c r="T35" s="127"/>
    </row>
    <row r="36" spans="2:20" x14ac:dyDescent="0.25">
      <c r="I36" s="17"/>
      <c r="J36" s="108"/>
      <c r="K36" s="126"/>
      <c r="L36" s="126"/>
      <c r="M36" s="126"/>
      <c r="N36" s="126"/>
      <c r="O36" s="126"/>
      <c r="P36" s="126"/>
      <c r="Q36" s="127"/>
      <c r="R36" s="128"/>
      <c r="S36" s="128"/>
      <c r="T36" s="167"/>
    </row>
    <row r="37" spans="2:20" x14ac:dyDescent="0.25">
      <c r="I37" s="17"/>
      <c r="J37" s="108"/>
      <c r="K37" s="126"/>
      <c r="L37" s="126"/>
      <c r="M37" s="126"/>
      <c r="N37" s="126"/>
      <c r="O37" s="126"/>
      <c r="P37" s="126"/>
      <c r="Q37" s="127"/>
      <c r="R37" s="128"/>
      <c r="S37" s="128"/>
      <c r="T37" s="12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280"/>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sheetData>
  <autoFilter ref="I3:T48"/>
  <mergeCells count="5">
    <mergeCell ref="B2:G2"/>
    <mergeCell ref="I2:T2"/>
    <mergeCell ref="B3:G3"/>
    <mergeCell ref="B4:C4"/>
    <mergeCell ref="E4:F4"/>
  </mergeCells>
  <conditionalFormatting sqref="F12:F17 O4:O48 T4:T48 Q4:Q48">
    <cfRule type="cellIs" dxfId="260" priority="1" operator="lessThan">
      <formula>0</formula>
    </cfRule>
    <cfRule type="cellIs" dxfId="259" priority="2" operator="greaterThan">
      <formula>0</formula>
    </cfRule>
  </conditionalFormatting>
  <pageMargins left="0.7" right="0.7" top="0.75" bottom="0.75" header="0.3" footer="0.3"/>
  <pageSetup paperSize="9" orientation="portrait"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H5" activePane="bottomRight" state="frozen"/>
      <selection pane="topRight" activeCell="D1" sqref="D1"/>
      <selection pane="bottomLeft" activeCell="A5" sqref="A5"/>
      <selection pane="bottomRight" activeCell="R14" sqref="R14:S14"/>
    </sheetView>
  </sheetViews>
  <sheetFormatPr defaultColWidth="11.42578125" defaultRowHeight="15" x14ac:dyDescent="0.25"/>
  <cols>
    <col min="1" max="1" width="23" style="4" bestFit="1" customWidth="1"/>
    <col min="2" max="2" width="16" style="4" customWidth="1"/>
    <col min="3" max="3" width="18.28515625" style="4" bestFit="1" customWidth="1"/>
    <col min="4" max="4" width="16.7109375" style="257"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EconomiaT42!S25</f>
        <v>41740</v>
      </c>
      <c r="E2" s="55">
        <f t="shared" ref="E2:S2" si="0">D2+7</f>
        <v>41747</v>
      </c>
      <c r="F2" s="55">
        <f t="shared" si="0"/>
        <v>41754</v>
      </c>
      <c r="G2" s="55">
        <f t="shared" si="0"/>
        <v>41761</v>
      </c>
      <c r="H2" s="55">
        <f t="shared" si="0"/>
        <v>41768</v>
      </c>
      <c r="I2" s="55">
        <f t="shared" si="0"/>
        <v>41775</v>
      </c>
      <c r="J2" s="55">
        <f t="shared" si="0"/>
        <v>41782</v>
      </c>
      <c r="K2" s="55">
        <f t="shared" si="0"/>
        <v>41789</v>
      </c>
      <c r="L2" s="55">
        <f t="shared" si="0"/>
        <v>41796</v>
      </c>
      <c r="M2" s="55">
        <f t="shared" si="0"/>
        <v>41803</v>
      </c>
      <c r="N2" s="55">
        <f t="shared" si="0"/>
        <v>41810</v>
      </c>
      <c r="O2" s="55">
        <f t="shared" si="0"/>
        <v>41817</v>
      </c>
      <c r="P2" s="55">
        <f t="shared" si="0"/>
        <v>41824</v>
      </c>
      <c r="Q2" s="55">
        <f t="shared" si="0"/>
        <v>41831</v>
      </c>
      <c r="R2" s="55">
        <f t="shared" si="0"/>
        <v>41838</v>
      </c>
      <c r="S2" s="55">
        <f t="shared" si="0"/>
        <v>41845</v>
      </c>
      <c r="T2" s="56"/>
    </row>
    <row r="3" spans="1:26" s="59" customFormat="1" x14ac:dyDescent="0.25">
      <c r="A3" s="57"/>
      <c r="B3" s="57" t="s">
        <v>483</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69</v>
      </c>
      <c r="D4" s="61">
        <f>EconomiaT42!S4*1.1+32</f>
        <v>1464.2</v>
      </c>
      <c r="E4" s="61">
        <f t="shared" ref="E4:S4" si="1">D4+(D11/30)</f>
        <v>1483.2</v>
      </c>
      <c r="F4" s="61">
        <f t="shared" si="1"/>
        <v>1501.2</v>
      </c>
      <c r="G4" s="61">
        <f t="shared" si="1"/>
        <v>1511.2</v>
      </c>
      <c r="H4" s="61">
        <f t="shared" si="1"/>
        <v>1517.2</v>
      </c>
      <c r="I4" s="61">
        <f t="shared" si="1"/>
        <v>1527.2</v>
      </c>
      <c r="J4" s="61">
        <f t="shared" si="1"/>
        <v>1539.2</v>
      </c>
      <c r="K4" s="61">
        <f t="shared" si="1"/>
        <v>1543.2</v>
      </c>
      <c r="L4" s="61">
        <f t="shared" si="1"/>
        <v>1553.2</v>
      </c>
      <c r="M4" s="61">
        <f t="shared" si="1"/>
        <v>1571.2</v>
      </c>
      <c r="N4" s="61">
        <f t="shared" si="1"/>
        <v>1583.2</v>
      </c>
      <c r="O4" s="61">
        <f t="shared" si="1"/>
        <v>1595.2</v>
      </c>
      <c r="P4" s="61">
        <f t="shared" si="1"/>
        <v>1603.2</v>
      </c>
      <c r="Q4" s="61">
        <f t="shared" si="1"/>
        <v>1609.2</v>
      </c>
      <c r="R4" s="61">
        <f t="shared" si="1"/>
        <v>1619.2</v>
      </c>
      <c r="S4" s="61">
        <f t="shared" si="1"/>
        <v>1631.2</v>
      </c>
    </row>
    <row r="5" spans="1:26" s="66" customFormat="1" ht="18.75" x14ac:dyDescent="0.3">
      <c r="A5" s="62" t="s">
        <v>70</v>
      </c>
      <c r="B5" s="62"/>
      <c r="C5" s="63">
        <f>EconomiaT42!C24+2307</f>
        <v>1772775</v>
      </c>
      <c r="D5" s="64">
        <f>C5</f>
        <v>1772775</v>
      </c>
      <c r="E5" s="64">
        <f t="shared" ref="E5:Q5" si="2">D24</f>
        <v>1784244</v>
      </c>
      <c r="F5" s="64">
        <f t="shared" si="2"/>
        <v>1901041</v>
      </c>
      <c r="G5" s="64">
        <f t="shared" si="2"/>
        <v>5518</v>
      </c>
      <c r="H5" s="64">
        <f t="shared" si="2"/>
        <v>-20688</v>
      </c>
      <c r="I5" s="64">
        <f t="shared" si="2"/>
        <v>124395</v>
      </c>
      <c r="J5" s="64">
        <f t="shared" si="2"/>
        <v>101036</v>
      </c>
      <c r="K5" s="64">
        <f t="shared" si="2"/>
        <v>303463</v>
      </c>
      <c r="L5" s="64">
        <f t="shared" si="2"/>
        <v>274340</v>
      </c>
      <c r="M5" s="64">
        <f t="shared" si="2"/>
        <v>460972</v>
      </c>
      <c r="N5" s="64">
        <f t="shared" si="2"/>
        <v>434179</v>
      </c>
      <c r="O5" s="64">
        <f t="shared" si="2"/>
        <v>671430</v>
      </c>
      <c r="P5" s="64">
        <f t="shared" si="2"/>
        <v>645969</v>
      </c>
      <c r="Q5" s="64">
        <f t="shared" si="2"/>
        <v>848750</v>
      </c>
      <c r="R5" s="64">
        <f>Q24</f>
        <v>826109</v>
      </c>
      <c r="S5" s="64">
        <f>R24</f>
        <v>1044299</v>
      </c>
    </row>
    <row r="6" spans="1:26" x14ac:dyDescent="0.25">
      <c r="A6" s="67" t="s">
        <v>71</v>
      </c>
      <c r="B6" s="67" t="s">
        <v>71</v>
      </c>
      <c r="C6" s="68">
        <f t="shared" ref="C6:C23" si="3">SUM(D6:S6)</f>
        <v>2026936</v>
      </c>
      <c r="D6" s="69">
        <v>34650</v>
      </c>
      <c r="E6" s="69">
        <v>180218</v>
      </c>
      <c r="F6" s="69">
        <v>212128</v>
      </c>
      <c r="G6" s="69">
        <v>7805</v>
      </c>
      <c r="H6" s="69">
        <v>177973</v>
      </c>
      <c r="I6" s="69">
        <v>14212</v>
      </c>
      <c r="J6" s="69">
        <f>229206+16107</f>
        <v>245313</v>
      </c>
      <c r="K6" s="69">
        <v>7373</v>
      </c>
      <c r="L6" s="69">
        <f>212651+11682</f>
        <v>224333</v>
      </c>
      <c r="M6" s="69">
        <v>16028</v>
      </c>
      <c r="N6" s="69">
        <f>265538+10979</f>
        <v>276517</v>
      </c>
      <c r="O6" s="69">
        <v>10800</v>
      </c>
      <c r="P6" s="69">
        <v>239732</v>
      </c>
      <c r="Q6" s="69">
        <v>18635</v>
      </c>
      <c r="R6" s="69">
        <v>259836</v>
      </c>
      <c r="S6" s="69">
        <v>101383</v>
      </c>
      <c r="Y6" s="67" t="s">
        <v>71</v>
      </c>
      <c r="Z6" s="71">
        <f>C6/$C$13</f>
        <v>0.5840639165329885</v>
      </c>
    </row>
    <row r="7" spans="1:26" x14ac:dyDescent="0.25">
      <c r="A7" s="67" t="s">
        <v>72</v>
      </c>
      <c r="B7" s="67" t="s">
        <v>72</v>
      </c>
      <c r="C7" s="68">
        <f t="shared" si="3"/>
        <v>1388875</v>
      </c>
      <c r="D7" s="72">
        <v>68455</v>
      </c>
      <c r="E7" s="72">
        <v>76225</v>
      </c>
      <c r="F7" s="72">
        <v>81405</v>
      </c>
      <c r="G7" s="72">
        <v>84365</v>
      </c>
      <c r="H7" s="72">
        <v>86215</v>
      </c>
      <c r="I7" s="72">
        <v>87325</v>
      </c>
      <c r="J7" s="72">
        <v>88250</v>
      </c>
      <c r="K7" s="72">
        <v>88620</v>
      </c>
      <c r="L7" s="72">
        <v>89175</v>
      </c>
      <c r="M7" s="72">
        <v>89915</v>
      </c>
      <c r="N7" s="72">
        <v>90470</v>
      </c>
      <c r="O7" s="72">
        <v>91025</v>
      </c>
      <c r="P7" s="72">
        <f>O7+370</f>
        <v>91395</v>
      </c>
      <c r="Q7" s="72">
        <v>91580</v>
      </c>
      <c r="R7" s="72">
        <v>91950</v>
      </c>
      <c r="S7" s="72">
        <v>92505</v>
      </c>
      <c r="Y7" s="67" t="s">
        <v>72</v>
      </c>
      <c r="Z7" s="71">
        <f t="shared" ref="Z7:Z12" si="4">C7/$C$13</f>
        <v>0.40020591280373652</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74</v>
      </c>
      <c r="Z8" s="71">
        <f t="shared" si="4"/>
        <v>0</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75</v>
      </c>
      <c r="Z9" s="71">
        <f t="shared" si="4"/>
        <v>0</v>
      </c>
    </row>
    <row r="10" spans="1:26" x14ac:dyDescent="0.25">
      <c r="A10" s="67" t="s">
        <v>76</v>
      </c>
      <c r="B10" s="67" t="s">
        <v>76</v>
      </c>
      <c r="C10" s="68">
        <f t="shared" si="3"/>
        <v>50</v>
      </c>
      <c r="D10" s="72">
        <v>50</v>
      </c>
      <c r="E10" s="72">
        <v>0</v>
      </c>
      <c r="F10" s="72">
        <v>0</v>
      </c>
      <c r="G10" s="72">
        <v>0</v>
      </c>
      <c r="H10" s="72">
        <v>0</v>
      </c>
      <c r="I10" s="72">
        <v>0</v>
      </c>
      <c r="J10" s="72">
        <v>0</v>
      </c>
      <c r="K10" s="72">
        <v>0</v>
      </c>
      <c r="L10" s="72">
        <v>0</v>
      </c>
      <c r="M10" s="72">
        <v>0</v>
      </c>
      <c r="N10" s="72">
        <v>0</v>
      </c>
      <c r="O10" s="72">
        <v>0</v>
      </c>
      <c r="P10" s="72">
        <v>0</v>
      </c>
      <c r="Q10" s="72">
        <v>0</v>
      </c>
      <c r="R10" s="72">
        <v>0</v>
      </c>
      <c r="S10" s="72">
        <v>0</v>
      </c>
      <c r="Y10" s="67" t="s">
        <v>76</v>
      </c>
      <c r="Z10" s="71">
        <f t="shared" si="4"/>
        <v>1.4407556936503879E-5</v>
      </c>
    </row>
    <row r="11" spans="1:26" x14ac:dyDescent="0.25">
      <c r="A11" s="715" t="s">
        <v>77</v>
      </c>
      <c r="B11" s="67" t="s">
        <v>78</v>
      </c>
      <c r="C11" s="68">
        <f t="shared" si="3"/>
        <v>54540</v>
      </c>
      <c r="D11" s="72">
        <v>570</v>
      </c>
      <c r="E11" s="72">
        <v>540</v>
      </c>
      <c r="F11" s="72">
        <v>300</v>
      </c>
      <c r="G11" s="72">
        <v>180</v>
      </c>
      <c r="H11" s="72">
        <v>300</v>
      </c>
      <c r="I11" s="72">
        <f>180*2</f>
        <v>360</v>
      </c>
      <c r="J11" s="72">
        <v>120</v>
      </c>
      <c r="K11" s="72">
        <v>300</v>
      </c>
      <c r="L11" s="72">
        <f>270*2</f>
        <v>540</v>
      </c>
      <c r="M11" s="72">
        <v>360</v>
      </c>
      <c r="N11" s="72">
        <f t="shared" ref="N11" si="5">M11</f>
        <v>360</v>
      </c>
      <c r="O11" s="72">
        <v>240</v>
      </c>
      <c r="P11" s="72">
        <v>180</v>
      </c>
      <c r="Q11" s="72">
        <v>300</v>
      </c>
      <c r="R11" s="72">
        <v>360</v>
      </c>
      <c r="S11" s="72">
        <f>S4*30+594</f>
        <v>49530</v>
      </c>
      <c r="Y11" s="67" t="s">
        <v>78</v>
      </c>
      <c r="Z11" s="71">
        <f t="shared" si="4"/>
        <v>1.5715763106338432E-2</v>
      </c>
    </row>
    <row r="12" spans="1:26" x14ac:dyDescent="0.25">
      <c r="A12" s="716"/>
      <c r="B12" s="67" t="s">
        <v>79</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79</v>
      </c>
      <c r="Z12" s="71">
        <f t="shared" si="4"/>
        <v>0</v>
      </c>
    </row>
    <row r="13" spans="1:26" s="78" customFormat="1" ht="18.75" x14ac:dyDescent="0.3">
      <c r="A13" s="73" t="s">
        <v>80</v>
      </c>
      <c r="B13" s="74"/>
      <c r="C13" s="75">
        <f t="shared" si="3"/>
        <v>3470401</v>
      </c>
      <c r="D13" s="76">
        <f t="shared" ref="D13:H13" si="6">SUM(D6:D12)</f>
        <v>103725</v>
      </c>
      <c r="E13" s="76">
        <f t="shared" si="6"/>
        <v>256983</v>
      </c>
      <c r="F13" s="76">
        <f>F12+F11+F10+F9+F8+F7+F6</f>
        <v>293833</v>
      </c>
      <c r="G13" s="76">
        <f t="shared" si="6"/>
        <v>92350</v>
      </c>
      <c r="H13" s="76">
        <f t="shared" si="6"/>
        <v>264488</v>
      </c>
      <c r="I13" s="76">
        <f t="shared" ref="I13:S13" si="7">SUM(I6:I12)</f>
        <v>101897</v>
      </c>
      <c r="J13" s="76">
        <f t="shared" si="7"/>
        <v>333683</v>
      </c>
      <c r="K13" s="76">
        <f t="shared" si="7"/>
        <v>96293</v>
      </c>
      <c r="L13" s="76">
        <f t="shared" si="7"/>
        <v>314048</v>
      </c>
      <c r="M13" s="76">
        <f t="shared" si="7"/>
        <v>106303</v>
      </c>
      <c r="N13" s="76">
        <f t="shared" si="7"/>
        <v>367347</v>
      </c>
      <c r="O13" s="76">
        <f t="shared" si="7"/>
        <v>102065</v>
      </c>
      <c r="P13" s="76">
        <f t="shared" si="7"/>
        <v>331307</v>
      </c>
      <c r="Q13" s="76">
        <f t="shared" si="7"/>
        <v>110515</v>
      </c>
      <c r="R13" s="76">
        <f t="shared" si="7"/>
        <v>352146</v>
      </c>
      <c r="S13" s="76">
        <f t="shared" si="7"/>
        <v>243418</v>
      </c>
      <c r="Z13" s="79">
        <f>SUM(Z6:Z12)</f>
        <v>1</v>
      </c>
    </row>
    <row r="14" spans="1:26" ht="18.75" x14ac:dyDescent="0.3">
      <c r="A14" s="80" t="s">
        <v>81</v>
      </c>
      <c r="B14" s="81" t="str">
        <f>A14</f>
        <v>Sueldos</v>
      </c>
      <c r="C14" s="82">
        <f t="shared" si="3"/>
        <v>357634</v>
      </c>
      <c r="D14" s="83">
        <v>20232</v>
      </c>
      <c r="E14" s="83">
        <v>20562</v>
      </c>
      <c r="F14" s="83">
        <v>20932</v>
      </c>
      <c r="G14" s="83">
        <f t="shared" ref="G14:S15" si="8">F14</f>
        <v>20932</v>
      </c>
      <c r="H14" s="83">
        <v>21092</v>
      </c>
      <c r="I14" s="83">
        <v>21632</v>
      </c>
      <c r="J14" s="83">
        <f t="shared" si="8"/>
        <v>21632</v>
      </c>
      <c r="K14" s="83">
        <v>21792</v>
      </c>
      <c r="L14" s="83">
        <f t="shared" si="8"/>
        <v>21792</v>
      </c>
      <c r="M14" s="83">
        <v>23472</v>
      </c>
      <c r="N14" s="83">
        <v>23472</v>
      </c>
      <c r="O14" s="83">
        <v>23902</v>
      </c>
      <c r="P14" s="83">
        <f t="shared" si="8"/>
        <v>23902</v>
      </c>
      <c r="Q14" s="83">
        <v>23532</v>
      </c>
      <c r="R14" s="83">
        <v>24332</v>
      </c>
      <c r="S14" s="83">
        <v>24424</v>
      </c>
      <c r="Y14" s="717">
        <f>C13</f>
        <v>3470401</v>
      </c>
      <c r="Z14" s="718"/>
    </row>
    <row r="15" spans="1:26" x14ac:dyDescent="0.25">
      <c r="A15" s="80" t="s">
        <v>82</v>
      </c>
      <c r="B15" s="81" t="str">
        <f>A15</f>
        <v xml:space="preserve">Mantenimiento </v>
      </c>
      <c r="C15" s="82">
        <f t="shared" si="3"/>
        <v>281984</v>
      </c>
      <c r="D15" s="83">
        <v>17624</v>
      </c>
      <c r="E15" s="83">
        <f t="shared" ref="E15:S22" si="9">D15</f>
        <v>17624</v>
      </c>
      <c r="F15" s="83">
        <f t="shared" si="9"/>
        <v>17624</v>
      </c>
      <c r="G15" s="83">
        <f t="shared" si="9"/>
        <v>17624</v>
      </c>
      <c r="H15" s="83">
        <f>G15</f>
        <v>17624</v>
      </c>
      <c r="I15" s="83">
        <f t="shared" si="8"/>
        <v>17624</v>
      </c>
      <c r="J15" s="83">
        <f t="shared" si="8"/>
        <v>17624</v>
      </c>
      <c r="K15" s="83">
        <f t="shared" si="8"/>
        <v>17624</v>
      </c>
      <c r="L15" s="83">
        <f t="shared" si="8"/>
        <v>17624</v>
      </c>
      <c r="M15" s="83">
        <f t="shared" si="8"/>
        <v>17624</v>
      </c>
      <c r="N15" s="83">
        <f t="shared" ref="N15" si="10">M15</f>
        <v>17624</v>
      </c>
      <c r="O15" s="83">
        <f t="shared" si="8"/>
        <v>17624</v>
      </c>
      <c r="P15" s="83">
        <f t="shared" si="8"/>
        <v>17624</v>
      </c>
      <c r="Q15" s="83">
        <f t="shared" si="8"/>
        <v>17624</v>
      </c>
      <c r="R15" s="83">
        <f t="shared" si="8"/>
        <v>17624</v>
      </c>
      <c r="S15" s="83">
        <f t="shared" si="8"/>
        <v>17624</v>
      </c>
    </row>
    <row r="16" spans="1:26" ht="30" x14ac:dyDescent="0.25">
      <c r="A16" s="80" t="s">
        <v>83</v>
      </c>
      <c r="B16" s="81" t="s">
        <v>84</v>
      </c>
      <c r="C16" s="82">
        <f t="shared" si="3"/>
        <v>249010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83">
        <v>249010</v>
      </c>
    </row>
    <row r="17" spans="1:26" x14ac:dyDescent="0.25">
      <c r="A17" s="80" t="s">
        <v>85</v>
      </c>
      <c r="B17" s="81" t="str">
        <f>A17</f>
        <v>Empleados</v>
      </c>
      <c r="C17" s="82">
        <f t="shared" si="3"/>
        <v>980400</v>
      </c>
      <c r="D17" s="83">
        <v>32400</v>
      </c>
      <c r="E17" s="83">
        <v>54000</v>
      </c>
      <c r="F17" s="83">
        <v>60000</v>
      </c>
      <c r="G17" s="83">
        <f t="shared" si="9"/>
        <v>60000</v>
      </c>
      <c r="H17" s="83">
        <f t="shared" si="9"/>
        <v>60000</v>
      </c>
      <c r="I17" s="83">
        <f t="shared" si="9"/>
        <v>60000</v>
      </c>
      <c r="J17" s="83">
        <v>60000</v>
      </c>
      <c r="K17" s="83">
        <v>66000</v>
      </c>
      <c r="L17" s="83">
        <f t="shared" si="9"/>
        <v>66000</v>
      </c>
      <c r="M17" s="83">
        <f t="shared" si="9"/>
        <v>66000</v>
      </c>
      <c r="N17" s="83">
        <f t="shared" si="9"/>
        <v>66000</v>
      </c>
      <c r="O17" s="83">
        <f t="shared" si="9"/>
        <v>66000</v>
      </c>
      <c r="P17" s="83">
        <f t="shared" si="9"/>
        <v>66000</v>
      </c>
      <c r="Q17" s="83">
        <f t="shared" si="9"/>
        <v>66000</v>
      </c>
      <c r="R17" s="83">
        <f t="shared" si="9"/>
        <v>66000</v>
      </c>
      <c r="S17" s="83">
        <f t="shared" si="9"/>
        <v>66000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si="9"/>
        <v>0</v>
      </c>
    </row>
    <row r="20" spans="1:26" x14ac:dyDescent="0.25">
      <c r="A20" s="84" t="s">
        <v>77</v>
      </c>
      <c r="B20" s="81" t="s">
        <v>67</v>
      </c>
      <c r="C20" s="82">
        <f t="shared" si="3"/>
        <v>2068800</v>
      </c>
      <c r="D20" s="83">
        <v>0</v>
      </c>
      <c r="E20" s="83">
        <f t="shared" si="9"/>
        <v>0</v>
      </c>
      <c r="F20" s="83">
        <v>2068800</v>
      </c>
      <c r="G20" s="83">
        <v>0</v>
      </c>
      <c r="H20" s="83">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si="9"/>
        <v>0</v>
      </c>
    </row>
    <row r="21" spans="1:26" x14ac:dyDescent="0.25">
      <c r="A21" s="84"/>
      <c r="B21" s="81" t="s">
        <v>89</v>
      </c>
      <c r="C21" s="82">
        <f t="shared" si="3"/>
        <v>89000</v>
      </c>
      <c r="D21" s="83">
        <v>2000</v>
      </c>
      <c r="E21" s="83">
        <v>28000</v>
      </c>
      <c r="F21" s="83">
        <v>2000</v>
      </c>
      <c r="G21" s="83">
        <v>0</v>
      </c>
      <c r="H21" s="83">
        <v>0</v>
      </c>
      <c r="I21" s="83">
        <v>6000</v>
      </c>
      <c r="J21" s="83">
        <v>12000</v>
      </c>
      <c r="K21" s="83">
        <v>0</v>
      </c>
      <c r="L21" s="83">
        <v>2000</v>
      </c>
      <c r="M21" s="83">
        <v>6000</v>
      </c>
      <c r="N21" s="83">
        <v>3000</v>
      </c>
      <c r="O21" s="83">
        <v>0</v>
      </c>
      <c r="P21" s="83">
        <v>1000</v>
      </c>
      <c r="Q21" s="83">
        <v>6000</v>
      </c>
      <c r="R21" s="83">
        <v>6000</v>
      </c>
      <c r="S21" s="83">
        <v>15000</v>
      </c>
    </row>
    <row r="22" spans="1:26" x14ac:dyDescent="0.25">
      <c r="A22" s="80" t="s">
        <v>90</v>
      </c>
      <c r="B22" s="81" t="str">
        <f>A22</f>
        <v>Intereses</v>
      </c>
      <c r="C22" s="82">
        <f t="shared" si="3"/>
        <v>689</v>
      </c>
      <c r="D22" s="83">
        <v>0</v>
      </c>
      <c r="E22" s="83">
        <f t="shared" si="9"/>
        <v>0</v>
      </c>
      <c r="F22" s="83">
        <f t="shared" si="9"/>
        <v>0</v>
      </c>
      <c r="G22" s="83">
        <f t="shared" si="9"/>
        <v>0</v>
      </c>
      <c r="H22" s="83">
        <v>689</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83">
        <f t="shared" si="9"/>
        <v>0</v>
      </c>
    </row>
    <row r="23" spans="1:26" s="90" customFormat="1" ht="18.75" x14ac:dyDescent="0.3">
      <c r="A23" s="85" t="s">
        <v>91</v>
      </c>
      <c r="B23" s="86"/>
      <c r="C23" s="87">
        <f t="shared" si="3"/>
        <v>4347517</v>
      </c>
      <c r="D23" s="88">
        <f t="shared" ref="D23:S23" si="11">SUM(D14:D22)</f>
        <v>92256</v>
      </c>
      <c r="E23" s="88">
        <f t="shared" si="11"/>
        <v>140186</v>
      </c>
      <c r="F23" s="88">
        <f t="shared" si="11"/>
        <v>2189356</v>
      </c>
      <c r="G23" s="88">
        <f t="shared" si="11"/>
        <v>118556</v>
      </c>
      <c r="H23" s="88">
        <f t="shared" si="11"/>
        <v>119405</v>
      </c>
      <c r="I23" s="88">
        <f t="shared" si="11"/>
        <v>125256</v>
      </c>
      <c r="J23" s="88">
        <f t="shared" si="11"/>
        <v>131256</v>
      </c>
      <c r="K23" s="88">
        <f t="shared" si="11"/>
        <v>125416</v>
      </c>
      <c r="L23" s="88">
        <f t="shared" si="11"/>
        <v>127416</v>
      </c>
      <c r="M23" s="88">
        <f t="shared" si="11"/>
        <v>133096</v>
      </c>
      <c r="N23" s="88">
        <f t="shared" si="11"/>
        <v>130096</v>
      </c>
      <c r="O23" s="88">
        <f t="shared" si="11"/>
        <v>127526</v>
      </c>
      <c r="P23" s="88">
        <f t="shared" si="11"/>
        <v>128526</v>
      </c>
      <c r="Q23" s="88">
        <f t="shared" si="11"/>
        <v>133156</v>
      </c>
      <c r="R23" s="88">
        <f t="shared" si="11"/>
        <v>133956</v>
      </c>
      <c r="S23" s="88">
        <f t="shared" si="11"/>
        <v>392058</v>
      </c>
      <c r="Y23" s="81" t="s">
        <v>81</v>
      </c>
      <c r="Z23" s="91">
        <f>C14/$C$23</f>
        <v>8.2261667981976844E-2</v>
      </c>
    </row>
    <row r="24" spans="1:26" s="66" customFormat="1" ht="18.75" x14ac:dyDescent="0.3">
      <c r="A24" s="92" t="s">
        <v>92</v>
      </c>
      <c r="B24" s="92"/>
      <c r="C24" s="64">
        <f>C5+C13-C23</f>
        <v>895659</v>
      </c>
      <c r="D24" s="64">
        <f t="shared" ref="D24:S24" si="12">D5+D13-D23</f>
        <v>1784244</v>
      </c>
      <c r="E24" s="64">
        <f t="shared" si="12"/>
        <v>1901041</v>
      </c>
      <c r="F24" s="64">
        <f t="shared" si="12"/>
        <v>5518</v>
      </c>
      <c r="G24" s="64">
        <f t="shared" si="12"/>
        <v>-20688</v>
      </c>
      <c r="H24" s="64">
        <f t="shared" si="12"/>
        <v>124395</v>
      </c>
      <c r="I24" s="64">
        <f t="shared" si="12"/>
        <v>101036</v>
      </c>
      <c r="J24" s="64">
        <f t="shared" si="12"/>
        <v>303463</v>
      </c>
      <c r="K24" s="64">
        <f t="shared" si="12"/>
        <v>274340</v>
      </c>
      <c r="L24" s="64">
        <f t="shared" si="12"/>
        <v>460972</v>
      </c>
      <c r="M24" s="64">
        <f t="shared" si="12"/>
        <v>434179</v>
      </c>
      <c r="N24" s="64">
        <f t="shared" si="12"/>
        <v>671430</v>
      </c>
      <c r="O24" s="64">
        <f t="shared" si="12"/>
        <v>645969</v>
      </c>
      <c r="P24" s="64">
        <f t="shared" si="12"/>
        <v>848750</v>
      </c>
      <c r="Q24" s="64">
        <f t="shared" si="12"/>
        <v>826109</v>
      </c>
      <c r="R24" s="64">
        <f t="shared" si="12"/>
        <v>1044299</v>
      </c>
      <c r="S24" s="64">
        <f t="shared" si="12"/>
        <v>895659</v>
      </c>
      <c r="Y24" s="81" t="s">
        <v>82</v>
      </c>
      <c r="Z24" s="91">
        <f t="shared" ref="Z24:Z31" si="13">C15/$C$23</f>
        <v>6.4860930963582197E-2</v>
      </c>
    </row>
    <row r="25" spans="1:26" s="53" customFormat="1" x14ac:dyDescent="0.25">
      <c r="A25" s="93"/>
      <c r="B25" s="93"/>
      <c r="C25" s="93"/>
      <c r="D25" s="94">
        <f>D2+7</f>
        <v>41747</v>
      </c>
      <c r="E25" s="94">
        <f t="shared" ref="E25:S25" si="14">D25+7</f>
        <v>41754</v>
      </c>
      <c r="F25" s="94">
        <f t="shared" si="14"/>
        <v>41761</v>
      </c>
      <c r="G25" s="94">
        <f t="shared" si="14"/>
        <v>41768</v>
      </c>
      <c r="H25" s="94">
        <f t="shared" si="14"/>
        <v>41775</v>
      </c>
      <c r="I25" s="94">
        <f t="shared" si="14"/>
        <v>41782</v>
      </c>
      <c r="J25" s="94">
        <f t="shared" si="14"/>
        <v>41789</v>
      </c>
      <c r="K25" s="94">
        <f t="shared" si="14"/>
        <v>41796</v>
      </c>
      <c r="L25" s="94">
        <f t="shared" si="14"/>
        <v>41803</v>
      </c>
      <c r="M25" s="94">
        <f t="shared" si="14"/>
        <v>41810</v>
      </c>
      <c r="N25" s="94">
        <f t="shared" si="14"/>
        <v>41817</v>
      </c>
      <c r="O25" s="94">
        <f t="shared" si="14"/>
        <v>41824</v>
      </c>
      <c r="P25" s="94">
        <f t="shared" si="14"/>
        <v>41831</v>
      </c>
      <c r="Q25" s="94">
        <f t="shared" si="14"/>
        <v>41838</v>
      </c>
      <c r="R25" s="94">
        <f t="shared" si="14"/>
        <v>41845</v>
      </c>
      <c r="S25" s="94">
        <f t="shared" si="14"/>
        <v>41852</v>
      </c>
      <c r="Y25" s="81" t="s">
        <v>84</v>
      </c>
      <c r="Z25" s="91">
        <f t="shared" si="13"/>
        <v>5.7276371777269644E-2</v>
      </c>
    </row>
    <row r="26" spans="1:26" s="53" customFormat="1" x14ac:dyDescent="0.25">
      <c r="A26" s="719" t="s">
        <v>93</v>
      </c>
      <c r="B26" s="719"/>
      <c r="C26" s="96">
        <f>C6+C7+C11</f>
        <v>3470351</v>
      </c>
      <c r="D26" s="96">
        <f t="shared" ref="D26:S26" si="15">D6+D7+D11</f>
        <v>103675</v>
      </c>
      <c r="E26" s="96">
        <f t="shared" si="15"/>
        <v>256983</v>
      </c>
      <c r="F26" s="96">
        <f t="shared" si="15"/>
        <v>293833</v>
      </c>
      <c r="G26" s="96">
        <f t="shared" si="15"/>
        <v>92350</v>
      </c>
      <c r="H26" s="96">
        <f t="shared" si="15"/>
        <v>264488</v>
      </c>
      <c r="I26" s="96">
        <f t="shared" si="15"/>
        <v>101897</v>
      </c>
      <c r="J26" s="96">
        <f t="shared" si="15"/>
        <v>333683</v>
      </c>
      <c r="K26" s="96">
        <f t="shared" si="15"/>
        <v>96293</v>
      </c>
      <c r="L26" s="96">
        <f t="shared" si="15"/>
        <v>314048</v>
      </c>
      <c r="M26" s="96">
        <f t="shared" si="15"/>
        <v>106303</v>
      </c>
      <c r="N26" s="96">
        <f t="shared" si="15"/>
        <v>367347</v>
      </c>
      <c r="O26" s="96">
        <f t="shared" si="15"/>
        <v>102065</v>
      </c>
      <c r="P26" s="96">
        <f t="shared" si="15"/>
        <v>331307</v>
      </c>
      <c r="Q26" s="96">
        <f t="shared" si="15"/>
        <v>110515</v>
      </c>
      <c r="R26" s="96">
        <f>R6+R7+R11</f>
        <v>352146</v>
      </c>
      <c r="S26" s="96">
        <f t="shared" si="15"/>
        <v>243418</v>
      </c>
      <c r="T26" s="97"/>
      <c r="Y26" s="81" t="s">
        <v>85</v>
      </c>
      <c r="Z26" s="91">
        <f t="shared" si="13"/>
        <v>0.2255080313659498</v>
      </c>
    </row>
    <row r="27" spans="1:26" s="53" customFormat="1" x14ac:dyDescent="0.25">
      <c r="A27" s="710" t="s">
        <v>94</v>
      </c>
      <c r="B27" s="710"/>
      <c r="C27" s="98">
        <f>C14+C15+C17+C18+C21</f>
        <v>2029018</v>
      </c>
      <c r="D27" s="98">
        <f t="shared" ref="D27:S27" si="16">D14+D15+D17+D18+D21</f>
        <v>92256</v>
      </c>
      <c r="E27" s="98">
        <f t="shared" si="16"/>
        <v>140186</v>
      </c>
      <c r="F27" s="98">
        <f t="shared" si="16"/>
        <v>120556</v>
      </c>
      <c r="G27" s="98">
        <f t="shared" si="16"/>
        <v>118556</v>
      </c>
      <c r="H27" s="98">
        <f t="shared" si="16"/>
        <v>118716</v>
      </c>
      <c r="I27" s="98">
        <f t="shared" si="16"/>
        <v>125256</v>
      </c>
      <c r="J27" s="98">
        <f t="shared" si="16"/>
        <v>131256</v>
      </c>
      <c r="K27" s="98">
        <f t="shared" si="16"/>
        <v>125416</v>
      </c>
      <c r="L27" s="98">
        <f t="shared" si="16"/>
        <v>127416</v>
      </c>
      <c r="M27" s="98">
        <f t="shared" si="16"/>
        <v>133096</v>
      </c>
      <c r="N27" s="98">
        <f t="shared" si="16"/>
        <v>130096</v>
      </c>
      <c r="O27" s="98">
        <f t="shared" si="16"/>
        <v>127526</v>
      </c>
      <c r="P27" s="98">
        <f t="shared" si="16"/>
        <v>128526</v>
      </c>
      <c r="Q27" s="98">
        <f t="shared" si="16"/>
        <v>133156</v>
      </c>
      <c r="R27" s="98">
        <f>R14+R15+R17+R18+R21</f>
        <v>133956</v>
      </c>
      <c r="S27" s="98">
        <f t="shared" si="16"/>
        <v>143048</v>
      </c>
      <c r="T27" s="99"/>
      <c r="Y27" s="81" t="s">
        <v>86</v>
      </c>
      <c r="Z27" s="91">
        <f t="shared" si="13"/>
        <v>7.3605232595985254E-2</v>
      </c>
    </row>
    <row r="28" spans="1:26" x14ac:dyDescent="0.25">
      <c r="A28" s="711" t="s">
        <v>95</v>
      </c>
      <c r="B28" s="711"/>
      <c r="C28" s="100">
        <f>C26-C27</f>
        <v>1441333</v>
      </c>
      <c r="D28" s="100">
        <f t="shared" ref="D28:S28" si="17">D26-D27</f>
        <v>11419</v>
      </c>
      <c r="E28" s="100">
        <f t="shared" si="17"/>
        <v>116797</v>
      </c>
      <c r="F28" s="100">
        <f t="shared" si="17"/>
        <v>173277</v>
      </c>
      <c r="G28" s="100">
        <f t="shared" si="17"/>
        <v>-26206</v>
      </c>
      <c r="H28" s="100">
        <f t="shared" si="17"/>
        <v>145772</v>
      </c>
      <c r="I28" s="100">
        <f t="shared" si="17"/>
        <v>-23359</v>
      </c>
      <c r="J28" s="100">
        <f t="shared" si="17"/>
        <v>202427</v>
      </c>
      <c r="K28" s="100">
        <f t="shared" si="17"/>
        <v>-29123</v>
      </c>
      <c r="L28" s="100">
        <f t="shared" si="17"/>
        <v>186632</v>
      </c>
      <c r="M28" s="100">
        <f t="shared" si="17"/>
        <v>-26793</v>
      </c>
      <c r="N28" s="100">
        <f t="shared" si="17"/>
        <v>237251</v>
      </c>
      <c r="O28" s="100">
        <f t="shared" si="17"/>
        <v>-25461</v>
      </c>
      <c r="P28" s="100">
        <f t="shared" si="17"/>
        <v>202781</v>
      </c>
      <c r="Q28" s="100">
        <f t="shared" si="17"/>
        <v>-22641</v>
      </c>
      <c r="R28" s="100">
        <f>R26-R27</f>
        <v>218190</v>
      </c>
      <c r="S28" s="100">
        <f t="shared" si="17"/>
        <v>100370</v>
      </c>
      <c r="T28" s="101"/>
      <c r="Y28" s="81" t="s">
        <v>88</v>
      </c>
      <c r="Z28" s="91">
        <f t="shared" si="13"/>
        <v>0</v>
      </c>
    </row>
    <row r="29" spans="1:26" x14ac:dyDescent="0.25">
      <c r="A29" s="719" t="s">
        <v>96</v>
      </c>
      <c r="B29" s="719"/>
      <c r="C29" s="96">
        <f>C8+C9+C10+C12</f>
        <v>50</v>
      </c>
      <c r="D29" s="96">
        <f t="shared" ref="D29:S29" si="18">D8+D9+D10+D12</f>
        <v>50</v>
      </c>
      <c r="E29" s="96">
        <f t="shared" si="18"/>
        <v>0</v>
      </c>
      <c r="F29" s="96">
        <f t="shared" si="18"/>
        <v>0</v>
      </c>
      <c r="G29" s="96">
        <f t="shared" si="18"/>
        <v>0</v>
      </c>
      <c r="H29" s="96">
        <f t="shared" si="18"/>
        <v>0</v>
      </c>
      <c r="I29" s="96">
        <f t="shared" si="18"/>
        <v>0</v>
      </c>
      <c r="J29" s="96">
        <f t="shared" si="18"/>
        <v>0</v>
      </c>
      <c r="K29" s="96">
        <f t="shared" si="18"/>
        <v>0</v>
      </c>
      <c r="L29" s="96">
        <f t="shared" si="18"/>
        <v>0</v>
      </c>
      <c r="M29" s="96">
        <f t="shared" si="18"/>
        <v>0</v>
      </c>
      <c r="N29" s="96">
        <f t="shared" si="18"/>
        <v>0</v>
      </c>
      <c r="O29" s="96">
        <f t="shared" si="18"/>
        <v>0</v>
      </c>
      <c r="P29" s="96">
        <f t="shared" si="18"/>
        <v>0</v>
      </c>
      <c r="Q29" s="96">
        <f t="shared" si="18"/>
        <v>0</v>
      </c>
      <c r="R29" s="96">
        <f>R8+R9+R10+R12</f>
        <v>0</v>
      </c>
      <c r="S29" s="96">
        <f t="shared" si="18"/>
        <v>0</v>
      </c>
      <c r="T29" s="101"/>
      <c r="Y29" s="81" t="s">
        <v>67</v>
      </c>
      <c r="Z29" s="91">
        <f t="shared" si="13"/>
        <v>0.47585782873304461</v>
      </c>
    </row>
    <row r="30" spans="1:26" s="59" customFormat="1" x14ac:dyDescent="0.25">
      <c r="A30" s="710" t="s">
        <v>97</v>
      </c>
      <c r="B30" s="710"/>
      <c r="C30" s="98">
        <f>C16+C19+C20+C22</f>
        <v>2318499</v>
      </c>
      <c r="D30" s="98">
        <f t="shared" ref="D30:S30" si="19">D16+D19+D20+D22</f>
        <v>0</v>
      </c>
      <c r="E30" s="98">
        <f t="shared" si="19"/>
        <v>0</v>
      </c>
      <c r="F30" s="98">
        <f t="shared" si="19"/>
        <v>2068800</v>
      </c>
      <c r="G30" s="98">
        <f t="shared" si="19"/>
        <v>0</v>
      </c>
      <c r="H30" s="98">
        <f t="shared" si="19"/>
        <v>689</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249010</v>
      </c>
      <c r="Y30" s="81" t="s">
        <v>89</v>
      </c>
      <c r="Z30" s="91">
        <f t="shared" si="13"/>
        <v>2.0471455315758398E-2</v>
      </c>
    </row>
    <row r="31" spans="1:26" s="59" customFormat="1" x14ac:dyDescent="0.25">
      <c r="A31" s="711" t="s">
        <v>98</v>
      </c>
      <c r="B31" s="711"/>
      <c r="C31" s="100">
        <f>C29-C30</f>
        <v>-2318449</v>
      </c>
      <c r="D31" s="100">
        <f t="shared" ref="D31:S31" si="20">D29-D30</f>
        <v>50</v>
      </c>
      <c r="E31" s="100">
        <f t="shared" si="20"/>
        <v>0</v>
      </c>
      <c r="F31" s="100">
        <f t="shared" si="20"/>
        <v>-2068800</v>
      </c>
      <c r="G31" s="100">
        <f t="shared" si="20"/>
        <v>0</v>
      </c>
      <c r="H31" s="100">
        <f t="shared" si="20"/>
        <v>-689</v>
      </c>
      <c r="I31" s="100">
        <f t="shared" si="20"/>
        <v>0</v>
      </c>
      <c r="J31" s="100">
        <f t="shared" si="20"/>
        <v>0</v>
      </c>
      <c r="K31" s="100">
        <f t="shared" si="20"/>
        <v>0</v>
      </c>
      <c r="L31" s="100">
        <f t="shared" si="20"/>
        <v>0</v>
      </c>
      <c r="M31" s="100">
        <f t="shared" si="20"/>
        <v>0</v>
      </c>
      <c r="N31" s="100">
        <f t="shared" si="20"/>
        <v>0</v>
      </c>
      <c r="O31" s="100">
        <f t="shared" si="20"/>
        <v>0</v>
      </c>
      <c r="P31" s="100">
        <f t="shared" si="20"/>
        <v>0</v>
      </c>
      <c r="Q31" s="100">
        <f t="shared" si="20"/>
        <v>0</v>
      </c>
      <c r="R31" s="100">
        <f>R29-R30</f>
        <v>0</v>
      </c>
      <c r="S31" s="100">
        <f t="shared" si="20"/>
        <v>-249010</v>
      </c>
      <c r="Y31" s="81" t="s">
        <v>90</v>
      </c>
      <c r="Z31" s="91">
        <f t="shared" si="13"/>
        <v>1.5848126643323073E-4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20" t="s">
        <v>437</v>
      </c>
      <c r="C33" s="173" t="s">
        <v>181</v>
      </c>
      <c r="D33" s="174"/>
      <c r="E33" s="174"/>
      <c r="F33" s="174">
        <v>71520</v>
      </c>
      <c r="G33" s="174">
        <v>73260</v>
      </c>
      <c r="H33" s="174">
        <v>75770</v>
      </c>
      <c r="I33" s="174">
        <v>78340</v>
      </c>
      <c r="J33" s="174">
        <v>83470</v>
      </c>
      <c r="K33" s="174">
        <v>87400</v>
      </c>
      <c r="L33" s="174">
        <v>88060</v>
      </c>
      <c r="M33" s="174">
        <v>88720</v>
      </c>
      <c r="N33" s="174">
        <v>92380</v>
      </c>
      <c r="O33" s="174">
        <v>99790</v>
      </c>
      <c r="P33" s="174">
        <v>107180</v>
      </c>
      <c r="Q33" s="174">
        <v>108160</v>
      </c>
      <c r="R33" s="174">
        <v>109620</v>
      </c>
      <c r="S33" s="174">
        <v>114480</v>
      </c>
      <c r="Y33" s="712">
        <f>C23</f>
        <v>4347517</v>
      </c>
      <c r="Z33" s="713"/>
    </row>
    <row r="34" spans="1:26" x14ac:dyDescent="0.25">
      <c r="A34" s="57"/>
      <c r="B34" s="720"/>
      <c r="C34" s="173" t="s">
        <v>104</v>
      </c>
      <c r="D34" s="174"/>
      <c r="E34" s="174"/>
      <c r="F34" s="174">
        <v>20200</v>
      </c>
      <c r="G34" s="174">
        <v>20490</v>
      </c>
      <c r="H34" s="174">
        <v>20660</v>
      </c>
      <c r="I34" s="174">
        <v>21200</v>
      </c>
      <c r="J34" s="174">
        <v>21200</v>
      </c>
      <c r="K34" s="174">
        <v>21360</v>
      </c>
      <c r="L34" s="174">
        <v>22640</v>
      </c>
      <c r="M34" s="174">
        <v>23040</v>
      </c>
      <c r="N34" s="174">
        <v>23040</v>
      </c>
      <c r="O34" s="174">
        <v>23140</v>
      </c>
      <c r="P34" s="174">
        <v>23470</v>
      </c>
      <c r="Q34" s="174">
        <v>23100</v>
      </c>
      <c r="R34" s="174">
        <v>23900</v>
      </c>
      <c r="S34" s="174">
        <v>24470</v>
      </c>
    </row>
    <row r="35" spans="1:26" x14ac:dyDescent="0.25">
      <c r="A35" s="57"/>
      <c r="B35" s="720"/>
      <c r="C35" s="173" t="s">
        <v>61</v>
      </c>
      <c r="D35" s="175"/>
      <c r="E35" s="175"/>
      <c r="F35" s="175" t="s">
        <v>436</v>
      </c>
      <c r="G35" s="175" t="s">
        <v>440</v>
      </c>
      <c r="H35" s="175" t="s">
        <v>450</v>
      </c>
      <c r="I35" s="175" t="s">
        <v>452</v>
      </c>
      <c r="J35" s="175" t="s">
        <v>454</v>
      </c>
      <c r="K35" s="175" t="s">
        <v>456</v>
      </c>
      <c r="L35" s="175" t="s">
        <v>465</v>
      </c>
      <c r="M35" s="175" t="s">
        <v>466</v>
      </c>
      <c r="N35" s="175" t="s">
        <v>474</v>
      </c>
      <c r="O35" s="175" t="s">
        <v>475</v>
      </c>
      <c r="P35" s="175" t="s">
        <v>477</v>
      </c>
      <c r="Q35" s="175" t="s">
        <v>478</v>
      </c>
      <c r="R35" s="175" t="s">
        <v>480</v>
      </c>
      <c r="S35" s="175" t="s">
        <v>481</v>
      </c>
    </row>
    <row r="36" spans="1:26" x14ac:dyDescent="0.25">
      <c r="A36" s="57"/>
      <c r="B36" s="720"/>
      <c r="C36" s="173" t="s">
        <v>210</v>
      </c>
      <c r="D36" s="176"/>
      <c r="E36" s="176"/>
      <c r="F36" s="176">
        <v>3.25</v>
      </c>
      <c r="G36" s="176">
        <v>3.25</v>
      </c>
      <c r="H36" s="176">
        <v>3.5</v>
      </c>
      <c r="I36" s="176">
        <v>3.5</v>
      </c>
      <c r="J36" s="176">
        <v>3.5</v>
      </c>
      <c r="K36" s="176">
        <v>3.5</v>
      </c>
      <c r="L36" s="176">
        <v>3.75</v>
      </c>
      <c r="M36" s="176">
        <v>3.75</v>
      </c>
      <c r="N36" s="176">
        <v>3.75</v>
      </c>
      <c r="O36" s="176">
        <v>3.75</v>
      </c>
      <c r="P36" s="176">
        <v>3.75</v>
      </c>
      <c r="Q36" s="176">
        <v>4</v>
      </c>
      <c r="R36" s="176">
        <v>4</v>
      </c>
      <c r="S36" s="176">
        <v>4</v>
      </c>
    </row>
    <row r="37" spans="1:26" x14ac:dyDescent="0.25">
      <c r="B37" s="720"/>
      <c r="C37" s="173" t="s">
        <v>211</v>
      </c>
      <c r="D37" s="176"/>
      <c r="E37" s="176"/>
      <c r="F37" s="176">
        <v>5.25</v>
      </c>
      <c r="G37" s="176">
        <v>5</v>
      </c>
      <c r="H37" s="176">
        <v>5.5</v>
      </c>
      <c r="I37" s="176">
        <v>5.75</v>
      </c>
      <c r="J37" s="176">
        <v>6</v>
      </c>
      <c r="K37" s="176">
        <v>6</v>
      </c>
      <c r="L37" s="176">
        <v>6</v>
      </c>
      <c r="M37" s="176">
        <v>5.75</v>
      </c>
      <c r="N37" s="176">
        <v>5.75</v>
      </c>
      <c r="O37" s="176">
        <v>5.75</v>
      </c>
      <c r="P37" s="176">
        <v>6</v>
      </c>
      <c r="Q37" s="176">
        <v>5.75</v>
      </c>
      <c r="R37" s="176">
        <v>5.5</v>
      </c>
      <c r="S37" s="176">
        <v>5.5</v>
      </c>
    </row>
    <row r="38" spans="1:26" x14ac:dyDescent="0.25">
      <c r="B38" s="720"/>
      <c r="C38" s="173" t="s">
        <v>257</v>
      </c>
      <c r="D38" s="176"/>
      <c r="E38" s="176"/>
      <c r="F38" s="176">
        <v>1.75</v>
      </c>
      <c r="G38" s="176">
        <v>1.75</v>
      </c>
      <c r="H38" s="176">
        <v>1.75</v>
      </c>
      <c r="I38" s="176">
        <v>1.75</v>
      </c>
      <c r="J38" s="176">
        <v>1.75</v>
      </c>
      <c r="K38" s="176">
        <v>2</v>
      </c>
      <c r="L38" s="176">
        <v>2</v>
      </c>
      <c r="M38" s="176">
        <v>2</v>
      </c>
      <c r="N38" s="176">
        <v>2</v>
      </c>
      <c r="O38" s="176">
        <v>2</v>
      </c>
      <c r="P38" s="176">
        <v>2</v>
      </c>
      <c r="Q38" s="176">
        <v>2</v>
      </c>
      <c r="R38" s="176">
        <v>2</v>
      </c>
      <c r="S38" s="176">
        <v>2</v>
      </c>
    </row>
    <row r="39" spans="1:26" ht="15" customHeight="1" x14ac:dyDescent="0.25">
      <c r="C39" s="164" t="s">
        <v>438</v>
      </c>
      <c r="F39" s="288">
        <f t="shared" ref="F39:S39" si="21">F33/F34</f>
        <v>3.5405940594059406</v>
      </c>
      <c r="G39" s="288">
        <f t="shared" si="21"/>
        <v>3.5754026354319182</v>
      </c>
      <c r="H39" s="288">
        <f t="shared" si="21"/>
        <v>3.6674733785091966</v>
      </c>
      <c r="I39" s="288">
        <f t="shared" si="21"/>
        <v>3.6952830188679244</v>
      </c>
      <c r="J39" s="288">
        <f t="shared" si="21"/>
        <v>3.9372641509433963</v>
      </c>
      <c r="K39" s="288">
        <f t="shared" si="21"/>
        <v>4.0917602996254683</v>
      </c>
      <c r="L39" s="288">
        <f t="shared" si="21"/>
        <v>3.8895759717314489</v>
      </c>
      <c r="M39" s="288">
        <f t="shared" si="21"/>
        <v>3.8506944444444446</v>
      </c>
      <c r="N39" s="288">
        <f t="shared" si="21"/>
        <v>4.0095486111111107</v>
      </c>
      <c r="O39" s="288">
        <f t="shared" si="21"/>
        <v>4.3124459809853066</v>
      </c>
      <c r="P39" s="288">
        <f t="shared" si="21"/>
        <v>4.5666808691947169</v>
      </c>
      <c r="Q39" s="288">
        <f t="shared" si="21"/>
        <v>4.6822510822510823</v>
      </c>
      <c r="R39" s="288">
        <f t="shared" si="21"/>
        <v>4.5866108786610882</v>
      </c>
      <c r="S39" s="288">
        <f t="shared" si="21"/>
        <v>4.6783816918675933</v>
      </c>
    </row>
    <row r="40" spans="1:26" ht="15" customHeight="1" x14ac:dyDescent="0.25">
      <c r="E40" s="106"/>
      <c r="G40" s="714"/>
      <c r="H40" s="714"/>
      <c r="I40" s="714"/>
      <c r="J40" s="714"/>
    </row>
    <row r="41" spans="1:26" x14ac:dyDescent="0.25">
      <c r="G41" s="258"/>
      <c r="H41" s="258"/>
      <c r="I41" s="258"/>
      <c r="J41" s="258"/>
    </row>
    <row r="42" spans="1:26" x14ac:dyDescent="0.25">
      <c r="E42" s="106"/>
      <c r="G42" s="258"/>
      <c r="H42" s="258"/>
      <c r="I42" s="258"/>
      <c r="J42" s="258"/>
    </row>
    <row r="43" spans="1:26" x14ac:dyDescent="0.25">
      <c r="G43" s="292"/>
      <c r="H43" s="258"/>
      <c r="I43" s="258"/>
      <c r="J43" s="258"/>
    </row>
    <row r="44" spans="1:26" x14ac:dyDescent="0.25">
      <c r="G44" s="258"/>
      <c r="H44" s="258"/>
      <c r="I44" s="258"/>
      <c r="J44" s="258"/>
    </row>
    <row r="45" spans="1:26" x14ac:dyDescent="0.25">
      <c r="G45" s="258"/>
      <c r="H45" s="258"/>
      <c r="I45" s="258"/>
      <c r="J45" s="258"/>
    </row>
    <row r="46" spans="1:26" x14ac:dyDescent="0.25">
      <c r="G46" s="258"/>
      <c r="H46" s="258"/>
      <c r="I46" s="258"/>
      <c r="J46" s="258"/>
    </row>
    <row r="47" spans="1:26" x14ac:dyDescent="0.25">
      <c r="G47" s="258"/>
      <c r="H47" s="258"/>
      <c r="I47" s="258"/>
      <c r="J47" s="258"/>
    </row>
    <row r="48" spans="1:26" x14ac:dyDescent="0.25">
      <c r="G48" s="258"/>
      <c r="H48" s="258"/>
      <c r="I48" s="258"/>
      <c r="J48" s="258"/>
    </row>
    <row r="49" spans="7:10" x14ac:dyDescent="0.25">
      <c r="G49" s="709"/>
      <c r="H49" s="709"/>
      <c r="I49" s="709"/>
      <c r="J49" s="709"/>
    </row>
    <row r="50" spans="7:10" x14ac:dyDescent="0.25">
      <c r="G50" s="258"/>
      <c r="H50" s="258"/>
      <c r="I50" s="258"/>
      <c r="J50" s="258"/>
    </row>
    <row r="51" spans="7:10" x14ac:dyDescent="0.25">
      <c r="G51" s="709"/>
      <c r="H51" s="709"/>
      <c r="I51" s="709"/>
      <c r="J51" s="709"/>
    </row>
    <row r="52" spans="7:10" ht="15" customHeight="1" x14ac:dyDescent="0.25">
      <c r="G52" s="709"/>
      <c r="H52" s="709"/>
      <c r="I52" s="709"/>
      <c r="J52" s="105"/>
    </row>
  </sheetData>
  <mergeCells count="15">
    <mergeCell ref="G49:J49"/>
    <mergeCell ref="G51:J51"/>
    <mergeCell ref="G52:I52"/>
    <mergeCell ref="A30:B30"/>
    <mergeCell ref="A31:B31"/>
    <mergeCell ref="B33:B38"/>
    <mergeCell ref="Y33:Z33"/>
    <mergeCell ref="G40:H40"/>
    <mergeCell ref="I40:J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21" t="s">
        <v>424</v>
      </c>
      <c r="C2" s="722"/>
      <c r="D2" s="722"/>
      <c r="E2" s="722"/>
      <c r="F2" s="722"/>
      <c r="G2" s="723"/>
      <c r="I2" s="731" t="s">
        <v>425</v>
      </c>
      <c r="J2" s="731"/>
      <c r="K2" s="731"/>
      <c r="L2" s="731"/>
      <c r="M2" s="731"/>
      <c r="N2" s="731"/>
      <c r="O2" s="731"/>
      <c r="P2" s="731"/>
      <c r="Q2" s="731"/>
      <c r="R2" s="731"/>
      <c r="S2" s="731"/>
      <c r="T2" s="731"/>
    </row>
    <row r="3" spans="2:20" x14ac:dyDescent="0.25">
      <c r="B3" s="725" t="s">
        <v>102</v>
      </c>
      <c r="C3" s="726"/>
      <c r="D3" s="726"/>
      <c r="E3" s="726"/>
      <c r="F3" s="726"/>
      <c r="G3" s="727"/>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8" t="s">
        <v>113</v>
      </c>
      <c r="C4" s="729"/>
      <c r="D4" s="109"/>
      <c r="E4" s="730" t="s">
        <v>114</v>
      </c>
      <c r="F4" s="729"/>
      <c r="G4" s="109"/>
      <c r="I4" s="287" t="s">
        <v>435</v>
      </c>
      <c r="J4" s="108" t="s">
        <v>387</v>
      </c>
      <c r="K4" s="126">
        <v>0</v>
      </c>
      <c r="L4" s="126">
        <v>0</v>
      </c>
      <c r="M4" s="126">
        <v>0</v>
      </c>
      <c r="N4" s="126">
        <v>0</v>
      </c>
      <c r="O4" s="126">
        <f t="shared" ref="O4" si="0">IF(M4=0,0,M4-K4)-N4</f>
        <v>0</v>
      </c>
      <c r="P4" s="126">
        <v>772000</v>
      </c>
      <c r="Q4" s="127"/>
      <c r="R4" s="128">
        <v>41576</v>
      </c>
      <c r="S4" s="128"/>
      <c r="T4" s="127"/>
    </row>
    <row r="5" spans="2:20" x14ac:dyDescent="0.25">
      <c r="B5" s="113"/>
      <c r="C5" s="114"/>
      <c r="D5" s="201"/>
      <c r="E5" s="113"/>
      <c r="F5" s="114"/>
      <c r="G5" s="115"/>
    </row>
    <row r="6" spans="2:20" x14ac:dyDescent="0.25">
      <c r="B6" s="116" t="s">
        <v>116</v>
      </c>
      <c r="C6" s="117">
        <f>SUM(C7:C9)</f>
        <v>3377510</v>
      </c>
      <c r="D6" s="140">
        <f>C6/$C$34</f>
        <v>0.43616962202188397</v>
      </c>
      <c r="E6" s="116" t="s">
        <v>117</v>
      </c>
      <c r="F6" s="117">
        <f>F7+F8+F9</f>
        <v>3873175</v>
      </c>
      <c r="G6" s="118">
        <f>F6/$F$34</f>
        <v>0.5001795037689335</v>
      </c>
    </row>
    <row r="7" spans="2:20" x14ac:dyDescent="0.25">
      <c r="B7" s="119" t="s">
        <v>84</v>
      </c>
      <c r="C7" s="120">
        <f>EconomiaT43!C16+'A-P_T42'!C7</f>
        <v>1308710</v>
      </c>
      <c r="D7" s="202">
        <f>C7/$C$34</f>
        <v>0.1690060269358965</v>
      </c>
      <c r="E7" s="203" t="s">
        <v>118</v>
      </c>
      <c r="F7" s="204">
        <v>300000</v>
      </c>
      <c r="G7" s="121">
        <f>F7/$F$34</f>
        <v>3.8741820633118831E-2</v>
      </c>
    </row>
    <row r="8" spans="2:20" x14ac:dyDescent="0.25">
      <c r="B8" s="119" t="s">
        <v>67</v>
      </c>
      <c r="C8" s="120">
        <f>EconomiaT43!C20+'A-P_T42'!C8+P4</f>
        <v>3109500</v>
      </c>
      <c r="D8" s="202">
        <f>C8/$C$34</f>
        <v>0.40155897086227671</v>
      </c>
      <c r="E8" s="203" t="s">
        <v>261</v>
      </c>
      <c r="F8" s="204">
        <f>'A-P_T42'!F9+'A-P_T42'!F8</f>
        <v>1793561</v>
      </c>
      <c r="G8" s="121">
        <f>F8/$F$34</f>
        <v>0.23161939518852415</v>
      </c>
    </row>
    <row r="9" spans="2:20" x14ac:dyDescent="0.25">
      <c r="B9" s="122" t="s">
        <v>119</v>
      </c>
      <c r="C9" s="123">
        <v>-1040700</v>
      </c>
      <c r="D9" s="202">
        <f>C9/$C$34</f>
        <v>-0.13439537577628924</v>
      </c>
      <c r="E9" s="203" t="s">
        <v>426</v>
      </c>
      <c r="F9" s="204">
        <f>'A-P_T42'!F11-EconomiaT42!C24+EconomiaT42!C5+2307</f>
        <v>1779614</v>
      </c>
      <c r="G9" s="121">
        <f>F9/$F$34</f>
        <v>0.22981828794729045</v>
      </c>
    </row>
    <row r="10" spans="2:20" x14ac:dyDescent="0.25">
      <c r="B10" s="124"/>
      <c r="C10" s="125"/>
      <c r="D10" s="140"/>
      <c r="E10" s="205"/>
      <c r="F10" s="125"/>
      <c r="G10" s="118"/>
    </row>
    <row r="11" spans="2:20" x14ac:dyDescent="0.25">
      <c r="B11" s="116" t="s">
        <v>100</v>
      </c>
      <c r="C11" s="117">
        <f>SUM(C12:C15)</f>
        <v>0</v>
      </c>
      <c r="D11" s="140">
        <f>C11/$C$34</f>
        <v>0</v>
      </c>
      <c r="E11" s="116" t="s">
        <v>107</v>
      </c>
      <c r="F11" s="117">
        <f>SUM(F12:F17)+C9</f>
        <v>-477122</v>
      </c>
      <c r="G11" s="118">
        <f t="shared" ref="G11:G17" si="1">F11/$F$34</f>
        <v>-6.1615249813716411E-2</v>
      </c>
    </row>
    <row r="12" spans="2:20" x14ac:dyDescent="0.25">
      <c r="B12" s="129" t="s">
        <v>121</v>
      </c>
      <c r="C12" s="130">
        <f>SUMIF(I4:I44,"S",$P$4:$P$44)</f>
        <v>0</v>
      </c>
      <c r="D12" s="202">
        <f>C12/$C$34</f>
        <v>0</v>
      </c>
      <c r="E12" s="49" t="s">
        <v>122</v>
      </c>
      <c r="F12" s="131">
        <f>SUMIF(I4:I9,"J",$O$4:$O$39)</f>
        <v>0</v>
      </c>
      <c r="G12" s="121">
        <f t="shared" si="1"/>
        <v>0</v>
      </c>
    </row>
    <row r="13" spans="2:20" x14ac:dyDescent="0.25">
      <c r="B13" s="129" t="s">
        <v>100</v>
      </c>
      <c r="C13" s="130">
        <f>SUMIF(I4:I39,"J",$P$4:$P$39)</f>
        <v>0</v>
      </c>
      <c r="D13" s="202">
        <f>C13/$C$34</f>
        <v>0</v>
      </c>
      <c r="E13" s="49" t="s">
        <v>123</v>
      </c>
      <c r="F13" s="131">
        <f>SUMIF(I3:I8,"S",$O$4:$O$39)</f>
        <v>0</v>
      </c>
      <c r="G13" s="121">
        <f t="shared" si="1"/>
        <v>0</v>
      </c>
    </row>
    <row r="14" spans="2:20" x14ac:dyDescent="0.25">
      <c r="B14" s="129" t="s">
        <v>99</v>
      </c>
      <c r="C14" s="130">
        <f>SUMIF(I4:I39,"E",$P$4:$P$39)</f>
        <v>0</v>
      </c>
      <c r="D14" s="202">
        <f>C14/$C$34</f>
        <v>0</v>
      </c>
      <c r="E14" s="49" t="s">
        <v>124</v>
      </c>
      <c r="F14" s="131">
        <f>SUMIF(I4:I9,"C",$O$4:$O$39)</f>
        <v>0</v>
      </c>
      <c r="G14" s="121">
        <f t="shared" si="1"/>
        <v>0</v>
      </c>
    </row>
    <row r="15" spans="2:20" x14ac:dyDescent="0.25">
      <c r="B15" s="129" t="s">
        <v>125</v>
      </c>
      <c r="C15" s="130">
        <f>SUMIF(I4:I39,"M",$P$4:$P$39)</f>
        <v>0</v>
      </c>
      <c r="D15" s="202">
        <f>C15/$C$34</f>
        <v>0</v>
      </c>
      <c r="E15" s="49" t="s">
        <v>126</v>
      </c>
      <c r="F15" s="131">
        <f>SUMIF(I4:I9,"E",$O$4:$O$39)</f>
        <v>0</v>
      </c>
      <c r="G15" s="121">
        <f t="shared" si="1"/>
        <v>0</v>
      </c>
    </row>
    <row r="16" spans="2:20" x14ac:dyDescent="0.25">
      <c r="B16" s="132"/>
      <c r="C16" s="133"/>
      <c r="D16" s="140"/>
      <c r="E16" s="49" t="s">
        <v>127</v>
      </c>
      <c r="F16" s="131">
        <f>SUMIF(I4:I9,"M",$O$4:$O$39)</f>
        <v>0</v>
      </c>
      <c r="G16" s="121">
        <f t="shared" si="1"/>
        <v>0</v>
      </c>
    </row>
    <row r="17" spans="2:7" x14ac:dyDescent="0.25">
      <c r="B17" s="116" t="s">
        <v>74</v>
      </c>
      <c r="C17" s="134">
        <f>C18+C19</f>
        <v>0</v>
      </c>
      <c r="D17" s="140">
        <f>C17/$C$34</f>
        <v>0</v>
      </c>
      <c r="E17" s="135" t="s">
        <v>128</v>
      </c>
      <c r="F17" s="136">
        <f>C22-F27+EconomiaT43!C24-EconomiaT43!C5</f>
        <v>563578</v>
      </c>
      <c r="G17" s="121">
        <f t="shared" si="1"/>
        <v>7.2780125962572814E-2</v>
      </c>
    </row>
    <row r="18" spans="2:7" x14ac:dyDescent="0.25">
      <c r="B18" s="129" t="s">
        <v>74</v>
      </c>
      <c r="C18" s="130">
        <f>SUM(M4:M18)</f>
        <v>0</v>
      </c>
      <c r="D18" s="202">
        <f>C18/$C$34</f>
        <v>0</v>
      </c>
      <c r="E18" s="124"/>
      <c r="F18" s="125"/>
      <c r="G18" s="137"/>
    </row>
    <row r="19" spans="2:7" x14ac:dyDescent="0.25">
      <c r="B19" s="122" t="s">
        <v>76</v>
      </c>
      <c r="C19" s="123">
        <f>SUM(N4:N4)*-1</f>
        <v>0</v>
      </c>
      <c r="D19" s="202">
        <f>C19/$C$34</f>
        <v>0</v>
      </c>
      <c r="E19" s="116" t="s">
        <v>129</v>
      </c>
      <c r="F19" s="134">
        <f>F20+F21</f>
        <v>0</v>
      </c>
      <c r="G19" s="118">
        <f>F19/$F$34</f>
        <v>0</v>
      </c>
    </row>
    <row r="20" spans="2:7" x14ac:dyDescent="0.25">
      <c r="B20" s="132"/>
      <c r="C20" s="133"/>
      <c r="D20" s="202"/>
      <c r="E20" s="206" t="s">
        <v>88</v>
      </c>
      <c r="F20" s="207">
        <f>EconomiaT43!C19</f>
        <v>0</v>
      </c>
      <c r="G20" s="121">
        <f>F20/$F$34</f>
        <v>0</v>
      </c>
    </row>
    <row r="21" spans="2:7" x14ac:dyDescent="0.25">
      <c r="B21" s="132"/>
      <c r="C21" s="133"/>
      <c r="D21" s="140"/>
      <c r="E21" s="122" t="s">
        <v>130</v>
      </c>
      <c r="F21" s="208">
        <f>SUM(L4:L9)*-1</f>
        <v>0</v>
      </c>
      <c r="G21" s="121">
        <f>F21/$F$34</f>
        <v>0</v>
      </c>
    </row>
    <row r="22" spans="2:7" x14ac:dyDescent="0.25">
      <c r="B22" s="116" t="s">
        <v>131</v>
      </c>
      <c r="C22" s="117">
        <f>SUM(C23:C27)</f>
        <v>3470401</v>
      </c>
      <c r="D22" s="140">
        <f t="shared" ref="D22:D27" si="2">C22/$C$34</f>
        <v>0.4481655102233208</v>
      </c>
      <c r="E22" s="116"/>
      <c r="F22" s="117"/>
      <c r="G22" s="118"/>
    </row>
    <row r="23" spans="2:7" x14ac:dyDescent="0.25">
      <c r="B23" s="138" t="s">
        <v>69</v>
      </c>
      <c r="C23" s="139">
        <f>EconomiaT43!C11</f>
        <v>54540</v>
      </c>
      <c r="D23" s="202">
        <f t="shared" si="2"/>
        <v>7.043262991101004E-3</v>
      </c>
      <c r="E23" s="116" t="s">
        <v>264</v>
      </c>
      <c r="F23" s="117">
        <f>SUM(F24:F25)</f>
        <v>2317810</v>
      </c>
      <c r="G23" s="118">
        <f>F23/$F$34</f>
        <v>0.29932059760549723</v>
      </c>
    </row>
    <row r="24" spans="2:7" x14ac:dyDescent="0.25">
      <c r="B24" s="138" t="s">
        <v>79</v>
      </c>
      <c r="C24" s="139">
        <f>EconomiaT43!C12</f>
        <v>0</v>
      </c>
      <c r="D24" s="202">
        <f t="shared" si="2"/>
        <v>0</v>
      </c>
      <c r="E24" s="206" t="s">
        <v>84</v>
      </c>
      <c r="F24" s="209">
        <f>EconomiaT43!C16</f>
        <v>249010</v>
      </c>
      <c r="G24" s="121">
        <f>F24/$F$34</f>
        <v>3.2157002519509738E-2</v>
      </c>
    </row>
    <row r="25" spans="2:7" x14ac:dyDescent="0.25">
      <c r="B25" s="138" t="s">
        <v>71</v>
      </c>
      <c r="C25" s="139">
        <f>EconomiaT43!C6</f>
        <v>2026936</v>
      </c>
      <c r="D25" s="202">
        <f t="shared" si="2"/>
        <v>0.26175730315603785</v>
      </c>
      <c r="E25" s="206" t="s">
        <v>67</v>
      </c>
      <c r="F25" s="209">
        <f>EconomiaT43!C20</f>
        <v>2068800</v>
      </c>
      <c r="G25" s="121">
        <f>F25/$F$34</f>
        <v>0.26716359508598747</v>
      </c>
    </row>
    <row r="26" spans="2:7" x14ac:dyDescent="0.25">
      <c r="B26" s="138" t="s">
        <v>72</v>
      </c>
      <c r="C26" s="139">
        <f>EconomiaT43!C7</f>
        <v>1388875</v>
      </c>
      <c r="D26" s="202">
        <f t="shared" si="2"/>
        <v>0.17935848710607641</v>
      </c>
      <c r="E26" s="116"/>
      <c r="F26" s="117"/>
      <c r="G26" s="118"/>
    </row>
    <row r="27" spans="2:7" x14ac:dyDescent="0.25">
      <c r="B27" s="138" t="s">
        <v>76</v>
      </c>
      <c r="C27" s="139">
        <f>EconomiaT43!C10</f>
        <v>50</v>
      </c>
      <c r="D27" s="202">
        <f t="shared" si="2"/>
        <v>6.4569701055198051E-6</v>
      </c>
      <c r="E27" s="116" t="s">
        <v>265</v>
      </c>
      <c r="F27" s="117">
        <f>SUM(F28:F33)</f>
        <v>2029707</v>
      </c>
      <c r="G27" s="118">
        <f t="shared" ref="G27:G33" si="3">F27/$F$34</f>
        <v>0.26211514843928574</v>
      </c>
    </row>
    <row r="28" spans="2:7" x14ac:dyDescent="0.25">
      <c r="B28" s="116"/>
      <c r="C28" s="117"/>
      <c r="D28" s="140"/>
      <c r="E28" s="206" t="s">
        <v>132</v>
      </c>
      <c r="F28" s="209">
        <f>EconomiaT43!C14</f>
        <v>357634</v>
      </c>
      <c r="G28" s="121">
        <f t="shared" si="3"/>
        <v>4.6184640934349402E-2</v>
      </c>
    </row>
    <row r="29" spans="2:7" x14ac:dyDescent="0.25">
      <c r="B29" s="116" t="s">
        <v>133</v>
      </c>
      <c r="C29" s="117">
        <f>EconomiaT43!S24</f>
        <v>895659</v>
      </c>
      <c r="D29" s="140">
        <f>C29/$C$34</f>
        <v>0.11566486775479527</v>
      </c>
      <c r="E29" s="206" t="s">
        <v>82</v>
      </c>
      <c r="F29" s="209">
        <f>EconomiaT43!C15</f>
        <v>281984</v>
      </c>
      <c r="G29" s="121">
        <f t="shared" si="3"/>
        <v>3.6415245164697935E-2</v>
      </c>
    </row>
    <row r="30" spans="2:7" x14ac:dyDescent="0.25">
      <c r="B30" s="116"/>
      <c r="C30" s="117"/>
      <c r="D30" s="140"/>
      <c r="E30" s="206" t="s">
        <v>85</v>
      </c>
      <c r="F30" s="209">
        <f>EconomiaT43!C17</f>
        <v>980400</v>
      </c>
      <c r="G30" s="121">
        <f t="shared" si="3"/>
        <v>0.12660826982903234</v>
      </c>
    </row>
    <row r="31" spans="2:7" x14ac:dyDescent="0.25">
      <c r="B31" s="116"/>
      <c r="C31" s="117"/>
      <c r="D31" s="140"/>
      <c r="E31" s="206" t="s">
        <v>86</v>
      </c>
      <c r="F31" s="209">
        <f>EconomiaT43!C18</f>
        <v>320000</v>
      </c>
      <c r="G31" s="121">
        <f t="shared" si="3"/>
        <v>4.1324608675326752E-2</v>
      </c>
    </row>
    <row r="32" spans="2:7" x14ac:dyDescent="0.25">
      <c r="B32" s="116"/>
      <c r="C32" s="117"/>
      <c r="D32" s="140"/>
      <c r="E32" s="206" t="s">
        <v>89</v>
      </c>
      <c r="F32" s="209">
        <f>EconomiaT43!C21</f>
        <v>89000</v>
      </c>
      <c r="G32" s="121">
        <f t="shared" si="3"/>
        <v>1.1493406787825254E-2</v>
      </c>
    </row>
    <row r="33" spans="2:8" x14ac:dyDescent="0.25">
      <c r="B33" s="141"/>
      <c r="C33" s="142"/>
      <c r="D33" s="140"/>
      <c r="E33" s="206" t="s">
        <v>90</v>
      </c>
      <c r="F33" s="209">
        <f>EconomiaT43!C22</f>
        <v>689</v>
      </c>
      <c r="G33" s="121">
        <f t="shared" si="3"/>
        <v>8.8977048054062925E-5</v>
      </c>
    </row>
    <row r="34" spans="2:8" ht="18.75" x14ac:dyDescent="0.3">
      <c r="B34" s="143" t="s">
        <v>27</v>
      </c>
      <c r="C34" s="144">
        <f>C22+C17+C11+C6+C29</f>
        <v>7743570</v>
      </c>
      <c r="D34" s="145">
        <f>C34/$C$34</f>
        <v>1</v>
      </c>
      <c r="E34" s="146" t="s">
        <v>27</v>
      </c>
      <c r="F34" s="147">
        <f>F27+F19+F11+F6+F23</f>
        <v>7743570</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autoFilter ref="I3:T4"/>
  <mergeCells count="5">
    <mergeCell ref="B2:G2"/>
    <mergeCell ref="I2:T2"/>
    <mergeCell ref="B3:G3"/>
    <mergeCell ref="B4:C4"/>
    <mergeCell ref="E4:F4"/>
  </mergeCells>
  <conditionalFormatting sqref="F12:F17 O4 T4 Q4">
    <cfRule type="cellIs" dxfId="258" priority="1" operator="lessThan">
      <formula>0</formula>
    </cfRule>
    <cfRule type="cellIs" dxfId="257" priority="2" operator="greaterThan">
      <formula>0</formula>
    </cfRule>
  </conditionalFormatting>
  <pageMargins left="0.7" right="0.7" top="0.75" bottom="0.75" header="0.3" footer="0.3"/>
  <pageSetup paperSize="9" orientation="portrait"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defaultColWidth="11.42578125" defaultRowHeight="15" x14ac:dyDescent="0.25"/>
  <cols>
    <col min="1" max="1" width="23" style="4" bestFit="1" customWidth="1"/>
    <col min="2" max="2" width="16" style="4" customWidth="1"/>
    <col min="3" max="3" width="18.28515625" style="4" bestFit="1" customWidth="1"/>
    <col min="4" max="4" width="16.7109375" style="328"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EconomiaT43!S25</f>
        <v>41852</v>
      </c>
      <c r="E2" s="55">
        <f t="shared" ref="E2:S2" si="0">D2+7</f>
        <v>41859</v>
      </c>
      <c r="F2" s="55">
        <f t="shared" si="0"/>
        <v>41866</v>
      </c>
      <c r="G2" s="55">
        <f t="shared" si="0"/>
        <v>41873</v>
      </c>
      <c r="H2" s="55">
        <f t="shared" si="0"/>
        <v>41880</v>
      </c>
      <c r="I2" s="55">
        <f t="shared" si="0"/>
        <v>41887</v>
      </c>
      <c r="J2" s="55">
        <f t="shared" si="0"/>
        <v>41894</v>
      </c>
      <c r="K2" s="55">
        <f t="shared" si="0"/>
        <v>41901</v>
      </c>
      <c r="L2" s="55">
        <f t="shared" si="0"/>
        <v>41908</v>
      </c>
      <c r="M2" s="55">
        <f t="shared" si="0"/>
        <v>41915</v>
      </c>
      <c r="N2" s="55">
        <f t="shared" si="0"/>
        <v>41922</v>
      </c>
      <c r="O2" s="55">
        <f t="shared" si="0"/>
        <v>41929</v>
      </c>
      <c r="P2" s="55">
        <f t="shared" si="0"/>
        <v>41936</v>
      </c>
      <c r="Q2" s="55">
        <f t="shared" si="0"/>
        <v>41943</v>
      </c>
      <c r="R2" s="55">
        <f t="shared" si="0"/>
        <v>41950</v>
      </c>
      <c r="S2" s="55">
        <f t="shared" si="0"/>
        <v>41957</v>
      </c>
      <c r="T2" s="56"/>
    </row>
    <row r="3" spans="1:26" s="366" customFormat="1" x14ac:dyDescent="0.25">
      <c r="A3" s="327"/>
      <c r="B3" s="327" t="s">
        <v>483</v>
      </c>
      <c r="C3" s="327"/>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EconomiaT43!S4+27</f>
        <v>1658.2</v>
      </c>
      <c r="E4" s="61">
        <f t="shared" ref="E4:S4" si="1">D4+(D11/30)</f>
        <v>1670.2</v>
      </c>
      <c r="F4" s="61">
        <f t="shared" si="1"/>
        <v>1676.2</v>
      </c>
      <c r="G4" s="61">
        <f t="shared" si="1"/>
        <v>1680.2</v>
      </c>
      <c r="H4" s="61">
        <f t="shared" si="1"/>
        <v>1690.2</v>
      </c>
      <c r="I4" s="61">
        <f t="shared" si="1"/>
        <v>1692.2</v>
      </c>
      <c r="J4" s="61">
        <f t="shared" si="1"/>
        <v>1706.2</v>
      </c>
      <c r="K4" s="61">
        <f t="shared" si="1"/>
        <v>1722.2</v>
      </c>
      <c r="L4" s="61">
        <f t="shared" si="1"/>
        <v>1740.2</v>
      </c>
      <c r="M4" s="61">
        <f t="shared" si="1"/>
        <v>1758.2</v>
      </c>
      <c r="N4" s="61">
        <f t="shared" si="1"/>
        <v>1770.2</v>
      </c>
      <c r="O4" s="61">
        <f t="shared" si="1"/>
        <v>1787.2</v>
      </c>
      <c r="P4" s="61">
        <f t="shared" si="1"/>
        <v>1795.2</v>
      </c>
      <c r="Q4" s="61">
        <f t="shared" si="1"/>
        <v>1809.2</v>
      </c>
      <c r="R4" s="61">
        <f t="shared" si="1"/>
        <v>1819.2</v>
      </c>
      <c r="S4" s="212">
        <f t="shared" si="1"/>
        <v>1835.2</v>
      </c>
    </row>
    <row r="5" spans="1:26" s="66" customFormat="1" ht="18.75" x14ac:dyDescent="0.3">
      <c r="A5" s="62" t="s">
        <v>70</v>
      </c>
      <c r="B5" s="62"/>
      <c r="C5" s="63">
        <f>EconomiaT43!C24-5</f>
        <v>895654</v>
      </c>
      <c r="D5" s="64">
        <f>C5</f>
        <v>895654</v>
      </c>
      <c r="E5" s="64">
        <f t="shared" ref="E5:Q5" si="2">D24</f>
        <v>883191</v>
      </c>
      <c r="F5" s="64">
        <f t="shared" si="2"/>
        <v>824015</v>
      </c>
      <c r="G5" s="64">
        <f t="shared" si="2"/>
        <v>971776</v>
      </c>
      <c r="H5" s="64">
        <f t="shared" si="2"/>
        <v>923336</v>
      </c>
      <c r="I5" s="64">
        <f t="shared" si="2"/>
        <v>1084014</v>
      </c>
      <c r="J5" s="64">
        <f t="shared" si="2"/>
        <v>1045993</v>
      </c>
      <c r="K5" s="64">
        <f t="shared" si="2"/>
        <v>1311008</v>
      </c>
      <c r="L5" s="64">
        <f t="shared" si="2"/>
        <v>1574686</v>
      </c>
      <c r="M5" s="64">
        <f t="shared" si="2"/>
        <v>1519866</v>
      </c>
      <c r="N5" s="64">
        <f t="shared" si="2"/>
        <v>1483350</v>
      </c>
      <c r="O5" s="64">
        <f t="shared" si="2"/>
        <v>1725231</v>
      </c>
      <c r="P5" s="64">
        <f t="shared" si="2"/>
        <v>1659832</v>
      </c>
      <c r="Q5" s="64">
        <f t="shared" si="2"/>
        <v>1886834</v>
      </c>
      <c r="R5" s="64">
        <f>Q24</f>
        <v>1815087</v>
      </c>
      <c r="S5" s="65">
        <f>R24</f>
        <v>2059896</v>
      </c>
    </row>
    <row r="6" spans="1:26" x14ac:dyDescent="0.25">
      <c r="A6" s="67" t="s">
        <v>71</v>
      </c>
      <c r="B6" s="67" t="s">
        <v>71</v>
      </c>
      <c r="C6" s="68">
        <f t="shared" ref="C6:C23" si="3">SUM(D6:S6)</f>
        <v>2182224</v>
      </c>
      <c r="D6" s="69">
        <v>38885</v>
      </c>
      <c r="E6" s="69">
        <v>2639</v>
      </c>
      <c r="F6" s="69">
        <f>201311+2956</f>
        <v>204267</v>
      </c>
      <c r="G6" s="69">
        <v>5250</v>
      </c>
      <c r="H6" s="69">
        <f>209971+2795</f>
        <v>212766</v>
      </c>
      <c r="I6" s="69">
        <v>17499</v>
      </c>
      <c r="J6" s="69">
        <f>308826+14579</f>
        <v>323405</v>
      </c>
      <c r="K6" s="69">
        <v>323143</v>
      </c>
      <c r="L6" s="69">
        <v>4760</v>
      </c>
      <c r="M6" s="69">
        <v>20374</v>
      </c>
      <c r="N6" s="69">
        <v>311416</v>
      </c>
      <c r="O6" s="69">
        <v>16791</v>
      </c>
      <c r="P6" s="69">
        <v>306342</v>
      </c>
      <c r="Q6" s="69">
        <v>13378</v>
      </c>
      <c r="R6" s="69">
        <f>308826+36833</f>
        <v>345659</v>
      </c>
      <c r="S6" s="70">
        <f>17435+18215</f>
        <v>35650</v>
      </c>
      <c r="Y6" s="67" t="s">
        <v>71</v>
      </c>
      <c r="Z6" s="71">
        <f>C6/$C$13</f>
        <v>0.55939214516658664</v>
      </c>
    </row>
    <row r="7" spans="1:26" x14ac:dyDescent="0.25">
      <c r="A7" s="67" t="s">
        <v>72</v>
      </c>
      <c r="B7" s="67" t="s">
        <v>72</v>
      </c>
      <c r="C7" s="68">
        <f t="shared" si="3"/>
        <v>1434459</v>
      </c>
      <c r="D7" s="72">
        <v>72340</v>
      </c>
      <c r="E7" s="72">
        <v>81405</v>
      </c>
      <c r="F7" s="72">
        <v>86500</v>
      </c>
      <c r="G7" s="72">
        <v>89546</v>
      </c>
      <c r="H7" s="72">
        <v>92478</v>
      </c>
      <c r="I7" s="72">
        <v>93430</v>
      </c>
      <c r="J7" s="72">
        <v>94540</v>
      </c>
      <c r="K7" s="72">
        <v>95465</v>
      </c>
      <c r="L7" s="72">
        <v>96390</v>
      </c>
      <c r="M7" s="72">
        <v>97130</v>
      </c>
      <c r="N7" s="72">
        <v>97685</v>
      </c>
      <c r="O7" s="72">
        <v>91580</v>
      </c>
      <c r="P7" s="72">
        <v>88250</v>
      </c>
      <c r="Q7" s="72">
        <v>86585</v>
      </c>
      <c r="R7" s="72">
        <v>85660</v>
      </c>
      <c r="S7" s="70">
        <v>85475</v>
      </c>
      <c r="Y7" s="67" t="s">
        <v>72</v>
      </c>
      <c r="Z7" s="71">
        <f t="shared" ref="Z7:Z12" si="4">C7/$C$13</f>
        <v>0.3677097755150327</v>
      </c>
    </row>
    <row r="8" spans="1:26" x14ac:dyDescent="0.25">
      <c r="A8" s="67" t="s">
        <v>73</v>
      </c>
      <c r="B8" s="67" t="s">
        <v>74</v>
      </c>
      <c r="C8" s="68">
        <f t="shared" si="3"/>
        <v>23750</v>
      </c>
      <c r="D8" s="69">
        <v>21850</v>
      </c>
      <c r="E8" s="69">
        <v>0</v>
      </c>
      <c r="F8" s="69">
        <v>0</v>
      </c>
      <c r="G8" s="69">
        <v>0</v>
      </c>
      <c r="H8" s="69">
        <v>0</v>
      </c>
      <c r="I8" s="69">
        <v>0</v>
      </c>
      <c r="J8" s="69">
        <v>0</v>
      </c>
      <c r="K8" s="69">
        <v>0</v>
      </c>
      <c r="L8" s="69">
        <v>0</v>
      </c>
      <c r="M8" s="69">
        <v>1900</v>
      </c>
      <c r="N8" s="69">
        <v>0</v>
      </c>
      <c r="O8" s="69">
        <v>0</v>
      </c>
      <c r="P8" s="69">
        <v>0</v>
      </c>
      <c r="Q8" s="69">
        <v>0</v>
      </c>
      <c r="R8" s="69">
        <v>0</v>
      </c>
      <c r="S8" s="70">
        <v>0</v>
      </c>
      <c r="Y8" s="67" t="s">
        <v>74</v>
      </c>
      <c r="Z8" s="71">
        <f t="shared" si="4"/>
        <v>6.0880841965382255E-3</v>
      </c>
    </row>
    <row r="9" spans="1:26" x14ac:dyDescent="0.25">
      <c r="A9" s="67"/>
      <c r="B9" s="67" t="s">
        <v>75</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70">
        <v>0</v>
      </c>
      <c r="Y9" s="67" t="s">
        <v>75</v>
      </c>
      <c r="Z9" s="71">
        <f t="shared" si="4"/>
        <v>0</v>
      </c>
    </row>
    <row r="10" spans="1:26" x14ac:dyDescent="0.25">
      <c r="A10" s="67" t="s">
        <v>76</v>
      </c>
      <c r="B10" s="67" t="s">
        <v>76</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0">
        <v>0</v>
      </c>
      <c r="Y10" s="67" t="s">
        <v>76</v>
      </c>
      <c r="Z10" s="71">
        <f t="shared" si="4"/>
        <v>0</v>
      </c>
    </row>
    <row r="11" spans="1:26" x14ac:dyDescent="0.25">
      <c r="A11" s="715" t="s">
        <v>77</v>
      </c>
      <c r="B11" s="67" t="s">
        <v>78</v>
      </c>
      <c r="C11" s="68">
        <f t="shared" si="3"/>
        <v>60630</v>
      </c>
      <c r="D11" s="72">
        <v>360</v>
      </c>
      <c r="E11" s="72">
        <v>180</v>
      </c>
      <c r="F11" s="72">
        <v>120</v>
      </c>
      <c r="G11" s="72">
        <v>300</v>
      </c>
      <c r="H11" s="72">
        <v>60</v>
      </c>
      <c r="I11" s="72">
        <v>420</v>
      </c>
      <c r="J11" s="72">
        <v>480</v>
      </c>
      <c r="K11" s="72">
        <v>540</v>
      </c>
      <c r="L11" s="72">
        <f t="shared" ref="L11" si="5">K11</f>
        <v>540</v>
      </c>
      <c r="M11" s="72">
        <v>360</v>
      </c>
      <c r="N11" s="72">
        <v>510</v>
      </c>
      <c r="O11" s="72">
        <v>240</v>
      </c>
      <c r="P11" s="72">
        <v>420</v>
      </c>
      <c r="Q11" s="72">
        <v>300</v>
      </c>
      <c r="R11" s="72">
        <v>480</v>
      </c>
      <c r="S11" s="70">
        <f>54840+240+240</f>
        <v>55320</v>
      </c>
      <c r="Y11" s="67" t="s">
        <v>78</v>
      </c>
      <c r="Z11" s="71">
        <f t="shared" si="4"/>
        <v>1.5541917677310006E-2</v>
      </c>
    </row>
    <row r="12" spans="1:26" x14ac:dyDescent="0.25">
      <c r="A12" s="716"/>
      <c r="B12" s="67" t="s">
        <v>79</v>
      </c>
      <c r="C12" s="68">
        <f t="shared" si="3"/>
        <v>200000</v>
      </c>
      <c r="D12" s="72">
        <v>0</v>
      </c>
      <c r="E12" s="72">
        <v>0</v>
      </c>
      <c r="F12" s="72">
        <v>0</v>
      </c>
      <c r="G12" s="72">
        <v>0</v>
      </c>
      <c r="H12" s="72">
        <v>0</v>
      </c>
      <c r="I12" s="72">
        <v>0</v>
      </c>
      <c r="J12" s="72">
        <v>0</v>
      </c>
      <c r="K12" s="72">
        <v>0</v>
      </c>
      <c r="L12" s="72">
        <v>0</v>
      </c>
      <c r="M12" s="72">
        <v>0</v>
      </c>
      <c r="N12" s="72">
        <v>0</v>
      </c>
      <c r="O12" s="72">
        <v>0</v>
      </c>
      <c r="P12" s="72">
        <v>0</v>
      </c>
      <c r="Q12" s="72">
        <v>0</v>
      </c>
      <c r="R12" s="72">
        <v>0</v>
      </c>
      <c r="S12" s="70">
        <v>200000</v>
      </c>
      <c r="Y12" s="67" t="s">
        <v>79</v>
      </c>
      <c r="Z12" s="71">
        <f t="shared" si="4"/>
        <v>5.1268077444532427E-2</v>
      </c>
    </row>
    <row r="13" spans="1:26" s="78" customFormat="1" ht="18.75" x14ac:dyDescent="0.3">
      <c r="A13" s="73" t="s">
        <v>80</v>
      </c>
      <c r="B13" s="74"/>
      <c r="C13" s="75">
        <f t="shared" si="3"/>
        <v>3901063</v>
      </c>
      <c r="D13" s="76">
        <f t="shared" ref="D13:H13" si="6">SUM(D6:D12)</f>
        <v>133435</v>
      </c>
      <c r="E13" s="76">
        <f t="shared" si="6"/>
        <v>84224</v>
      </c>
      <c r="F13" s="76">
        <f>F12+F11+F10+F9+F8+F7+F6</f>
        <v>290887</v>
      </c>
      <c r="G13" s="76">
        <f t="shared" si="6"/>
        <v>95096</v>
      </c>
      <c r="H13" s="76">
        <f t="shared" si="6"/>
        <v>305304</v>
      </c>
      <c r="I13" s="76">
        <f t="shared" ref="I13:S13" si="7">SUM(I6:I12)</f>
        <v>111349</v>
      </c>
      <c r="J13" s="76">
        <f t="shared" si="7"/>
        <v>418425</v>
      </c>
      <c r="K13" s="76">
        <f t="shared" si="7"/>
        <v>419148</v>
      </c>
      <c r="L13" s="76">
        <f t="shared" si="7"/>
        <v>101690</v>
      </c>
      <c r="M13" s="76">
        <f t="shared" si="7"/>
        <v>119764</v>
      </c>
      <c r="N13" s="76">
        <f t="shared" si="7"/>
        <v>409611</v>
      </c>
      <c r="O13" s="76">
        <f t="shared" si="7"/>
        <v>108611</v>
      </c>
      <c r="P13" s="76">
        <f t="shared" si="7"/>
        <v>395012</v>
      </c>
      <c r="Q13" s="76">
        <f t="shared" si="7"/>
        <v>100263</v>
      </c>
      <c r="R13" s="76">
        <f t="shared" si="7"/>
        <v>431799</v>
      </c>
      <c r="S13" s="77">
        <f t="shared" si="7"/>
        <v>376445</v>
      </c>
      <c r="Z13" s="79">
        <f>SUM(Z6:Z12)</f>
        <v>1</v>
      </c>
    </row>
    <row r="14" spans="1:26" ht="18.75" x14ac:dyDescent="0.3">
      <c r="A14" s="80" t="s">
        <v>81</v>
      </c>
      <c r="B14" s="81" t="str">
        <f>A14</f>
        <v>Sueldos</v>
      </c>
      <c r="C14" s="82">
        <f t="shared" si="3"/>
        <v>470268</v>
      </c>
      <c r="D14" s="83">
        <v>25274</v>
      </c>
      <c r="E14" s="83">
        <f>D14</f>
        <v>25274</v>
      </c>
      <c r="F14" s="83">
        <v>25000</v>
      </c>
      <c r="G14" s="83">
        <v>25410</v>
      </c>
      <c r="H14" s="83">
        <v>26500</v>
      </c>
      <c r="I14" s="83">
        <v>29244</v>
      </c>
      <c r="J14" s="83">
        <v>29284</v>
      </c>
      <c r="K14" s="83">
        <v>29344</v>
      </c>
      <c r="L14" s="83">
        <v>29384</v>
      </c>
      <c r="M14" s="83">
        <v>32154</v>
      </c>
      <c r="N14" s="83">
        <v>31604</v>
      </c>
      <c r="O14" s="83">
        <v>31884</v>
      </c>
      <c r="P14" s="83">
        <f t="shared" ref="P14:Q14" si="8">O14</f>
        <v>31884</v>
      </c>
      <c r="Q14" s="83">
        <f t="shared" si="8"/>
        <v>31884</v>
      </c>
      <c r="R14" s="83">
        <v>32864</v>
      </c>
      <c r="S14" s="70">
        <v>33280</v>
      </c>
      <c r="Y14" s="717">
        <f>C13</f>
        <v>3901063</v>
      </c>
      <c r="Z14" s="718"/>
    </row>
    <row r="15" spans="1:26" x14ac:dyDescent="0.25">
      <c r="A15" s="80" t="s">
        <v>82</v>
      </c>
      <c r="B15" s="81" t="str">
        <f>A15</f>
        <v xml:space="preserve">Mantenimiento </v>
      </c>
      <c r="C15" s="82">
        <f t="shared" si="3"/>
        <v>319514</v>
      </c>
      <c r="D15" s="83">
        <v>17624</v>
      </c>
      <c r="E15" s="83">
        <v>20126</v>
      </c>
      <c r="F15" s="83">
        <f t="shared" ref="E15:S22" si="9">E15</f>
        <v>20126</v>
      </c>
      <c r="G15" s="83">
        <f t="shared" si="9"/>
        <v>20126</v>
      </c>
      <c r="H15" s="83">
        <f>G15</f>
        <v>20126</v>
      </c>
      <c r="I15" s="83">
        <f t="shared" ref="I15:S15" si="10">H15</f>
        <v>20126</v>
      </c>
      <c r="J15" s="83">
        <f t="shared" si="10"/>
        <v>20126</v>
      </c>
      <c r="K15" s="83">
        <f t="shared" si="10"/>
        <v>20126</v>
      </c>
      <c r="L15" s="83">
        <f t="shared" si="10"/>
        <v>20126</v>
      </c>
      <c r="M15" s="83">
        <f t="shared" si="10"/>
        <v>20126</v>
      </c>
      <c r="N15" s="83">
        <f t="shared" si="10"/>
        <v>20126</v>
      </c>
      <c r="O15" s="83">
        <f t="shared" si="10"/>
        <v>20126</v>
      </c>
      <c r="P15" s="83">
        <f t="shared" si="10"/>
        <v>20126</v>
      </c>
      <c r="Q15" s="83">
        <f t="shared" si="10"/>
        <v>20126</v>
      </c>
      <c r="R15" s="83">
        <f t="shared" si="10"/>
        <v>20126</v>
      </c>
      <c r="S15" s="70">
        <f t="shared" si="10"/>
        <v>20126</v>
      </c>
    </row>
    <row r="16" spans="1:26" ht="30" x14ac:dyDescent="0.25">
      <c r="A16" s="80" t="s">
        <v>83</v>
      </c>
      <c r="B16" s="81" t="s">
        <v>84</v>
      </c>
      <c r="C16" s="82">
        <f t="shared" si="3"/>
        <v>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0</v>
      </c>
    </row>
    <row r="17" spans="1:26" x14ac:dyDescent="0.25">
      <c r="A17" s="80" t="s">
        <v>85</v>
      </c>
      <c r="B17" s="81" t="str">
        <f>A17</f>
        <v>Empleados</v>
      </c>
      <c r="C17" s="82">
        <f t="shared" si="3"/>
        <v>1338000</v>
      </c>
      <c r="D17" s="83">
        <v>78000</v>
      </c>
      <c r="E17" s="83">
        <f>D17</f>
        <v>78000</v>
      </c>
      <c r="F17" s="83">
        <f t="shared" si="9"/>
        <v>78000</v>
      </c>
      <c r="G17" s="83">
        <f t="shared" si="9"/>
        <v>78000</v>
      </c>
      <c r="H17" s="83">
        <f t="shared" si="9"/>
        <v>78000</v>
      </c>
      <c r="I17" s="83">
        <f t="shared" si="9"/>
        <v>78000</v>
      </c>
      <c r="J17" s="83">
        <f t="shared" si="9"/>
        <v>78000</v>
      </c>
      <c r="K17" s="83">
        <f t="shared" si="9"/>
        <v>78000</v>
      </c>
      <c r="L17" s="83">
        <f t="shared" si="9"/>
        <v>78000</v>
      </c>
      <c r="M17" s="83">
        <f t="shared" si="9"/>
        <v>78000</v>
      </c>
      <c r="N17" s="83">
        <f t="shared" si="9"/>
        <v>78000</v>
      </c>
      <c r="O17" s="83">
        <v>96000</v>
      </c>
      <c r="P17" s="83">
        <f t="shared" si="9"/>
        <v>96000</v>
      </c>
      <c r="Q17" s="83">
        <f t="shared" si="9"/>
        <v>96000</v>
      </c>
      <c r="R17" s="83">
        <f t="shared" si="9"/>
        <v>96000</v>
      </c>
      <c r="S17" s="70">
        <f t="shared" ref="S17" si="11">R17</f>
        <v>96000</v>
      </c>
    </row>
    <row r="18" spans="1:26" x14ac:dyDescent="0.25">
      <c r="A18" s="80" t="s">
        <v>86</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87</v>
      </c>
      <c r="B19" s="81" t="s">
        <v>88</v>
      </c>
      <c r="C19" s="82">
        <f t="shared" si="3"/>
        <v>0</v>
      </c>
      <c r="D19" s="83"/>
      <c r="E19" s="83"/>
      <c r="F19" s="83"/>
      <c r="G19" s="83"/>
      <c r="H19" s="83">
        <v>0</v>
      </c>
      <c r="I19" s="83"/>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c r="E20" s="83"/>
      <c r="F20" s="83"/>
      <c r="G20" s="83"/>
      <c r="H20" s="83">
        <v>0</v>
      </c>
      <c r="I20" s="83"/>
      <c r="J20" s="83">
        <v>0</v>
      </c>
      <c r="K20" s="83">
        <v>0</v>
      </c>
      <c r="L20" s="83">
        <v>0</v>
      </c>
      <c r="M20" s="83">
        <v>0</v>
      </c>
      <c r="N20" s="83">
        <v>0</v>
      </c>
      <c r="O20" s="83">
        <v>0</v>
      </c>
      <c r="P20" s="83">
        <v>0</v>
      </c>
      <c r="Q20" s="83">
        <v>0</v>
      </c>
      <c r="R20" s="83">
        <v>0</v>
      </c>
      <c r="S20" s="70">
        <v>0</v>
      </c>
    </row>
    <row r="21" spans="1:26" x14ac:dyDescent="0.25">
      <c r="A21" s="84"/>
      <c r="B21" s="81" t="s">
        <v>89</v>
      </c>
      <c r="C21" s="82">
        <f t="shared" si="3"/>
        <v>88000</v>
      </c>
      <c r="D21" s="83">
        <v>5000</v>
      </c>
      <c r="E21" s="83">
        <v>0</v>
      </c>
      <c r="F21" s="83">
        <v>0</v>
      </c>
      <c r="G21" s="83">
        <v>0</v>
      </c>
      <c r="H21" s="83">
        <v>0</v>
      </c>
      <c r="I21" s="83">
        <v>2000</v>
      </c>
      <c r="J21" s="83">
        <v>6000</v>
      </c>
      <c r="K21" s="83">
        <v>8000</v>
      </c>
      <c r="L21" s="83">
        <v>9000</v>
      </c>
      <c r="M21" s="83">
        <v>6000</v>
      </c>
      <c r="N21" s="83">
        <v>18000</v>
      </c>
      <c r="O21" s="83">
        <v>6000</v>
      </c>
      <c r="P21" s="83">
        <v>0</v>
      </c>
      <c r="Q21" s="83">
        <v>4000</v>
      </c>
      <c r="R21" s="83">
        <v>18000</v>
      </c>
      <c r="S21" s="70">
        <v>6000</v>
      </c>
    </row>
    <row r="22" spans="1:26" x14ac:dyDescent="0.25">
      <c r="A22" s="80" t="s">
        <v>90</v>
      </c>
      <c r="B22" s="81" t="str">
        <f>A22</f>
        <v>Intereses</v>
      </c>
      <c r="C22" s="82">
        <f t="shared" si="3"/>
        <v>0</v>
      </c>
      <c r="D22" s="83">
        <v>0</v>
      </c>
      <c r="E22" s="83">
        <f t="shared" si="9"/>
        <v>0</v>
      </c>
      <c r="F22" s="83">
        <f t="shared" si="9"/>
        <v>0</v>
      </c>
      <c r="G22" s="83">
        <f t="shared" si="9"/>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91</v>
      </c>
      <c r="B23" s="86"/>
      <c r="C23" s="87">
        <f t="shared" si="3"/>
        <v>2535782</v>
      </c>
      <c r="D23" s="88">
        <f t="shared" ref="D23:S23" si="12">SUM(D14:D22)</f>
        <v>145898</v>
      </c>
      <c r="E23" s="88">
        <f t="shared" si="12"/>
        <v>143400</v>
      </c>
      <c r="F23" s="88">
        <f t="shared" si="12"/>
        <v>143126</v>
      </c>
      <c r="G23" s="88">
        <f t="shared" si="12"/>
        <v>143536</v>
      </c>
      <c r="H23" s="88">
        <f t="shared" si="12"/>
        <v>144626</v>
      </c>
      <c r="I23" s="88">
        <f t="shared" si="12"/>
        <v>149370</v>
      </c>
      <c r="J23" s="88">
        <f t="shared" si="12"/>
        <v>153410</v>
      </c>
      <c r="K23" s="88">
        <f t="shared" si="12"/>
        <v>155470</v>
      </c>
      <c r="L23" s="88">
        <f t="shared" si="12"/>
        <v>156510</v>
      </c>
      <c r="M23" s="88">
        <f t="shared" si="12"/>
        <v>156280</v>
      </c>
      <c r="N23" s="88">
        <f t="shared" si="12"/>
        <v>167730</v>
      </c>
      <c r="O23" s="88">
        <f t="shared" si="12"/>
        <v>174010</v>
      </c>
      <c r="P23" s="88">
        <f t="shared" si="12"/>
        <v>168010</v>
      </c>
      <c r="Q23" s="88">
        <f t="shared" si="12"/>
        <v>172010</v>
      </c>
      <c r="R23" s="88">
        <f t="shared" si="12"/>
        <v>186990</v>
      </c>
      <c r="S23" s="89">
        <f t="shared" si="12"/>
        <v>175406</v>
      </c>
      <c r="Y23" s="81" t="s">
        <v>81</v>
      </c>
      <c r="Z23" s="91">
        <f>C14/$C$23</f>
        <v>0.18545285044219101</v>
      </c>
    </row>
    <row r="24" spans="1:26" s="66" customFormat="1" ht="18.75" x14ac:dyDescent="0.3">
      <c r="A24" s="92" t="s">
        <v>92</v>
      </c>
      <c r="B24" s="92"/>
      <c r="C24" s="64">
        <f>C5+C13-C23</f>
        <v>2260935</v>
      </c>
      <c r="D24" s="64">
        <f t="shared" ref="D24:S24" si="13">D5+D13-D23</f>
        <v>883191</v>
      </c>
      <c r="E24" s="64">
        <f t="shared" si="13"/>
        <v>824015</v>
      </c>
      <c r="F24" s="64">
        <f t="shared" si="13"/>
        <v>971776</v>
      </c>
      <c r="G24" s="64">
        <f t="shared" si="13"/>
        <v>923336</v>
      </c>
      <c r="H24" s="64">
        <f t="shared" si="13"/>
        <v>1084014</v>
      </c>
      <c r="I24" s="64">
        <f t="shared" si="13"/>
        <v>1045993</v>
      </c>
      <c r="J24" s="64">
        <f t="shared" si="13"/>
        <v>1311008</v>
      </c>
      <c r="K24" s="64">
        <f t="shared" si="13"/>
        <v>1574686</v>
      </c>
      <c r="L24" s="64">
        <f t="shared" si="13"/>
        <v>1519866</v>
      </c>
      <c r="M24" s="64">
        <f t="shared" si="13"/>
        <v>1483350</v>
      </c>
      <c r="N24" s="64">
        <f t="shared" si="13"/>
        <v>1725231</v>
      </c>
      <c r="O24" s="64">
        <f t="shared" si="13"/>
        <v>1659832</v>
      </c>
      <c r="P24" s="64">
        <f t="shared" si="13"/>
        <v>1886834</v>
      </c>
      <c r="Q24" s="64">
        <f t="shared" si="13"/>
        <v>1815087</v>
      </c>
      <c r="R24" s="64">
        <f t="shared" si="13"/>
        <v>2059896</v>
      </c>
      <c r="S24" s="65">
        <f t="shared" si="13"/>
        <v>2260935</v>
      </c>
      <c r="Y24" s="81" t="s">
        <v>82</v>
      </c>
      <c r="Z24" s="91">
        <f t="shared" ref="Z24:Z31" si="14">C15/$C$23</f>
        <v>0.12600215633678288</v>
      </c>
    </row>
    <row r="25" spans="1:26" s="53" customFormat="1" x14ac:dyDescent="0.25">
      <c r="A25" s="93"/>
      <c r="B25" s="93"/>
      <c r="C25" s="93"/>
      <c r="D25" s="94">
        <f>D2+7</f>
        <v>41859</v>
      </c>
      <c r="E25" s="94">
        <f t="shared" ref="E25:S25" si="15">D25+7</f>
        <v>41866</v>
      </c>
      <c r="F25" s="94">
        <f t="shared" si="15"/>
        <v>41873</v>
      </c>
      <c r="G25" s="94">
        <f t="shared" si="15"/>
        <v>41880</v>
      </c>
      <c r="H25" s="94">
        <f t="shared" si="15"/>
        <v>41887</v>
      </c>
      <c r="I25" s="94">
        <f t="shared" si="15"/>
        <v>41894</v>
      </c>
      <c r="J25" s="94">
        <f t="shared" si="15"/>
        <v>41901</v>
      </c>
      <c r="K25" s="94">
        <f t="shared" si="15"/>
        <v>41908</v>
      </c>
      <c r="L25" s="94">
        <f t="shared" si="15"/>
        <v>41915</v>
      </c>
      <c r="M25" s="94">
        <f t="shared" si="15"/>
        <v>41922</v>
      </c>
      <c r="N25" s="94">
        <f t="shared" si="15"/>
        <v>41929</v>
      </c>
      <c r="O25" s="94">
        <f t="shared" si="15"/>
        <v>41936</v>
      </c>
      <c r="P25" s="94">
        <f t="shared" si="15"/>
        <v>41943</v>
      </c>
      <c r="Q25" s="94">
        <f t="shared" si="15"/>
        <v>41950</v>
      </c>
      <c r="R25" s="94">
        <f t="shared" si="15"/>
        <v>41957</v>
      </c>
      <c r="S25" s="94">
        <f t="shared" si="15"/>
        <v>41964</v>
      </c>
      <c r="Y25" s="81" t="s">
        <v>84</v>
      </c>
      <c r="Z25" s="91">
        <f t="shared" si="14"/>
        <v>0</v>
      </c>
    </row>
    <row r="26" spans="1:26" s="53" customFormat="1" x14ac:dyDescent="0.25">
      <c r="A26" s="719" t="s">
        <v>93</v>
      </c>
      <c r="B26" s="719"/>
      <c r="C26" s="96">
        <f>C6+C7+C11</f>
        <v>3677313</v>
      </c>
      <c r="D26" s="96">
        <f t="shared" ref="D26:S26" si="16">D6+D7+D11</f>
        <v>111585</v>
      </c>
      <c r="E26" s="96">
        <f t="shared" si="16"/>
        <v>84224</v>
      </c>
      <c r="F26" s="96">
        <f t="shared" si="16"/>
        <v>290887</v>
      </c>
      <c r="G26" s="96">
        <f t="shared" si="16"/>
        <v>95096</v>
      </c>
      <c r="H26" s="96">
        <f t="shared" si="16"/>
        <v>305304</v>
      </c>
      <c r="I26" s="96">
        <f t="shared" si="16"/>
        <v>111349</v>
      </c>
      <c r="J26" s="96">
        <f t="shared" si="16"/>
        <v>418425</v>
      </c>
      <c r="K26" s="96">
        <f t="shared" si="16"/>
        <v>419148</v>
      </c>
      <c r="L26" s="96">
        <f t="shared" si="16"/>
        <v>101690</v>
      </c>
      <c r="M26" s="96">
        <f t="shared" si="16"/>
        <v>117864</v>
      </c>
      <c r="N26" s="96">
        <f t="shared" si="16"/>
        <v>409611</v>
      </c>
      <c r="O26" s="96">
        <f t="shared" si="16"/>
        <v>108611</v>
      </c>
      <c r="P26" s="96">
        <f t="shared" si="16"/>
        <v>395012</v>
      </c>
      <c r="Q26" s="96">
        <f t="shared" si="16"/>
        <v>100263</v>
      </c>
      <c r="R26" s="96">
        <f>R6+R7+R11</f>
        <v>431799</v>
      </c>
      <c r="S26" s="96">
        <f t="shared" si="16"/>
        <v>176445</v>
      </c>
      <c r="T26" s="97"/>
      <c r="Y26" s="81" t="s">
        <v>85</v>
      </c>
      <c r="Z26" s="91">
        <f t="shared" si="14"/>
        <v>0.52764788140305441</v>
      </c>
    </row>
    <row r="27" spans="1:26" s="53" customFormat="1" x14ac:dyDescent="0.25">
      <c r="A27" s="710" t="s">
        <v>94</v>
      </c>
      <c r="B27" s="710"/>
      <c r="C27" s="98">
        <f>C14+C15+C17+C18+C21</f>
        <v>2535782</v>
      </c>
      <c r="D27" s="98">
        <f t="shared" ref="D27:S27" si="17">D14+D15+D17+D18+D21</f>
        <v>145898</v>
      </c>
      <c r="E27" s="98">
        <f t="shared" si="17"/>
        <v>143400</v>
      </c>
      <c r="F27" s="98">
        <f t="shared" si="17"/>
        <v>143126</v>
      </c>
      <c r="G27" s="98">
        <f t="shared" si="17"/>
        <v>143536</v>
      </c>
      <c r="H27" s="98">
        <f t="shared" si="17"/>
        <v>144626</v>
      </c>
      <c r="I27" s="98">
        <f t="shared" si="17"/>
        <v>149370</v>
      </c>
      <c r="J27" s="98">
        <f t="shared" si="17"/>
        <v>153410</v>
      </c>
      <c r="K27" s="98">
        <f t="shared" si="17"/>
        <v>155470</v>
      </c>
      <c r="L27" s="98">
        <f t="shared" si="17"/>
        <v>156510</v>
      </c>
      <c r="M27" s="98">
        <f t="shared" si="17"/>
        <v>156280</v>
      </c>
      <c r="N27" s="98">
        <f t="shared" si="17"/>
        <v>167730</v>
      </c>
      <c r="O27" s="98">
        <f t="shared" si="17"/>
        <v>174010</v>
      </c>
      <c r="P27" s="98">
        <f t="shared" si="17"/>
        <v>168010</v>
      </c>
      <c r="Q27" s="98">
        <f t="shared" si="17"/>
        <v>172010</v>
      </c>
      <c r="R27" s="98">
        <f>R14+R15+R17+R18+R21</f>
        <v>186990</v>
      </c>
      <c r="S27" s="98">
        <f t="shared" si="17"/>
        <v>175406</v>
      </c>
      <c r="T27" s="99"/>
      <c r="Y27" s="81" t="s">
        <v>86</v>
      </c>
      <c r="Z27" s="91">
        <f t="shared" si="14"/>
        <v>0.12619381319056608</v>
      </c>
    </row>
    <row r="28" spans="1:26" x14ac:dyDescent="0.25">
      <c r="A28" s="711" t="s">
        <v>95</v>
      </c>
      <c r="B28" s="711"/>
      <c r="C28" s="100">
        <f>C26-C27</f>
        <v>1141531</v>
      </c>
      <c r="D28" s="100">
        <f t="shared" ref="D28:S28" si="18">D26-D27</f>
        <v>-34313</v>
      </c>
      <c r="E28" s="100">
        <f t="shared" si="18"/>
        <v>-59176</v>
      </c>
      <c r="F28" s="100">
        <f t="shared" si="18"/>
        <v>147761</v>
      </c>
      <c r="G28" s="100">
        <f t="shared" si="18"/>
        <v>-48440</v>
      </c>
      <c r="H28" s="100">
        <f t="shared" si="18"/>
        <v>160678</v>
      </c>
      <c r="I28" s="100">
        <f t="shared" si="18"/>
        <v>-38021</v>
      </c>
      <c r="J28" s="100">
        <f t="shared" si="18"/>
        <v>265015</v>
      </c>
      <c r="K28" s="100">
        <f t="shared" si="18"/>
        <v>263678</v>
      </c>
      <c r="L28" s="100">
        <f t="shared" si="18"/>
        <v>-54820</v>
      </c>
      <c r="M28" s="100">
        <f t="shared" si="18"/>
        <v>-38416</v>
      </c>
      <c r="N28" s="100">
        <f t="shared" si="18"/>
        <v>241881</v>
      </c>
      <c r="O28" s="100">
        <f t="shared" si="18"/>
        <v>-65399</v>
      </c>
      <c r="P28" s="100">
        <f t="shared" si="18"/>
        <v>227002</v>
      </c>
      <c r="Q28" s="100">
        <f t="shared" si="18"/>
        <v>-71747</v>
      </c>
      <c r="R28" s="100">
        <f>R26-R27</f>
        <v>244809</v>
      </c>
      <c r="S28" s="100">
        <f t="shared" si="18"/>
        <v>1039</v>
      </c>
      <c r="T28" s="101"/>
      <c r="Y28" s="81" t="s">
        <v>88</v>
      </c>
      <c r="Z28" s="91">
        <f t="shared" si="14"/>
        <v>0</v>
      </c>
    </row>
    <row r="29" spans="1:26" x14ac:dyDescent="0.25">
      <c r="A29" s="719" t="s">
        <v>96</v>
      </c>
      <c r="B29" s="719"/>
      <c r="C29" s="96">
        <f>C8+C9+C10+C12</f>
        <v>223750</v>
      </c>
      <c r="D29" s="96">
        <f t="shared" ref="D29:S29" si="19">D8+D9+D10+D12</f>
        <v>21850</v>
      </c>
      <c r="E29" s="96">
        <f t="shared" si="19"/>
        <v>0</v>
      </c>
      <c r="F29" s="96">
        <f t="shared" si="19"/>
        <v>0</v>
      </c>
      <c r="G29" s="96">
        <f t="shared" si="19"/>
        <v>0</v>
      </c>
      <c r="H29" s="96">
        <f t="shared" si="19"/>
        <v>0</v>
      </c>
      <c r="I29" s="96">
        <f t="shared" si="19"/>
        <v>0</v>
      </c>
      <c r="J29" s="96">
        <f t="shared" si="19"/>
        <v>0</v>
      </c>
      <c r="K29" s="96">
        <f t="shared" si="19"/>
        <v>0</v>
      </c>
      <c r="L29" s="96">
        <f t="shared" si="19"/>
        <v>0</v>
      </c>
      <c r="M29" s="96">
        <f t="shared" si="19"/>
        <v>1900</v>
      </c>
      <c r="N29" s="96">
        <f t="shared" si="19"/>
        <v>0</v>
      </c>
      <c r="O29" s="96">
        <f t="shared" si="19"/>
        <v>0</v>
      </c>
      <c r="P29" s="96">
        <f t="shared" si="19"/>
        <v>0</v>
      </c>
      <c r="Q29" s="96">
        <f t="shared" si="19"/>
        <v>0</v>
      </c>
      <c r="R29" s="96">
        <f>R8+R9+R10+R12</f>
        <v>0</v>
      </c>
      <c r="S29" s="96">
        <f t="shared" si="19"/>
        <v>200000</v>
      </c>
      <c r="T29" s="101"/>
      <c r="Y29" s="81" t="s">
        <v>67</v>
      </c>
      <c r="Z29" s="91">
        <f t="shared" si="14"/>
        <v>0</v>
      </c>
    </row>
    <row r="30" spans="1:26" s="59" customFormat="1" x14ac:dyDescent="0.25">
      <c r="A30" s="710" t="s">
        <v>97</v>
      </c>
      <c r="B30" s="710"/>
      <c r="C30" s="98">
        <f>C16+C19+C20+C22</f>
        <v>0</v>
      </c>
      <c r="D30" s="98">
        <f t="shared" ref="D30:S30" si="20">D16+D19+D20+D22</f>
        <v>0</v>
      </c>
      <c r="E30" s="98">
        <f t="shared" si="20"/>
        <v>0</v>
      </c>
      <c r="F30" s="98">
        <f t="shared" si="20"/>
        <v>0</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0</v>
      </c>
      <c r="P30" s="98">
        <f t="shared" si="20"/>
        <v>0</v>
      </c>
      <c r="Q30" s="98">
        <f t="shared" si="20"/>
        <v>0</v>
      </c>
      <c r="R30" s="98">
        <f>R16+R19+R20+R22</f>
        <v>0</v>
      </c>
      <c r="S30" s="98">
        <f t="shared" si="20"/>
        <v>0</v>
      </c>
      <c r="Y30" s="81" t="s">
        <v>89</v>
      </c>
      <c r="Z30" s="91">
        <f t="shared" si="14"/>
        <v>3.470329862740567E-2</v>
      </c>
    </row>
    <row r="31" spans="1:26" s="59" customFormat="1" x14ac:dyDescent="0.25">
      <c r="A31" s="711" t="s">
        <v>98</v>
      </c>
      <c r="B31" s="711"/>
      <c r="C31" s="100">
        <f>C29-C30</f>
        <v>223750</v>
      </c>
      <c r="D31" s="100">
        <f t="shared" ref="D31:S31" si="21">D29-D30</f>
        <v>21850</v>
      </c>
      <c r="E31" s="100">
        <f t="shared" si="21"/>
        <v>0</v>
      </c>
      <c r="F31" s="100">
        <f t="shared" si="21"/>
        <v>0</v>
      </c>
      <c r="G31" s="100">
        <f t="shared" si="21"/>
        <v>0</v>
      </c>
      <c r="H31" s="100">
        <f t="shared" si="21"/>
        <v>0</v>
      </c>
      <c r="I31" s="100">
        <f t="shared" si="21"/>
        <v>0</v>
      </c>
      <c r="J31" s="100">
        <f t="shared" si="21"/>
        <v>0</v>
      </c>
      <c r="K31" s="100">
        <f t="shared" si="21"/>
        <v>0</v>
      </c>
      <c r="L31" s="100">
        <f t="shared" si="21"/>
        <v>0</v>
      </c>
      <c r="M31" s="100">
        <f t="shared" si="21"/>
        <v>1900</v>
      </c>
      <c r="N31" s="100">
        <f t="shared" si="21"/>
        <v>0</v>
      </c>
      <c r="O31" s="100">
        <f t="shared" si="21"/>
        <v>0</v>
      </c>
      <c r="P31" s="100">
        <f t="shared" si="21"/>
        <v>0</v>
      </c>
      <c r="Q31" s="100">
        <f t="shared" si="21"/>
        <v>0</v>
      </c>
      <c r="R31" s="100">
        <f>R29-R30</f>
        <v>0</v>
      </c>
      <c r="S31" s="100">
        <f t="shared" si="21"/>
        <v>200000</v>
      </c>
      <c r="Y31" s="81" t="s">
        <v>90</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24</v>
      </c>
      <c r="E33" s="174">
        <v>23</v>
      </c>
      <c r="F33" s="174"/>
      <c r="G33" s="174"/>
      <c r="H33" s="174"/>
      <c r="I33" s="174"/>
      <c r="J33" s="174">
        <v>22</v>
      </c>
      <c r="K33" s="174">
        <v>23</v>
      </c>
      <c r="L33" s="174">
        <v>23</v>
      </c>
      <c r="M33" s="174">
        <v>22</v>
      </c>
      <c r="N33" s="174">
        <v>22</v>
      </c>
      <c r="O33" s="174">
        <v>22</v>
      </c>
      <c r="P33" s="174">
        <v>22</v>
      </c>
      <c r="Q33" s="174">
        <v>22</v>
      </c>
      <c r="R33" s="174">
        <v>22</v>
      </c>
      <c r="S33" s="174">
        <v>22</v>
      </c>
      <c r="Z33" s="369"/>
    </row>
    <row r="34" spans="1:26" s="59" customFormat="1" ht="18.75" x14ac:dyDescent="0.3">
      <c r="A34" s="57"/>
      <c r="B34" s="720" t="s">
        <v>437</v>
      </c>
      <c r="C34" s="173" t="s">
        <v>181</v>
      </c>
      <c r="D34" s="174">
        <v>119160</v>
      </c>
      <c r="E34" s="174">
        <v>118250</v>
      </c>
      <c r="F34" s="174"/>
      <c r="G34" s="174"/>
      <c r="H34" s="174"/>
      <c r="I34" s="174"/>
      <c r="J34" s="174">
        <v>141350</v>
      </c>
      <c r="K34" s="174">
        <v>147100</v>
      </c>
      <c r="L34" s="174">
        <v>153920</v>
      </c>
      <c r="M34" s="174">
        <v>156180</v>
      </c>
      <c r="N34" s="174">
        <v>160880</v>
      </c>
      <c r="O34" s="174">
        <v>165270</v>
      </c>
      <c r="P34" s="174">
        <v>165560</v>
      </c>
      <c r="Q34" s="174">
        <v>169440</v>
      </c>
      <c r="R34" s="174">
        <v>176050</v>
      </c>
      <c r="S34" s="174">
        <v>181970</v>
      </c>
      <c r="Y34" s="712">
        <f>C23</f>
        <v>2535782</v>
      </c>
      <c r="Z34" s="713"/>
    </row>
    <row r="35" spans="1:26" x14ac:dyDescent="0.25">
      <c r="A35" s="57"/>
      <c r="B35" s="720"/>
      <c r="C35" s="173" t="s">
        <v>104</v>
      </c>
      <c r="D35" s="174">
        <v>25260</v>
      </c>
      <c r="E35" s="174">
        <v>24950</v>
      </c>
      <c r="F35" s="174"/>
      <c r="G35" s="174"/>
      <c r="H35" s="174"/>
      <c r="I35" s="174"/>
      <c r="J35" s="174">
        <v>28960</v>
      </c>
      <c r="K35" s="174">
        <v>29290</v>
      </c>
      <c r="L35" s="174">
        <v>30890</v>
      </c>
      <c r="M35" s="174">
        <v>31280</v>
      </c>
      <c r="N35" s="174">
        <v>31560</v>
      </c>
      <c r="O35" s="174">
        <v>31560</v>
      </c>
      <c r="P35" s="174">
        <v>31560</v>
      </c>
      <c r="Q35" s="174">
        <v>31560</v>
      </c>
      <c r="R35" s="174">
        <v>32580</v>
      </c>
      <c r="S35" s="174">
        <v>33000</v>
      </c>
    </row>
    <row r="36" spans="1:26" x14ac:dyDescent="0.25">
      <c r="A36" s="57"/>
      <c r="B36" s="720"/>
      <c r="C36" s="173" t="s">
        <v>61</v>
      </c>
      <c r="D36" s="175" t="s">
        <v>486</v>
      </c>
      <c r="E36" s="175" t="s">
        <v>490</v>
      </c>
      <c r="F36" s="175"/>
      <c r="G36" s="175"/>
      <c r="H36" s="175"/>
      <c r="I36" s="175"/>
      <c r="J36" s="175" t="s">
        <v>499</v>
      </c>
      <c r="K36" s="175" t="s">
        <v>501</v>
      </c>
      <c r="L36" s="175" t="s">
        <v>508</v>
      </c>
      <c r="M36" s="175" t="s">
        <v>490</v>
      </c>
      <c r="N36" s="175" t="s">
        <v>514</v>
      </c>
      <c r="O36" s="175" t="s">
        <v>532</v>
      </c>
      <c r="P36" s="175" t="s">
        <v>534</v>
      </c>
      <c r="Q36" s="175" t="s">
        <v>535</v>
      </c>
      <c r="R36" s="175" t="s">
        <v>536</v>
      </c>
      <c r="S36" s="175" t="s">
        <v>538</v>
      </c>
    </row>
    <row r="37" spans="1:26" x14ac:dyDescent="0.25">
      <c r="A37" s="57"/>
      <c r="B37" s="720"/>
      <c r="C37" s="173" t="s">
        <v>210</v>
      </c>
      <c r="D37" s="176">
        <v>4</v>
      </c>
      <c r="E37" s="176">
        <v>4.25</v>
      </c>
      <c r="F37" s="176"/>
      <c r="G37" s="176"/>
      <c r="H37" s="176"/>
      <c r="I37" s="176"/>
      <c r="J37" s="176">
        <v>4.5</v>
      </c>
      <c r="K37" s="176">
        <v>4.5</v>
      </c>
      <c r="L37" s="176">
        <v>4.5</v>
      </c>
      <c r="M37" s="176">
        <v>4.75</v>
      </c>
      <c r="N37" s="176">
        <v>4.75</v>
      </c>
      <c r="O37" s="176">
        <v>4.75</v>
      </c>
      <c r="P37" s="176">
        <v>5</v>
      </c>
      <c r="Q37" s="176">
        <v>5</v>
      </c>
      <c r="R37" s="176">
        <v>5</v>
      </c>
      <c r="S37" s="176">
        <v>5</v>
      </c>
    </row>
    <row r="38" spans="1:26" x14ac:dyDescent="0.25">
      <c r="B38" s="720"/>
      <c r="C38" s="173" t="s">
        <v>211</v>
      </c>
      <c r="D38" s="176">
        <v>5.5</v>
      </c>
      <c r="E38" s="176">
        <v>5.5</v>
      </c>
      <c r="F38" s="176"/>
      <c r="G38" s="176"/>
      <c r="H38" s="176"/>
      <c r="I38" s="176"/>
      <c r="J38" s="176">
        <v>5.5</v>
      </c>
      <c r="K38" s="176">
        <v>5.5</v>
      </c>
      <c r="L38" s="176">
        <v>5.5</v>
      </c>
      <c r="M38" s="176">
        <v>5.5</v>
      </c>
      <c r="N38" s="176">
        <v>5.5</v>
      </c>
      <c r="O38" s="176">
        <v>5.5</v>
      </c>
      <c r="P38" s="176">
        <v>5.75</v>
      </c>
      <c r="Q38" s="176">
        <v>5.75</v>
      </c>
      <c r="R38" s="176">
        <v>5.75</v>
      </c>
      <c r="S38" s="176">
        <v>6</v>
      </c>
    </row>
    <row r="39" spans="1:26" x14ac:dyDescent="0.25">
      <c r="B39" s="720"/>
      <c r="C39" s="173" t="s">
        <v>257</v>
      </c>
      <c r="D39" s="176">
        <v>2</v>
      </c>
      <c r="E39" s="176">
        <v>2</v>
      </c>
      <c r="F39" s="176"/>
      <c r="G39" s="176"/>
      <c r="H39" s="176"/>
      <c r="I39" s="176"/>
      <c r="J39" s="176">
        <v>2</v>
      </c>
      <c r="K39" s="176">
        <v>2</v>
      </c>
      <c r="L39" s="176">
        <v>2</v>
      </c>
      <c r="M39" s="176">
        <v>2</v>
      </c>
      <c r="N39" s="176">
        <v>2</v>
      </c>
      <c r="O39" s="176">
        <v>2.25</v>
      </c>
      <c r="P39" s="176">
        <v>2.25</v>
      </c>
      <c r="Q39" s="176">
        <v>2.25</v>
      </c>
      <c r="R39" s="176">
        <v>2.25</v>
      </c>
      <c r="S39" s="176">
        <v>2.25</v>
      </c>
    </row>
    <row r="40" spans="1:26" ht="15" customHeight="1" x14ac:dyDescent="0.25">
      <c r="C40" s="164" t="s">
        <v>438</v>
      </c>
      <c r="D40" s="330">
        <f>D34/D35</f>
        <v>4.7173396674584325</v>
      </c>
      <c r="E40" s="288">
        <f>E34/E35</f>
        <v>4.7394789579158321</v>
      </c>
      <c r="F40" s="288"/>
      <c r="G40" s="288"/>
      <c r="H40" s="288"/>
      <c r="I40" s="330"/>
      <c r="J40" s="330">
        <f t="shared" ref="J40:S40" si="22">J34/J35</f>
        <v>4.880870165745856</v>
      </c>
      <c r="K40" s="330">
        <f t="shared" si="22"/>
        <v>5.0221918743598497</v>
      </c>
      <c r="L40" s="330">
        <f t="shared" si="22"/>
        <v>4.9828423438005824</v>
      </c>
      <c r="M40" s="330">
        <f t="shared" si="22"/>
        <v>4.9929667519181589</v>
      </c>
      <c r="N40" s="330">
        <f t="shared" si="22"/>
        <v>5.0975918884664129</v>
      </c>
      <c r="O40" s="330">
        <f t="shared" si="22"/>
        <v>5.2366920152091252</v>
      </c>
      <c r="P40" s="330">
        <f t="shared" si="22"/>
        <v>5.245880861850444</v>
      </c>
      <c r="Q40" s="330">
        <f t="shared" si="22"/>
        <v>5.3688212927756656</v>
      </c>
      <c r="R40" s="330">
        <f t="shared" si="22"/>
        <v>5.4036218538980973</v>
      </c>
      <c r="S40" s="330">
        <f t="shared" si="22"/>
        <v>5.5142424242424246</v>
      </c>
    </row>
    <row r="41" spans="1:26" ht="15" customHeight="1" x14ac:dyDescent="0.25">
      <c r="D41" s="52"/>
      <c r="E41" s="334"/>
      <c r="G41" s="714"/>
      <c r="H41" s="714"/>
      <c r="I41" s="714"/>
      <c r="J41" s="714"/>
    </row>
    <row r="42" spans="1:26" x14ac:dyDescent="0.25">
      <c r="C42" s="4" t="s">
        <v>485</v>
      </c>
      <c r="D42" s="246">
        <v>75301</v>
      </c>
      <c r="E42" s="341">
        <v>83847.5</v>
      </c>
      <c r="F42" s="246">
        <v>89545.5</v>
      </c>
      <c r="G42" s="329">
        <v>92801.500000000015</v>
      </c>
      <c r="H42" s="329">
        <v>94836.500000000015</v>
      </c>
      <c r="I42" s="329">
        <v>96057.500000000015</v>
      </c>
      <c r="J42" s="329">
        <v>97075.000000000015</v>
      </c>
      <c r="K42" s="9">
        <v>97482.000000000015</v>
      </c>
      <c r="L42" s="9">
        <v>98092.500000000015</v>
      </c>
      <c r="M42" s="9">
        <v>98906.500000000015</v>
      </c>
      <c r="N42" s="9">
        <v>99517.000000000015</v>
      </c>
      <c r="O42" s="9">
        <v>100127.50000000001</v>
      </c>
      <c r="P42" s="9">
        <v>100534.50000000001</v>
      </c>
      <c r="Q42" s="9">
        <v>100738.00000000001</v>
      </c>
      <c r="R42" s="9">
        <v>101145.00000000001</v>
      </c>
      <c r="S42" s="9">
        <v>101755.50000000001</v>
      </c>
    </row>
    <row r="43" spans="1:26" x14ac:dyDescent="0.25">
      <c r="G43" s="329"/>
      <c r="H43" s="329"/>
      <c r="I43" s="329"/>
      <c r="J43" s="329"/>
    </row>
    <row r="44" spans="1:26" x14ac:dyDescent="0.25">
      <c r="G44" s="329"/>
      <c r="H44" s="329"/>
      <c r="I44" s="329"/>
      <c r="J44" s="343"/>
    </row>
    <row r="45" spans="1:26" x14ac:dyDescent="0.25">
      <c r="G45" s="329"/>
      <c r="H45" s="329"/>
      <c r="I45" s="329"/>
      <c r="J45" s="329"/>
    </row>
    <row r="46" spans="1:26" x14ac:dyDescent="0.25">
      <c r="G46" s="709"/>
      <c r="H46" s="709"/>
      <c r="I46" s="709"/>
      <c r="J46" s="709"/>
    </row>
    <row r="47" spans="1:26" x14ac:dyDescent="0.25">
      <c r="G47" s="329"/>
      <c r="H47" s="329"/>
      <c r="I47" s="329"/>
      <c r="J47" s="329"/>
    </row>
    <row r="48" spans="1:26" x14ac:dyDescent="0.25">
      <c r="G48" s="709"/>
      <c r="H48" s="709"/>
      <c r="I48" s="709"/>
      <c r="J48" s="709"/>
    </row>
    <row r="49" spans="7:10" ht="15" customHeight="1" x14ac:dyDescent="0.25">
      <c r="G49" s="709"/>
      <c r="H49" s="709"/>
      <c r="I49" s="709"/>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21" t="s">
        <v>493</v>
      </c>
      <c r="C2" s="722"/>
      <c r="D2" s="722"/>
      <c r="E2" s="722"/>
      <c r="F2" s="722"/>
      <c r="G2" s="723"/>
      <c r="I2" s="731" t="s">
        <v>494</v>
      </c>
      <c r="J2" s="731"/>
      <c r="K2" s="731"/>
      <c r="L2" s="731"/>
      <c r="M2" s="731"/>
      <c r="N2" s="731"/>
      <c r="O2" s="731"/>
      <c r="P2" s="731"/>
      <c r="Q2" s="731"/>
      <c r="R2" s="731"/>
      <c r="S2" s="731"/>
      <c r="T2" s="731"/>
    </row>
    <row r="3" spans="2:20" x14ac:dyDescent="0.25">
      <c r="B3" s="725" t="s">
        <v>102</v>
      </c>
      <c r="C3" s="726"/>
      <c r="D3" s="726"/>
      <c r="E3" s="726"/>
      <c r="F3" s="726"/>
      <c r="G3" s="727"/>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8" t="s">
        <v>113</v>
      </c>
      <c r="C4" s="729"/>
      <c r="D4" s="109"/>
      <c r="E4" s="730" t="s">
        <v>114</v>
      </c>
      <c r="F4" s="729"/>
      <c r="G4" s="109"/>
      <c r="I4" s="335" t="s">
        <v>491</v>
      </c>
      <c r="J4" s="336" t="s">
        <v>492</v>
      </c>
      <c r="K4" s="335">
        <v>0</v>
      </c>
      <c r="L4" s="335">
        <v>0</v>
      </c>
      <c r="M4" s="335">
        <v>23000</v>
      </c>
      <c r="N4" s="335">
        <f>M4-21850</f>
        <v>1150</v>
      </c>
      <c r="O4" s="337">
        <f t="shared" ref="O4" si="0">IF(M4=0,0,M4-K4)-N4</f>
        <v>21850</v>
      </c>
      <c r="P4" s="337">
        <f t="shared" ref="P4" si="1">IF(M4=0,K4,0)</f>
        <v>0</v>
      </c>
      <c r="Q4" s="338"/>
      <c r="R4" s="339"/>
      <c r="S4" s="339">
        <v>41858</v>
      </c>
      <c r="T4" s="340"/>
    </row>
    <row r="5" spans="2:20" x14ac:dyDescent="0.25">
      <c r="B5" s="113"/>
      <c r="C5" s="114"/>
      <c r="D5" s="201"/>
      <c r="E5" s="113"/>
      <c r="F5" s="114"/>
      <c r="G5" s="115"/>
      <c r="I5" s="335" t="s">
        <v>491</v>
      </c>
      <c r="J5" s="336" t="s">
        <v>199</v>
      </c>
      <c r="K5" s="335">
        <v>0</v>
      </c>
      <c r="L5" s="335">
        <v>0</v>
      </c>
      <c r="M5" s="335">
        <v>2000</v>
      </c>
      <c r="N5" s="335">
        <v>100</v>
      </c>
      <c r="O5" s="337">
        <f t="shared" ref="O5" si="2">IF(M5=0,0,M5-K5)-N5</f>
        <v>1900</v>
      </c>
      <c r="P5" s="337">
        <f t="shared" ref="P5" si="3">IF(M5=0,K5,0)</f>
        <v>0</v>
      </c>
      <c r="Q5" s="338"/>
      <c r="R5" s="339"/>
      <c r="S5" s="339">
        <v>41917</v>
      </c>
      <c r="T5" s="340"/>
    </row>
    <row r="6" spans="2:20" x14ac:dyDescent="0.25">
      <c r="B6" s="116" t="s">
        <v>116</v>
      </c>
      <c r="C6" s="117">
        <f>SUM(C7:C9)</f>
        <v>3377510</v>
      </c>
      <c r="D6" s="140">
        <f>C6/$C$34</f>
        <v>0.35405494706854901</v>
      </c>
      <c r="E6" s="116" t="s">
        <v>117</v>
      </c>
      <c r="F6" s="117">
        <f>F7+F8+F9</f>
        <v>4273164</v>
      </c>
      <c r="G6" s="118">
        <f>F6/$F$34</f>
        <v>0.44794385622403166</v>
      </c>
    </row>
    <row r="7" spans="2:20" x14ac:dyDescent="0.25">
      <c r="B7" s="119" t="s">
        <v>84</v>
      </c>
      <c r="C7" s="120">
        <f>EconomiaT44!C16+'A-P_T43'!C7</f>
        <v>1308710</v>
      </c>
      <c r="D7" s="202">
        <f>C7/$C$34</f>
        <v>0.13718841684497776</v>
      </c>
      <c r="E7" s="203" t="s">
        <v>118</v>
      </c>
      <c r="F7" s="204">
        <v>300000</v>
      </c>
      <c r="G7" s="121">
        <f>F7/$F$34</f>
        <v>3.1448162735436672E-2</v>
      </c>
    </row>
    <row r="8" spans="2:20" x14ac:dyDescent="0.25">
      <c r="B8" s="119" t="s">
        <v>67</v>
      </c>
      <c r="C8" s="120">
        <f>'A-P_T43'!C8+'A-P_T43'!C9</f>
        <v>2068800</v>
      </c>
      <c r="D8" s="202">
        <f>C8/$C$34</f>
        <v>0.21686653022357127</v>
      </c>
      <c r="E8" s="203" t="s">
        <v>261</v>
      </c>
      <c r="F8" s="204">
        <f>'A-P_T43'!F9+'A-P_T43'!F8</f>
        <v>3573175</v>
      </c>
      <c r="G8" s="121">
        <f>F8/$F$34</f>
        <v>0.37456596294064642</v>
      </c>
    </row>
    <row r="9" spans="2:20" x14ac:dyDescent="0.25">
      <c r="B9" s="122" t="s">
        <v>119</v>
      </c>
      <c r="C9" s="123">
        <v>0</v>
      </c>
      <c r="D9" s="202">
        <f>C9/$C$34</f>
        <v>0</v>
      </c>
      <c r="E9" s="203" t="s">
        <v>556</v>
      </c>
      <c r="F9" s="204">
        <f>'A-P_T43'!F11-EconomiaT43!C24+EconomiaT43!C5-5</f>
        <v>399989</v>
      </c>
      <c r="G9" s="121">
        <f>F9/$F$34</f>
        <v>4.1929730547948595E-2</v>
      </c>
    </row>
    <row r="10" spans="2:20" x14ac:dyDescent="0.25">
      <c r="B10" s="124"/>
      <c r="C10" s="125"/>
      <c r="D10" s="140"/>
      <c r="E10" s="205"/>
      <c r="F10" s="125"/>
      <c r="G10" s="118"/>
    </row>
    <row r="11" spans="2:20" x14ac:dyDescent="0.25">
      <c r="B11" s="116" t="s">
        <v>100</v>
      </c>
      <c r="C11" s="117">
        <f>SUM(C12:C15)</f>
        <v>0</v>
      </c>
      <c r="D11" s="140">
        <f>C11/$C$34</f>
        <v>0</v>
      </c>
      <c r="E11" s="116" t="s">
        <v>107</v>
      </c>
      <c r="F11" s="117">
        <f>SUM(F12:F17)+C9</f>
        <v>2730562</v>
      </c>
      <c r="G11" s="118">
        <f t="shared" ref="G11:G17" si="4">F11/$F$34</f>
        <v>0.28623719378399809</v>
      </c>
    </row>
    <row r="12" spans="2:20" x14ac:dyDescent="0.25">
      <c r="B12" s="129" t="s">
        <v>121</v>
      </c>
      <c r="C12" s="130">
        <f>SUMIF(I4:I44,"S",$P$4:$P$44)</f>
        <v>0</v>
      </c>
      <c r="D12" s="202">
        <f>C12/$C$34</f>
        <v>0</v>
      </c>
      <c r="E12" s="49" t="s">
        <v>122</v>
      </c>
      <c r="F12" s="131">
        <f>SUMIF(I4:I9,"J",$O$4:$O$39)</f>
        <v>0</v>
      </c>
      <c r="G12" s="121">
        <f t="shared" si="4"/>
        <v>0</v>
      </c>
    </row>
    <row r="13" spans="2:20" x14ac:dyDescent="0.25">
      <c r="B13" s="129" t="s">
        <v>100</v>
      </c>
      <c r="C13" s="130">
        <f>SUMIF(I4:I39,"J",$P$4:$P$39)</f>
        <v>0</v>
      </c>
      <c r="D13" s="202">
        <f>C13/$C$34</f>
        <v>0</v>
      </c>
      <c r="E13" s="49" t="s">
        <v>123</v>
      </c>
      <c r="F13" s="131">
        <f>SUMIF(I3:I8,"S",$O$4:$O$39)</f>
        <v>0</v>
      </c>
      <c r="G13" s="121">
        <f t="shared" si="4"/>
        <v>0</v>
      </c>
    </row>
    <row r="14" spans="2:20" x14ac:dyDescent="0.25">
      <c r="B14" s="129" t="s">
        <v>99</v>
      </c>
      <c r="C14" s="130">
        <f>SUMIF(I4:I39,"E",$P$4:$P$39)</f>
        <v>0</v>
      </c>
      <c r="D14" s="202">
        <f>C14/$C$34</f>
        <v>0</v>
      </c>
      <c r="E14" s="49" t="s">
        <v>124</v>
      </c>
      <c r="F14" s="131">
        <f>SUMIF(I4:I9,"C",$O$4:$O$39)</f>
        <v>23750</v>
      </c>
      <c r="G14" s="121">
        <f t="shared" si="4"/>
        <v>2.4896462165554033E-3</v>
      </c>
    </row>
    <row r="15" spans="2:20" x14ac:dyDescent="0.25">
      <c r="B15" s="129" t="s">
        <v>125</v>
      </c>
      <c r="C15" s="130">
        <f>SUMIF(I4:I39,"M",$P$4:$P$39)</f>
        <v>0</v>
      </c>
      <c r="D15" s="202">
        <f>C15/$C$34</f>
        <v>0</v>
      </c>
      <c r="E15" s="49" t="s">
        <v>126</v>
      </c>
      <c r="F15" s="131">
        <f>SUMIF(I4:I9,"E",$O$4:$O$39)</f>
        <v>0</v>
      </c>
      <c r="G15" s="121">
        <f t="shared" si="4"/>
        <v>0</v>
      </c>
    </row>
    <row r="16" spans="2:20" x14ac:dyDescent="0.25">
      <c r="B16" s="132"/>
      <c r="C16" s="133"/>
      <c r="D16" s="140"/>
      <c r="E16" s="49" t="s">
        <v>127</v>
      </c>
      <c r="F16" s="131">
        <f>SUMIF(I4:I9,"M",$O$4:$O$39)</f>
        <v>0</v>
      </c>
      <c r="G16" s="121">
        <f t="shared" si="4"/>
        <v>0</v>
      </c>
    </row>
    <row r="17" spans="2:7" x14ac:dyDescent="0.25">
      <c r="B17" s="116" t="s">
        <v>74</v>
      </c>
      <c r="C17" s="134">
        <f>C18+C19</f>
        <v>23750</v>
      </c>
      <c r="D17" s="140">
        <f>C17/$C$34</f>
        <v>2.4896462165554033E-3</v>
      </c>
      <c r="E17" s="135" t="s">
        <v>128</v>
      </c>
      <c r="F17" s="136">
        <f>C22-F27+EconomiaT44!C24-EconomiaT44!C5</f>
        <v>2706812</v>
      </c>
      <c r="G17" s="121">
        <f t="shared" si="4"/>
        <v>0.28374754756744269</v>
      </c>
    </row>
    <row r="18" spans="2:7" x14ac:dyDescent="0.25">
      <c r="B18" s="129" t="s">
        <v>74</v>
      </c>
      <c r="C18" s="130">
        <f>SUM(M4:M18)</f>
        <v>25000</v>
      </c>
      <c r="D18" s="202">
        <f>C18/$C$34</f>
        <v>2.620680227953056E-3</v>
      </c>
      <c r="E18" s="124"/>
      <c r="F18" s="125"/>
      <c r="G18" s="137"/>
    </row>
    <row r="19" spans="2:7" x14ac:dyDescent="0.25">
      <c r="B19" s="122" t="s">
        <v>76</v>
      </c>
      <c r="C19" s="123">
        <f>SUM(N4:N50)*-1</f>
        <v>-1250</v>
      </c>
      <c r="D19" s="202">
        <f>C19/$C$34</f>
        <v>-1.3103401139765279E-4</v>
      </c>
      <c r="E19" s="116" t="s">
        <v>129</v>
      </c>
      <c r="F19" s="134">
        <f>F20+F21</f>
        <v>0</v>
      </c>
      <c r="G19" s="118">
        <f>F19/$F$34</f>
        <v>0</v>
      </c>
    </row>
    <row r="20" spans="2:7" x14ac:dyDescent="0.25">
      <c r="B20" s="132"/>
      <c r="C20" s="133"/>
      <c r="D20" s="202"/>
      <c r="E20" s="206" t="s">
        <v>88</v>
      </c>
      <c r="F20" s="207">
        <f>EconomiaT44!C19</f>
        <v>0</v>
      </c>
      <c r="G20" s="121">
        <f>F20/$F$34</f>
        <v>0</v>
      </c>
    </row>
    <row r="21" spans="2:7" x14ac:dyDescent="0.25">
      <c r="B21" s="132"/>
      <c r="C21" s="133"/>
      <c r="D21" s="140"/>
      <c r="E21" s="122" t="s">
        <v>130</v>
      </c>
      <c r="F21" s="208">
        <f>SUM(L4:L9)*-1</f>
        <v>0</v>
      </c>
      <c r="G21" s="121">
        <f>F21/$F$34</f>
        <v>0</v>
      </c>
    </row>
    <row r="22" spans="2:7" x14ac:dyDescent="0.25">
      <c r="B22" s="116" t="s">
        <v>131</v>
      </c>
      <c r="C22" s="117">
        <f>SUM(C23:C27)</f>
        <v>3877313</v>
      </c>
      <c r="D22" s="140">
        <f t="shared" ref="D22:D27" si="5">C22/$C$34</f>
        <v>0.40644790066741388</v>
      </c>
      <c r="E22" s="116"/>
      <c r="F22" s="117"/>
      <c r="G22" s="118"/>
    </row>
    <row r="23" spans="2:7" x14ac:dyDescent="0.25">
      <c r="B23" s="138" t="s">
        <v>69</v>
      </c>
      <c r="C23" s="139">
        <f>EconomiaT44!C11</f>
        <v>60630</v>
      </c>
      <c r="D23" s="202">
        <f t="shared" si="5"/>
        <v>6.3556736888317512E-3</v>
      </c>
      <c r="E23" s="116" t="s">
        <v>264</v>
      </c>
      <c r="F23" s="117">
        <f>SUM(F24:F25)</f>
        <v>0</v>
      </c>
      <c r="G23" s="118">
        <f>F23/$F$34</f>
        <v>0</v>
      </c>
    </row>
    <row r="24" spans="2:7" x14ac:dyDescent="0.25">
      <c r="B24" s="138" t="s">
        <v>79</v>
      </c>
      <c r="C24" s="139">
        <f>EconomiaT44!C12</f>
        <v>200000</v>
      </c>
      <c r="D24" s="202">
        <f t="shared" si="5"/>
        <v>2.0965441823624448E-2</v>
      </c>
      <c r="E24" s="206" t="s">
        <v>84</v>
      </c>
      <c r="F24" s="209">
        <f>EconomiaT44!C16</f>
        <v>0</v>
      </c>
      <c r="G24" s="121">
        <f>F24/$F$34</f>
        <v>0</v>
      </c>
    </row>
    <row r="25" spans="2:7" x14ac:dyDescent="0.25">
      <c r="B25" s="138" t="s">
        <v>71</v>
      </c>
      <c r="C25" s="139">
        <f>EconomiaT44!C6</f>
        <v>2182224</v>
      </c>
      <c r="D25" s="202">
        <f t="shared" si="5"/>
        <v>0.22875645159058516</v>
      </c>
      <c r="E25" s="206" t="s">
        <v>67</v>
      </c>
      <c r="F25" s="209">
        <f>EconomiaT44!C20</f>
        <v>0</v>
      </c>
      <c r="G25" s="121">
        <f>F25/$F$34</f>
        <v>0</v>
      </c>
    </row>
    <row r="26" spans="2:7" x14ac:dyDescent="0.25">
      <c r="B26" s="138" t="s">
        <v>72</v>
      </c>
      <c r="C26" s="139">
        <f>EconomiaT44!C7</f>
        <v>1434459</v>
      </c>
      <c r="D26" s="202">
        <f t="shared" si="5"/>
        <v>0.15037033356437252</v>
      </c>
      <c r="E26" s="116"/>
      <c r="F26" s="117"/>
      <c r="G26" s="118"/>
    </row>
    <row r="27" spans="2:7" x14ac:dyDescent="0.25">
      <c r="B27" s="138" t="s">
        <v>76</v>
      </c>
      <c r="C27" s="139">
        <f>EconomiaT44!C10</f>
        <v>0</v>
      </c>
      <c r="D27" s="202">
        <f t="shared" si="5"/>
        <v>0</v>
      </c>
      <c r="E27" s="116" t="s">
        <v>265</v>
      </c>
      <c r="F27" s="117">
        <f>SUM(F28:F33)</f>
        <v>2535782</v>
      </c>
      <c r="G27" s="118">
        <f t="shared" ref="G27:G33" si="6">F27/$F$34</f>
        <v>0.26581894999197025</v>
      </c>
    </row>
    <row r="28" spans="2:7" x14ac:dyDescent="0.25">
      <c r="B28" s="116"/>
      <c r="C28" s="117"/>
      <c r="D28" s="140"/>
      <c r="E28" s="206" t="s">
        <v>132</v>
      </c>
      <c r="F28" s="209">
        <f>EconomiaT44!C14</f>
        <v>470268</v>
      </c>
      <c r="G28" s="121">
        <f t="shared" si="6"/>
        <v>4.9296881977561109E-2</v>
      </c>
    </row>
    <row r="29" spans="2:7" x14ac:dyDescent="0.25">
      <c r="B29" s="116" t="s">
        <v>133</v>
      </c>
      <c r="C29" s="117">
        <f>EconomiaT44!S24</f>
        <v>2260935</v>
      </c>
      <c r="D29" s="140">
        <f>C29/$C$34</f>
        <v>0.23700750604748169</v>
      </c>
      <c r="E29" s="206" t="s">
        <v>82</v>
      </c>
      <c r="F29" s="209">
        <f>EconomiaT44!C15</f>
        <v>319514</v>
      </c>
      <c r="G29" s="121">
        <f t="shared" si="6"/>
        <v>3.349376089416771E-2</v>
      </c>
    </row>
    <row r="30" spans="2:7" x14ac:dyDescent="0.25">
      <c r="B30" s="116"/>
      <c r="C30" s="117"/>
      <c r="D30" s="140"/>
      <c r="E30" s="206" t="s">
        <v>85</v>
      </c>
      <c r="F30" s="209">
        <f>EconomiaT44!C17</f>
        <v>1338000</v>
      </c>
      <c r="G30" s="121">
        <f t="shared" si="6"/>
        <v>0.14025880580004754</v>
      </c>
    </row>
    <row r="31" spans="2:7" x14ac:dyDescent="0.25">
      <c r="B31" s="116"/>
      <c r="C31" s="117"/>
      <c r="D31" s="140"/>
      <c r="E31" s="206" t="s">
        <v>86</v>
      </c>
      <c r="F31" s="209">
        <f>EconomiaT44!C18</f>
        <v>320000</v>
      </c>
      <c r="G31" s="121">
        <f t="shared" si="6"/>
        <v>3.3544706917799115E-2</v>
      </c>
    </row>
    <row r="32" spans="2:7" x14ac:dyDescent="0.25">
      <c r="B32" s="116"/>
      <c r="C32" s="117"/>
      <c r="D32" s="140"/>
      <c r="E32" s="206" t="s">
        <v>89</v>
      </c>
      <c r="F32" s="209">
        <f>EconomiaT44!C21</f>
        <v>88000</v>
      </c>
      <c r="G32" s="121">
        <f t="shared" si="6"/>
        <v>9.2247944023947561E-3</v>
      </c>
    </row>
    <row r="33" spans="2:8" x14ac:dyDescent="0.25">
      <c r="B33" s="141"/>
      <c r="C33" s="142"/>
      <c r="D33" s="140"/>
      <c r="E33" s="206" t="s">
        <v>90</v>
      </c>
      <c r="F33" s="209">
        <f>EconomiaT44!C22</f>
        <v>0</v>
      </c>
      <c r="G33" s="121">
        <f t="shared" si="6"/>
        <v>0</v>
      </c>
    </row>
    <row r="34" spans="2:8" ht="18.75" x14ac:dyDescent="0.3">
      <c r="B34" s="143" t="s">
        <v>27</v>
      </c>
      <c r="C34" s="144">
        <f>C22+C17+C11+C6+C29</f>
        <v>9539508</v>
      </c>
      <c r="D34" s="145">
        <f>C34/$C$34</f>
        <v>1</v>
      </c>
      <c r="E34" s="146" t="s">
        <v>27</v>
      </c>
      <c r="F34" s="147">
        <f>F27+F19+F11+F6+F23</f>
        <v>9539508</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56" priority="21" operator="lessThan">
      <formula>0</formula>
    </cfRule>
    <cfRule type="cellIs" dxfId="255" priority="22" operator="greaterThan">
      <formula>0</formula>
    </cfRule>
  </conditionalFormatting>
  <conditionalFormatting sqref="O4">
    <cfRule type="cellIs" dxfId="254" priority="19" operator="lessThan">
      <formula>0</formula>
    </cfRule>
    <cfRule type="cellIs" dxfId="253" priority="20" operator="greaterThan">
      <formula>0</formula>
    </cfRule>
  </conditionalFormatting>
  <conditionalFormatting sqref="T4">
    <cfRule type="cellIs" dxfId="252" priority="17" operator="lessThan">
      <formula>0</formula>
    </cfRule>
    <cfRule type="cellIs" dxfId="251" priority="18" operator="greaterThan">
      <formula>0</formula>
    </cfRule>
  </conditionalFormatting>
  <conditionalFormatting sqref="T4">
    <cfRule type="cellIs" dxfId="250" priority="15" operator="lessThan">
      <formula>0</formula>
    </cfRule>
    <cfRule type="cellIs" dxfId="249" priority="16" operator="greaterThan">
      <formula>0</formula>
    </cfRule>
  </conditionalFormatting>
  <conditionalFormatting sqref="O4 T4 Q4">
    <cfRule type="cellIs" dxfId="248" priority="13" operator="lessThan">
      <formula>0</formula>
    </cfRule>
    <cfRule type="cellIs" dxfId="247" priority="14" operator="greaterThan">
      <formula>0</formula>
    </cfRule>
  </conditionalFormatting>
  <conditionalFormatting sqref="T4">
    <cfRule type="cellIs" dxfId="246" priority="11" operator="lessThan">
      <formula>0</formula>
    </cfRule>
    <cfRule type="cellIs" dxfId="245" priority="12" operator="greaterThan">
      <formula>0</formula>
    </cfRule>
  </conditionalFormatting>
  <conditionalFormatting sqref="O5">
    <cfRule type="cellIs" dxfId="244" priority="9" operator="lessThan">
      <formula>0</formula>
    </cfRule>
    <cfRule type="cellIs" dxfId="243" priority="10" operator="greaterThan">
      <formula>0</formula>
    </cfRule>
  </conditionalFormatting>
  <conditionalFormatting sqref="T5">
    <cfRule type="cellIs" dxfId="242" priority="7" operator="lessThan">
      <formula>0</formula>
    </cfRule>
    <cfRule type="cellIs" dxfId="241" priority="8" operator="greaterThan">
      <formula>0</formula>
    </cfRule>
  </conditionalFormatting>
  <conditionalFormatting sqref="T5">
    <cfRule type="cellIs" dxfId="240" priority="5" operator="lessThan">
      <formula>0</formula>
    </cfRule>
    <cfRule type="cellIs" dxfId="239" priority="6" operator="greaterThan">
      <formula>0</formula>
    </cfRule>
  </conditionalFormatting>
  <conditionalFormatting sqref="O5 T5 Q5">
    <cfRule type="cellIs" dxfId="238" priority="3" operator="lessThan">
      <formula>0</formula>
    </cfRule>
    <cfRule type="cellIs" dxfId="237" priority="4" operator="greaterThan">
      <formula>0</formula>
    </cfRule>
  </conditionalFormatting>
  <conditionalFormatting sqref="T5">
    <cfRule type="cellIs" dxfId="236" priority="1" operator="lessThan">
      <formula>0</formula>
    </cfRule>
    <cfRule type="cellIs" dxfId="235" priority="2" operator="greater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workbookViewId="0">
      <selection activeCell="T14" sqref="T14"/>
    </sheetView>
  </sheetViews>
  <sheetFormatPr defaultColWidth="11.42578125" defaultRowHeight="15" x14ac:dyDescent="0.25"/>
  <cols>
    <col min="1" max="1" width="13.7109375" bestFit="1" customWidth="1"/>
    <col min="2" max="3" width="6.5703125" bestFit="1" customWidth="1"/>
    <col min="4" max="4" width="6.5703125" style="4" bestFit="1" customWidth="1"/>
    <col min="5" max="6" width="6.5703125" bestFit="1" customWidth="1"/>
    <col min="8" max="8" width="13.28515625" bestFit="1" customWidth="1"/>
    <col min="9" max="9" width="5.85546875" bestFit="1" customWidth="1"/>
    <col min="10" max="11" width="5.5703125" bestFit="1" customWidth="1"/>
    <col min="13" max="13" width="13.28515625" bestFit="1" customWidth="1"/>
    <col min="14" max="14" width="5.85546875" bestFit="1" customWidth="1"/>
    <col min="15" max="16" width="5.5703125" bestFit="1" customWidth="1"/>
  </cols>
  <sheetData>
    <row r="1" spans="1:16" x14ac:dyDescent="0.25">
      <c r="A1" s="404" t="s">
        <v>179</v>
      </c>
      <c r="B1" s="404" t="s">
        <v>2</v>
      </c>
      <c r="C1" s="404" t="s">
        <v>578</v>
      </c>
      <c r="D1" s="332" t="s">
        <v>579</v>
      </c>
      <c r="E1" s="332" t="s">
        <v>515</v>
      </c>
      <c r="F1" s="332" t="s">
        <v>516</v>
      </c>
      <c r="H1" s="404" t="s">
        <v>487</v>
      </c>
      <c r="I1" s="404" t="str">
        <f>D1</f>
        <v>N_CA</v>
      </c>
      <c r="J1" s="332" t="s">
        <v>515</v>
      </c>
      <c r="K1" s="332" t="s">
        <v>516</v>
      </c>
      <c r="M1" s="404" t="s">
        <v>487</v>
      </c>
      <c r="N1" s="404" t="str">
        <f>I1</f>
        <v>N_CA</v>
      </c>
      <c r="O1" s="332" t="s">
        <v>515</v>
      </c>
      <c r="P1" s="332" t="s">
        <v>516</v>
      </c>
    </row>
    <row r="2" spans="1:16" x14ac:dyDescent="0.25">
      <c r="A2" t="str">
        <f>PLANTILLA!D7</f>
        <v>B. Pinczehelyi</v>
      </c>
      <c r="B2" s="159">
        <f>PLANTILLA!Y7+1.5+PLANTILLA!J7</f>
        <v>17.440598561837703</v>
      </c>
      <c r="C2" s="159">
        <f>PLANTILLA!AB7+1.5+PLANTILLA!J7</f>
        <v>12.560598561837697</v>
      </c>
      <c r="D2" s="357">
        <f t="shared" ref="D2:D20" si="0">(C2*2+B2)/8</f>
        <v>5.3202244606891371</v>
      </c>
      <c r="E2" s="159">
        <f>D2*PLANTILLA!R7</f>
        <v>4.9255707410075855</v>
      </c>
      <c r="F2" s="159">
        <f>E2*PLANTILLA!S7</f>
        <v>4.922051218771113</v>
      </c>
      <c r="H2" t="str">
        <f>A2</f>
        <v>B. Pinczehelyi</v>
      </c>
      <c r="I2" s="159">
        <f>D2</f>
        <v>5.3202244606891371</v>
      </c>
      <c r="J2" s="159">
        <f t="shared" ref="J2:K2" si="1">E2</f>
        <v>4.9255707410075855</v>
      </c>
      <c r="K2" s="159">
        <f t="shared" si="1"/>
        <v>4.922051218771113</v>
      </c>
      <c r="M2" t="str">
        <f>A2</f>
        <v>B. Pinczehelyi</v>
      </c>
      <c r="N2" s="159">
        <f>D2</f>
        <v>5.3202244606891371</v>
      </c>
      <c r="O2" s="159">
        <f t="shared" ref="O2:P2" si="2">E2</f>
        <v>4.9255707410075855</v>
      </c>
      <c r="P2" s="159">
        <f t="shared" si="2"/>
        <v>4.922051218771113</v>
      </c>
    </row>
    <row r="3" spans="1:16" x14ac:dyDescent="0.25">
      <c r="A3" t="str">
        <f>PLANTILLA!D16</f>
        <v>C. Rojas</v>
      </c>
      <c r="B3" s="159">
        <f>PLANTILLA!Y16+1.5+PLANTILLA!J16</f>
        <v>11.638940766715848</v>
      </c>
      <c r="C3" s="159">
        <f>PLANTILLA!AB16+1.5+PLANTILLA!J16</f>
        <v>13.01138521116029</v>
      </c>
      <c r="D3" s="357">
        <f>(C3*2+B3)/8</f>
        <v>4.707713898629553</v>
      </c>
      <c r="E3" s="159">
        <f>D3*PLANTILLA!R16</f>
        <v>3.558697205547467</v>
      </c>
      <c r="F3" s="159">
        <f>E3*PLANTILLA!S16</f>
        <v>3.0046389311446164</v>
      </c>
      <c r="H3" s="159" t="str">
        <f>A7</f>
        <v>E. Toney</v>
      </c>
      <c r="I3" s="159">
        <f>D7</f>
        <v>5.0798457154087995</v>
      </c>
      <c r="J3" s="159">
        <f t="shared" ref="J3:K3" si="3">E7</f>
        <v>4.293253219742172</v>
      </c>
      <c r="K3" s="159">
        <f t="shared" si="3"/>
        <v>3.9714664261970198</v>
      </c>
      <c r="M3" t="str">
        <f>A7</f>
        <v>E. Toney</v>
      </c>
      <c r="N3" s="159">
        <f>D7</f>
        <v>5.0798457154087995</v>
      </c>
      <c r="O3" s="159">
        <f t="shared" ref="O3:P3" si="4">E7</f>
        <v>4.293253219742172</v>
      </c>
      <c r="P3" s="159">
        <f t="shared" si="4"/>
        <v>3.9714664261970198</v>
      </c>
    </row>
    <row r="4" spans="1:16" x14ac:dyDescent="0.25">
      <c r="A4" t="str">
        <f>PLANTILLA!D12</f>
        <v>E. Romweber</v>
      </c>
      <c r="B4" s="159">
        <f>PLANTILLA!Y12+1.5+PLANTILLA!J12</f>
        <v>15.129232789852018</v>
      </c>
      <c r="C4" s="159">
        <f>PLANTILLA!AB12+1.5+PLANTILLA!J12</f>
        <v>14.068121678740908</v>
      </c>
      <c r="D4" s="357">
        <f t="shared" si="0"/>
        <v>5.4081845184167294</v>
      </c>
      <c r="E4" s="159">
        <f>D4*PLANTILLA!R12</f>
        <v>4.5707501560967927</v>
      </c>
      <c r="F4" s="159">
        <f>E4*PLANTILLA!S12</f>
        <v>4.2281644846849584</v>
      </c>
      <c r="H4" t="str">
        <f t="shared" ref="H4:H6" si="5">A4</f>
        <v>E. Romweber</v>
      </c>
      <c r="I4" s="159">
        <f t="shared" ref="I4:I6" si="6">D4</f>
        <v>5.4081845184167294</v>
      </c>
      <c r="J4" s="159">
        <f t="shared" ref="J4" si="7">E4</f>
        <v>4.5707501560967927</v>
      </c>
      <c r="K4" s="159">
        <f t="shared" ref="K4" si="8">F4</f>
        <v>4.2281644846849584</v>
      </c>
      <c r="M4" t="str">
        <f t="shared" ref="M4" si="9">A4</f>
        <v>E. Romweber</v>
      </c>
      <c r="N4" s="159">
        <f t="shared" ref="N4" si="10">D4</f>
        <v>5.4081845184167294</v>
      </c>
      <c r="O4" s="159">
        <f t="shared" ref="O4" si="11">E4</f>
        <v>4.5707501560967927</v>
      </c>
      <c r="P4" s="159">
        <f t="shared" ref="P4" si="12">F4</f>
        <v>4.2281644846849584</v>
      </c>
    </row>
    <row r="5" spans="1:16" x14ac:dyDescent="0.25">
      <c r="A5" t="str">
        <f>PLANTILLA!D8</f>
        <v>D. Toh</v>
      </c>
      <c r="B5" s="159">
        <f>PLANTILLA!Y8+1.5+PLANTILLA!J8</f>
        <v>13.874837138132932</v>
      </c>
      <c r="C5" s="159">
        <f>PLANTILLA!AB8+1.5+PLANTILLA!J8</f>
        <v>10.520281582577377</v>
      </c>
      <c r="D5" s="357">
        <f t="shared" si="0"/>
        <v>4.3644250379109604</v>
      </c>
      <c r="E5" s="159">
        <f>D5*PLANTILLA!R8</f>
        <v>4.0406724240485472</v>
      </c>
      <c r="F5" s="159">
        <f>E5*PLANTILLA!S8</f>
        <v>4.0377851979392272</v>
      </c>
      <c r="H5" s="159" t="str">
        <f>A12</f>
        <v>B. Bartolache</v>
      </c>
      <c r="I5" s="159">
        <f>D12</f>
        <v>4.8284524256682362</v>
      </c>
      <c r="J5" s="159">
        <f t="shared" ref="J5:K5" si="13">E12</f>
        <v>4.4702783064791847</v>
      </c>
      <c r="K5" s="159">
        <f t="shared" si="13"/>
        <v>4.4670841093535829</v>
      </c>
      <c r="M5" s="159" t="str">
        <f>H5</f>
        <v>B. Bartolache</v>
      </c>
      <c r="N5" s="159">
        <f t="shared" ref="N5:P5" si="14">I5</f>
        <v>4.8284524256682362</v>
      </c>
      <c r="O5" s="159">
        <f t="shared" si="14"/>
        <v>4.4702783064791847</v>
      </c>
      <c r="P5" s="159">
        <f t="shared" si="14"/>
        <v>4.4670841093535829</v>
      </c>
    </row>
    <row r="6" spans="1:16" x14ac:dyDescent="0.25">
      <c r="A6" t="str">
        <f>PLANTILLA!D17</f>
        <v>E. Gross</v>
      </c>
      <c r="B6" s="159">
        <f>PLANTILLA!Y17+1.5+PLANTILLA!J17</f>
        <v>13.474247815661544</v>
      </c>
      <c r="C6" s="159">
        <f>PLANTILLA!AB17+1.5+PLANTILLA!J17</f>
        <v>12.164247815661549</v>
      </c>
      <c r="D6" s="357">
        <f t="shared" si="0"/>
        <v>4.7253429308730803</v>
      </c>
      <c r="E6" s="159">
        <f>D6*PLANTILLA!R17</f>
        <v>2.5258020403344696</v>
      </c>
      <c r="F6" s="159">
        <f>E6*PLANTILLA!S17</f>
        <v>1.6507674008257811</v>
      </c>
      <c r="H6" t="str">
        <f t="shared" si="5"/>
        <v>E. Gross</v>
      </c>
      <c r="I6" s="159">
        <f t="shared" si="6"/>
        <v>4.7253429308730803</v>
      </c>
      <c r="J6" s="159">
        <f t="shared" ref="J6" si="15">E6</f>
        <v>2.5258020403344696</v>
      </c>
      <c r="K6" s="159">
        <f t="shared" ref="K6" si="16">F6</f>
        <v>1.6507674008257811</v>
      </c>
      <c r="N6" s="405"/>
      <c r="O6" s="405"/>
      <c r="P6" s="405"/>
    </row>
    <row r="7" spans="1:16" x14ac:dyDescent="0.25">
      <c r="A7" t="str">
        <f>PLANTILLA!D9</f>
        <v>E. Toney</v>
      </c>
      <c r="B7" s="159">
        <f>PLANTILLA!Y9+1.5+PLANTILLA!J9</f>
        <v>15.279588574423469</v>
      </c>
      <c r="C7" s="159">
        <f>PLANTILLA!AB9+1.5+PLANTILLA!J9</f>
        <v>12.679588574423464</v>
      </c>
      <c r="D7" s="357">
        <f t="shared" si="0"/>
        <v>5.0798457154087995</v>
      </c>
      <c r="E7" s="159">
        <f>D7*PLANTILLA!R9</f>
        <v>4.293253219742172</v>
      </c>
      <c r="F7" s="159">
        <f>E7*PLANTILLA!S9</f>
        <v>3.9714664261970198</v>
      </c>
      <c r="I7" s="422">
        <f>SUM(I2:I6)</f>
        <v>25.362050051055981</v>
      </c>
      <c r="J7" s="422">
        <f t="shared" ref="J7:K7" si="17">SUM(J2:J6)</f>
        <v>20.785654463660205</v>
      </c>
      <c r="K7" s="422">
        <f t="shared" si="17"/>
        <v>19.239533639832455</v>
      </c>
      <c r="L7" s="422"/>
      <c r="M7" s="422"/>
      <c r="N7" s="422">
        <f>SUM(N2:N6)</f>
        <v>20.636707120182901</v>
      </c>
      <c r="O7" s="422">
        <f t="shared" ref="O7:P7" si="18">SUM(O2:O6)</f>
        <v>18.259852423325736</v>
      </c>
      <c r="P7" s="422">
        <f t="shared" si="18"/>
        <v>17.588766239006674</v>
      </c>
    </row>
    <row r="8" spans="1:16" x14ac:dyDescent="0.25">
      <c r="A8" t="str">
        <f>PLANTILLA!D23</f>
        <v>P .Trivadi</v>
      </c>
      <c r="B8" s="159">
        <f>PLANTILLA!Y23+1.5+PLANTILLA!J23</f>
        <v>6.6300118836083151</v>
      </c>
      <c r="C8" s="159">
        <f>PLANTILLA!AB23+1.5+PLANTILLA!J23</f>
        <v>13.610011883608315</v>
      </c>
      <c r="D8" s="357">
        <f t="shared" si="0"/>
        <v>4.2312544563531187</v>
      </c>
      <c r="E8" s="159">
        <f>D8*PLANTILLA!R23</f>
        <v>2.770006261551055</v>
      </c>
      <c r="F8" s="159">
        <f>E8*PLANTILLA!S23</f>
        <v>2.0913088659373753</v>
      </c>
    </row>
    <row r="9" spans="1:16" x14ac:dyDescent="0.25">
      <c r="A9" t="str">
        <f>PLANTILLA!D13</f>
        <v>K. Helms</v>
      </c>
      <c r="B9" s="159">
        <f>PLANTILLA!Y13+1.5+PLANTILLA!J13</f>
        <v>10.20350984555556</v>
      </c>
      <c r="C9" s="159">
        <f>PLANTILLA!AB13+1.5+PLANTILLA!J13</f>
        <v>13.313206815252528</v>
      </c>
      <c r="D9" s="357">
        <f t="shared" si="0"/>
        <v>4.6037404345075768</v>
      </c>
      <c r="E9" s="159">
        <f>D9*PLANTILLA!R13</f>
        <v>4.2622354284027342</v>
      </c>
      <c r="F9" s="159">
        <f>E9*PLANTILLA!S13</f>
        <v>4.2591898864430071</v>
      </c>
    </row>
    <row r="10" spans="1:16" x14ac:dyDescent="0.25">
      <c r="A10" t="str">
        <f>PLANTILLA!D21</f>
        <v>J. Limon</v>
      </c>
      <c r="B10" s="159">
        <f>PLANTILLA!Y21+1.5+PLANTILLA!J21</f>
        <v>9.8138990071495407</v>
      </c>
      <c r="C10" s="159">
        <f>PLANTILLA!AB21+1.5+PLANTILLA!J21</f>
        <v>12.976279959530491</v>
      </c>
      <c r="D10" s="357">
        <f t="shared" si="0"/>
        <v>4.4708073657763148</v>
      </c>
      <c r="E10" s="159">
        <f>D10*PLANTILLA!R21</f>
        <v>4.4708073657763148</v>
      </c>
      <c r="F10" s="159">
        <f>E10*PLANTILLA!S21</f>
        <v>4.4708073657763148</v>
      </c>
      <c r="H10" s="159"/>
    </row>
    <row r="11" spans="1:16" x14ac:dyDescent="0.25">
      <c r="A11" t="str">
        <f>PLANTILLA!D22</f>
        <v>L. Calosso</v>
      </c>
      <c r="B11" s="159">
        <f>PLANTILLA!Y22+1.5+PLANTILLA!J22</f>
        <v>6.0096950608743516</v>
      </c>
      <c r="C11" s="159">
        <f>PLANTILLA!AB22+1.5+PLANTILLA!J22</f>
        <v>18.009695060874353</v>
      </c>
      <c r="D11" s="357">
        <f t="shared" si="0"/>
        <v>5.2536356478278821</v>
      </c>
      <c r="E11" s="159">
        <f>D11*PLANTILLA!R22</f>
        <v>4.8639214796406423</v>
      </c>
      <c r="F11" s="159">
        <f>E11*PLANTILLA!S22</f>
        <v>4.8604460083289567</v>
      </c>
    </row>
    <row r="12" spans="1:16" x14ac:dyDescent="0.25">
      <c r="A12" t="str">
        <f>PLANTILLA!D10</f>
        <v>B. Bartolache</v>
      </c>
      <c r="B12" s="159">
        <f>PLANTILLA!Y10+1.5+PLANTILLA!J10</f>
        <v>14.90920646844863</v>
      </c>
      <c r="C12" s="159">
        <f>PLANTILLA!AB10+1.5+PLANTILLA!J10</f>
        <v>11.85920646844863</v>
      </c>
      <c r="D12" s="357">
        <f t="shared" si="0"/>
        <v>4.8284524256682362</v>
      </c>
      <c r="E12" s="159">
        <f>D12*PLANTILLA!R10</f>
        <v>4.4702783064791847</v>
      </c>
      <c r="F12" s="159">
        <f>E12*PLANTILLA!S10</f>
        <v>4.4670841093535829</v>
      </c>
    </row>
    <row r="13" spans="1:16" x14ac:dyDescent="0.25">
      <c r="A13" t="str">
        <f>PLANTILLA!D14</f>
        <v>S. Zobbe</v>
      </c>
      <c r="B13" s="159">
        <f>PLANTILLA!Y14+1.5+PLANTILLA!J14</f>
        <v>11.274263787138146</v>
      </c>
      <c r="C13" s="159">
        <f>PLANTILLA!AB14+1.5+PLANTILLA!J14</f>
        <v>13.154263787138149</v>
      </c>
      <c r="D13" s="357">
        <f t="shared" si="0"/>
        <v>4.6978489201768054</v>
      </c>
      <c r="E13" s="159">
        <f>D13*PLANTILLA!R14</f>
        <v>4.3493629559944633</v>
      </c>
      <c r="F13" s="159">
        <f>E13*PLANTILLA!S14</f>
        <v>4.3462551578441557</v>
      </c>
    </row>
    <row r="14" spans="1:16" x14ac:dyDescent="0.25">
      <c r="A14" t="str">
        <f>PLANTILLA!D15</f>
        <v>S. Buschelman</v>
      </c>
      <c r="B14" s="159">
        <f>PLANTILLA!Y15+1.5+PLANTILLA!J15</f>
        <v>12.279946626197155</v>
      </c>
      <c r="C14" s="159">
        <f>PLANTILLA!AB15+1.5+PLANTILLA!J15</f>
        <v>12.976279959530491</v>
      </c>
      <c r="D14" s="357">
        <f t="shared" si="0"/>
        <v>4.7790633181572666</v>
      </c>
      <c r="E14" s="159">
        <f>D14*PLANTILLA!R15</f>
        <v>4.4245528780357013</v>
      </c>
      <c r="F14" s="159">
        <f>E14*PLANTILLA!S15</f>
        <v>4.421391353603406</v>
      </c>
    </row>
    <row r="15" spans="1:16" x14ac:dyDescent="0.25">
      <c r="A15" t="str">
        <f>PLANTILLA!D6</f>
        <v>T. Hammond</v>
      </c>
      <c r="B15" s="159">
        <f>PLANTILLA!Y6+1.5+PLANTILLA!J6</f>
        <v>12.735050436460739</v>
      </c>
      <c r="C15" s="159">
        <f>PLANTILLA!AB6+1.5+PLANTILLA!J6</f>
        <v>8.7350504364607406</v>
      </c>
      <c r="D15" s="357">
        <f t="shared" si="0"/>
        <v>3.7756439136727775</v>
      </c>
      <c r="E15" s="159">
        <f>D15*PLANTILLA!R6</f>
        <v>2.8541185242036549</v>
      </c>
      <c r="F15" s="159">
        <f>E15*PLANTILLA!S6</f>
        <v>2.4097570365231613</v>
      </c>
    </row>
    <row r="16" spans="1:16" x14ac:dyDescent="0.25">
      <c r="A16" t="str">
        <f>PLANTILLA!D11</f>
        <v>F. Lasprilla</v>
      </c>
      <c r="B16" s="159">
        <f>PLANTILLA!Y11+1.5+PLANTILLA!J11</f>
        <v>12.17045406593811</v>
      </c>
      <c r="C16" s="159">
        <f>PLANTILLA!AB11+1.5+PLANTILLA!J11</f>
        <v>11.429120732604774</v>
      </c>
      <c r="D16" s="357">
        <f t="shared" si="0"/>
        <v>4.3785869413934577</v>
      </c>
      <c r="E16" s="159">
        <f>D16*PLANTILLA!R11</f>
        <v>3.7005813832174028</v>
      </c>
      <c r="F16" s="159">
        <f>E16*PLANTILLA!S11</f>
        <v>3.4232163743046686</v>
      </c>
    </row>
    <row r="17" spans="1:6" x14ac:dyDescent="0.25">
      <c r="A17" t="str">
        <f>PLANTILLA!D18</f>
        <v>L. Bauman</v>
      </c>
      <c r="B17" s="159">
        <f>PLANTILLA!Y18+1.5+PLANTILLA!J18</f>
        <v>8.3204888968428179</v>
      </c>
      <c r="C17" s="159">
        <f>PLANTILLA!AB18+1.5+PLANTILLA!J18</f>
        <v>11.996044452398378</v>
      </c>
      <c r="D17" s="357">
        <f t="shared" si="0"/>
        <v>4.0390722252049471</v>
      </c>
      <c r="E17" s="159">
        <f>D17*PLANTILLA!R18</f>
        <v>3.7394542505277855</v>
      </c>
      <c r="F17" s="159">
        <f>E17*PLANTILLA!S18</f>
        <v>3.7367822571530009</v>
      </c>
    </row>
    <row r="18" spans="1:6" x14ac:dyDescent="0.25">
      <c r="A18" t="str">
        <f>PLANTILLA!D19</f>
        <v>W. Gelifini</v>
      </c>
      <c r="B18" s="159">
        <f>PLANTILLA!Y19+1.5+PLANTILLA!J19</f>
        <v>8.1280805686528428</v>
      </c>
      <c r="C18" s="159">
        <f>PLANTILLA!AB19+1.5+PLANTILLA!J19</f>
        <v>11.743191679763955</v>
      </c>
      <c r="D18" s="357">
        <f t="shared" si="0"/>
        <v>3.9518079910225943</v>
      </c>
      <c r="E18" s="159">
        <f>D18*PLANTILLA!R19</f>
        <v>3.3398873374828968</v>
      </c>
      <c r="F18" s="159">
        <f>E18*PLANTILLA!S19</f>
        <v>3.0895569744405744</v>
      </c>
    </row>
    <row r="19" spans="1:6" x14ac:dyDescent="0.25">
      <c r="A19" t="e">
        <f>PLANTILLA!#REF!</f>
        <v>#REF!</v>
      </c>
      <c r="B19" s="159" t="e">
        <f>PLANTILLA!#REF!+1.5+PLANTILLA!#REF!</f>
        <v>#REF!</v>
      </c>
      <c r="C19" s="159" t="e">
        <f>PLANTILLA!#REF!+1.5+PLANTILLA!#REF!</f>
        <v>#REF!</v>
      </c>
      <c r="D19" s="357" t="e">
        <f t="shared" si="0"/>
        <v>#REF!</v>
      </c>
      <c r="E19" s="159" t="e">
        <f>D19*PLANTILLA!#REF!</f>
        <v>#REF!</v>
      </c>
      <c r="F19" s="159" t="e">
        <f>E19*PLANTILLA!#REF!</f>
        <v>#REF!</v>
      </c>
    </row>
    <row r="20" spans="1:6" x14ac:dyDescent="0.25">
      <c r="A20" t="str">
        <f>PLANTILLA!D5</f>
        <v>D. Gehmacher</v>
      </c>
      <c r="B20" s="159">
        <f>PLANTILLA!Y5+1.5+PLANTILLA!J5</f>
        <v>15.351732245144428</v>
      </c>
      <c r="C20" s="159">
        <f>PLANTILLA!AB5+1.5+PLANTILLA!J5</f>
        <v>4.3111728045849835</v>
      </c>
      <c r="D20" s="357">
        <f t="shared" si="0"/>
        <v>2.9967597317892993</v>
      </c>
      <c r="E20" s="159">
        <f>D20*PLANTILLA!R5</f>
        <v>2.5327242377208146</v>
      </c>
      <c r="F20" s="159">
        <f>E20*PLANTILLA!S5</f>
        <v>2.3428921524288095</v>
      </c>
    </row>
    <row r="21" spans="1:6" x14ac:dyDescent="0.25">
      <c r="B21" s="159"/>
      <c r="C21" s="159"/>
      <c r="D21" s="357"/>
      <c r="E21" s="159"/>
      <c r="F21" s="159"/>
    </row>
    <row r="22" spans="1:6" x14ac:dyDescent="0.25">
      <c r="B22" s="159"/>
      <c r="C22" s="159"/>
      <c r="D22" s="357"/>
      <c r="E22" s="159"/>
      <c r="F22" s="159"/>
    </row>
    <row r="23" spans="1:6" x14ac:dyDescent="0.25">
      <c r="B23" s="159"/>
      <c r="C23" s="159"/>
      <c r="D23" s="357"/>
      <c r="E23" s="159"/>
      <c r="F23" s="159"/>
    </row>
    <row r="24" spans="1:6" x14ac:dyDescent="0.25">
      <c r="B24">
        <v>12</v>
      </c>
      <c r="C24">
        <v>7</v>
      </c>
      <c r="D24" s="357">
        <f t="shared" ref="D24" si="19">(C24*2+B24)/8</f>
        <v>3.25</v>
      </c>
    </row>
    <row r="25" spans="1:6" x14ac:dyDescent="0.25">
      <c r="B25">
        <v>12</v>
      </c>
      <c r="C25">
        <v>7</v>
      </c>
      <c r="D25" s="357">
        <f t="shared" ref="D25:D28" si="20">(C25*2+B25)/8</f>
        <v>3.25</v>
      </c>
    </row>
    <row r="26" spans="1:6" x14ac:dyDescent="0.25">
      <c r="B26">
        <v>12</v>
      </c>
      <c r="C26">
        <v>7</v>
      </c>
      <c r="D26" s="357">
        <f t="shared" si="20"/>
        <v>3.25</v>
      </c>
    </row>
    <row r="27" spans="1:6" x14ac:dyDescent="0.25">
      <c r="B27">
        <v>12</v>
      </c>
      <c r="C27">
        <v>7</v>
      </c>
      <c r="D27" s="357">
        <f t="shared" si="20"/>
        <v>3.25</v>
      </c>
    </row>
    <row r="28" spans="1:6" x14ac:dyDescent="0.25">
      <c r="B28">
        <v>12</v>
      </c>
      <c r="C28">
        <v>7</v>
      </c>
      <c r="D28" s="357">
        <f t="shared" si="20"/>
        <v>3.25</v>
      </c>
    </row>
  </sheetData>
  <sortState ref="A2:F20">
    <sortCondition descending="1" ref="E2:E20"/>
  </sortState>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defaultColWidth="11.42578125" defaultRowHeight="15" x14ac:dyDescent="0.25"/>
  <cols>
    <col min="1" max="1" width="23" style="4" bestFit="1" customWidth="1"/>
    <col min="2" max="2" width="16" style="4" customWidth="1"/>
    <col min="3" max="3" width="18.28515625" style="4" bestFit="1" customWidth="1"/>
    <col min="4" max="4" width="16.7109375" style="36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EconomiaT44!S25</f>
        <v>41964</v>
      </c>
      <c r="E2" s="55">
        <f t="shared" ref="E2:S2" si="0">D2+7</f>
        <v>41971</v>
      </c>
      <c r="F2" s="55">
        <f t="shared" si="0"/>
        <v>41978</v>
      </c>
      <c r="G2" s="55">
        <f t="shared" si="0"/>
        <v>41985</v>
      </c>
      <c r="H2" s="55">
        <f t="shared" si="0"/>
        <v>41992</v>
      </c>
      <c r="I2" s="55">
        <f t="shared" si="0"/>
        <v>41999</v>
      </c>
      <c r="J2" s="55">
        <f t="shared" si="0"/>
        <v>42006</v>
      </c>
      <c r="K2" s="55">
        <f t="shared" si="0"/>
        <v>42013</v>
      </c>
      <c r="L2" s="55">
        <f t="shared" si="0"/>
        <v>42020</v>
      </c>
      <c r="M2" s="55">
        <f t="shared" si="0"/>
        <v>42027</v>
      </c>
      <c r="N2" s="55">
        <f t="shared" si="0"/>
        <v>42034</v>
      </c>
      <c r="O2" s="55">
        <f t="shared" si="0"/>
        <v>42041</v>
      </c>
      <c r="P2" s="55">
        <f t="shared" si="0"/>
        <v>42048</v>
      </c>
      <c r="Q2" s="55">
        <f t="shared" si="0"/>
        <v>42055</v>
      </c>
      <c r="R2" s="55">
        <f t="shared" si="0"/>
        <v>42062</v>
      </c>
      <c r="S2" s="55">
        <f t="shared" si="0"/>
        <v>42069</v>
      </c>
      <c r="T2" s="56"/>
    </row>
    <row r="3" spans="1:26" s="366" customFormat="1" x14ac:dyDescent="0.25">
      <c r="A3" s="327"/>
      <c r="B3" s="327" t="s">
        <v>483</v>
      </c>
      <c r="C3" s="327"/>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EconomiaT44!S4+9</f>
        <v>1844.2</v>
      </c>
      <c r="E4" s="61">
        <f t="shared" ref="E4:S4" si="1">D4+(D11/30)</f>
        <v>1856.2</v>
      </c>
      <c r="F4" s="61">
        <f t="shared" si="1"/>
        <v>1870.2</v>
      </c>
      <c r="G4" s="61">
        <f t="shared" si="1"/>
        <v>1874.2</v>
      </c>
      <c r="H4" s="61">
        <f t="shared" si="1"/>
        <v>1878.2</v>
      </c>
      <c r="I4" s="61">
        <f t="shared" si="1"/>
        <v>1888.2</v>
      </c>
      <c r="J4" s="61">
        <f t="shared" si="1"/>
        <v>1902.2</v>
      </c>
      <c r="K4" s="61">
        <f t="shared" si="1"/>
        <v>1916.2</v>
      </c>
      <c r="L4" s="61">
        <f t="shared" si="1"/>
        <v>1930.2</v>
      </c>
      <c r="M4" s="61">
        <f t="shared" si="1"/>
        <v>1944.2</v>
      </c>
      <c r="N4" s="61">
        <f t="shared" si="1"/>
        <v>1958.2</v>
      </c>
      <c r="O4" s="61">
        <f t="shared" si="1"/>
        <v>1974.2</v>
      </c>
      <c r="P4" s="61">
        <f t="shared" si="1"/>
        <v>1986.2</v>
      </c>
      <c r="Q4" s="61">
        <f t="shared" si="1"/>
        <v>1998.2</v>
      </c>
      <c r="R4" s="61">
        <f t="shared" si="1"/>
        <v>2010.2</v>
      </c>
      <c r="S4" s="212">
        <f t="shared" si="1"/>
        <v>2022.2</v>
      </c>
    </row>
    <row r="5" spans="1:26" s="66" customFormat="1" ht="18.75" x14ac:dyDescent="0.3">
      <c r="A5" s="62" t="s">
        <v>70</v>
      </c>
      <c r="B5" s="62"/>
      <c r="C5" s="63">
        <f>EconomiaT44!C24-640</f>
        <v>2260295</v>
      </c>
      <c r="D5" s="64">
        <f>C5</f>
        <v>2260295</v>
      </c>
      <c r="E5" s="64">
        <f t="shared" ref="E5:Q5" si="2">D24</f>
        <v>2198239</v>
      </c>
      <c r="F5" s="64">
        <f t="shared" si="2"/>
        <v>1250058</v>
      </c>
      <c r="G5" s="64">
        <f t="shared" si="2"/>
        <v>1654432</v>
      </c>
      <c r="H5" s="64">
        <f t="shared" si="2"/>
        <v>1823801</v>
      </c>
      <c r="I5" s="64">
        <f t="shared" si="2"/>
        <v>1806026</v>
      </c>
      <c r="J5" s="64">
        <f t="shared" si="2"/>
        <v>2016338</v>
      </c>
      <c r="K5" s="64">
        <f t="shared" si="2"/>
        <v>1930287</v>
      </c>
      <c r="L5" s="64">
        <f t="shared" si="2"/>
        <v>2184549</v>
      </c>
      <c r="M5" s="64">
        <f t="shared" si="2"/>
        <v>2107186</v>
      </c>
      <c r="N5" s="64">
        <f t="shared" si="2"/>
        <v>2333159</v>
      </c>
      <c r="O5" s="64">
        <f t="shared" si="2"/>
        <v>2242761</v>
      </c>
      <c r="P5" s="64">
        <f t="shared" si="2"/>
        <v>2459387</v>
      </c>
      <c r="Q5" s="64">
        <f t="shared" si="2"/>
        <v>2377062</v>
      </c>
      <c r="R5" s="64">
        <f>Q24</f>
        <v>2288926</v>
      </c>
      <c r="S5" s="65">
        <f>R24</f>
        <v>2528517</v>
      </c>
    </row>
    <row r="6" spans="1:26" x14ac:dyDescent="0.25">
      <c r="A6" s="67" t="s">
        <v>71</v>
      </c>
      <c r="B6" s="67" t="s">
        <v>71</v>
      </c>
      <c r="C6" s="68">
        <f t="shared" ref="C6:C23" si="3">SUM(D6:S6)</f>
        <v>2802198</v>
      </c>
      <c r="D6" s="69">
        <v>39395</v>
      </c>
      <c r="E6" s="69">
        <v>200970</v>
      </c>
      <c r="F6" s="69">
        <f>190250+288040</f>
        <v>478290</v>
      </c>
      <c r="G6" s="69">
        <f>62413+194322</f>
        <v>256735</v>
      </c>
      <c r="H6" s="69">
        <v>80411</v>
      </c>
      <c r="I6" s="69">
        <f>32364+274159+3000</f>
        <v>309523</v>
      </c>
      <c r="J6" s="69">
        <v>15235</v>
      </c>
      <c r="K6" s="69">
        <v>315976</v>
      </c>
      <c r="L6" s="69">
        <v>20463</v>
      </c>
      <c r="M6" s="69">
        <f>306257+21467</f>
        <v>327724</v>
      </c>
      <c r="N6" s="69">
        <v>13271</v>
      </c>
      <c r="O6" s="69">
        <v>323332</v>
      </c>
      <c r="P6" s="69">
        <v>18011</v>
      </c>
      <c r="Q6" s="69">
        <v>17830</v>
      </c>
      <c r="R6" s="69">
        <v>347842</v>
      </c>
      <c r="S6" s="70">
        <v>37190</v>
      </c>
      <c r="Y6" s="67" t="s">
        <v>71</v>
      </c>
      <c r="Z6" s="71">
        <f>C6/$C$13</f>
        <v>0.53701788706633413</v>
      </c>
    </row>
    <row r="7" spans="1:26" x14ac:dyDescent="0.25">
      <c r="A7" s="67" t="s">
        <v>72</v>
      </c>
      <c r="B7" s="67" t="s">
        <v>72</v>
      </c>
      <c r="C7" s="68">
        <f t="shared" si="3"/>
        <v>1358155</v>
      </c>
      <c r="D7" s="72">
        <v>70675</v>
      </c>
      <c r="E7" s="72">
        <v>75855</v>
      </c>
      <c r="F7" s="373">
        <v>80000</v>
      </c>
      <c r="G7" s="373">
        <v>82000</v>
      </c>
      <c r="H7" s="373">
        <v>83000</v>
      </c>
      <c r="I7" s="72">
        <v>84735</v>
      </c>
      <c r="J7" s="72">
        <v>85660</v>
      </c>
      <c r="K7" s="72">
        <v>86400</v>
      </c>
      <c r="L7" s="72">
        <v>87140</v>
      </c>
      <c r="M7" s="72">
        <v>87695</v>
      </c>
      <c r="N7" s="72">
        <f>M7+500</f>
        <v>88195</v>
      </c>
      <c r="O7" s="72">
        <v>88620</v>
      </c>
      <c r="P7" s="72">
        <v>88990</v>
      </c>
      <c r="Q7" s="72">
        <f>P7+370</f>
        <v>89360</v>
      </c>
      <c r="R7" s="72">
        <v>89730</v>
      </c>
      <c r="S7" s="70">
        <v>90100</v>
      </c>
      <c r="Y7" s="67" t="s">
        <v>72</v>
      </c>
      <c r="Z7" s="71">
        <f t="shared" ref="Z7:Z12" si="4">C7/$C$13</f>
        <v>0.2602790839221843</v>
      </c>
    </row>
    <row r="8" spans="1:26" x14ac:dyDescent="0.25">
      <c r="A8" s="67" t="s">
        <v>73</v>
      </c>
      <c r="B8" s="67" t="s">
        <v>74</v>
      </c>
      <c r="C8" s="68">
        <f t="shared" si="3"/>
        <v>44127</v>
      </c>
      <c r="D8" s="69">
        <v>0</v>
      </c>
      <c r="E8" s="69">
        <v>0</v>
      </c>
      <c r="F8" s="69">
        <v>0</v>
      </c>
      <c r="G8" s="69">
        <v>0</v>
      </c>
      <c r="H8" s="69">
        <v>0</v>
      </c>
      <c r="I8" s="69">
        <v>0</v>
      </c>
      <c r="J8" s="69">
        <v>0</v>
      </c>
      <c r="K8" s="69">
        <v>42222</v>
      </c>
      <c r="L8" s="69">
        <v>0</v>
      </c>
      <c r="M8" s="69">
        <v>0</v>
      </c>
      <c r="N8" s="69">
        <v>0</v>
      </c>
      <c r="O8" s="69">
        <v>0</v>
      </c>
      <c r="P8" s="69">
        <v>0</v>
      </c>
      <c r="Q8" s="69">
        <v>0</v>
      </c>
      <c r="R8" s="69">
        <v>1905</v>
      </c>
      <c r="S8" s="70">
        <v>0</v>
      </c>
      <c r="Y8" s="67" t="s">
        <v>74</v>
      </c>
      <c r="Z8" s="71">
        <f t="shared" si="4"/>
        <v>8.4565716992789676E-3</v>
      </c>
    </row>
    <row r="9" spans="1:26" x14ac:dyDescent="0.25">
      <c r="A9" s="67"/>
      <c r="B9" s="67" t="s">
        <v>75</v>
      </c>
      <c r="C9" s="68">
        <f t="shared" si="3"/>
        <v>40850</v>
      </c>
      <c r="D9" s="69">
        <v>0</v>
      </c>
      <c r="E9" s="69">
        <v>0</v>
      </c>
      <c r="F9" s="69">
        <v>29450</v>
      </c>
      <c r="G9" s="69">
        <v>0</v>
      </c>
      <c r="H9" s="69">
        <v>0</v>
      </c>
      <c r="I9" s="69">
        <v>0</v>
      </c>
      <c r="J9" s="69">
        <v>0</v>
      </c>
      <c r="K9" s="69">
        <v>0</v>
      </c>
      <c r="L9" s="69">
        <v>0</v>
      </c>
      <c r="M9" s="69">
        <v>0</v>
      </c>
      <c r="N9" s="69">
        <v>0</v>
      </c>
      <c r="O9" s="69">
        <v>0</v>
      </c>
      <c r="P9" s="69">
        <v>0</v>
      </c>
      <c r="Q9" s="69">
        <v>0</v>
      </c>
      <c r="R9" s="69">
        <v>0</v>
      </c>
      <c r="S9" s="70">
        <v>11400</v>
      </c>
      <c r="Y9" s="67" t="s">
        <v>75</v>
      </c>
      <c r="Z9" s="71">
        <f t="shared" si="4"/>
        <v>7.8285619669487116E-3</v>
      </c>
    </row>
    <row r="10" spans="1:26" x14ac:dyDescent="0.25">
      <c r="A10" s="67" t="s">
        <v>76</v>
      </c>
      <c r="B10" s="67" t="s">
        <v>76</v>
      </c>
      <c r="C10" s="68">
        <f t="shared" si="3"/>
        <v>473</v>
      </c>
      <c r="D10" s="72">
        <v>0</v>
      </c>
      <c r="E10" s="72">
        <v>0</v>
      </c>
      <c r="F10" s="72">
        <v>0</v>
      </c>
      <c r="G10" s="72">
        <v>0</v>
      </c>
      <c r="H10" s="72">
        <v>0</v>
      </c>
      <c r="I10" s="72">
        <v>0</v>
      </c>
      <c r="J10" s="72">
        <v>0</v>
      </c>
      <c r="K10" s="72">
        <v>0</v>
      </c>
      <c r="L10" s="72">
        <v>0</v>
      </c>
      <c r="M10" s="72">
        <v>0</v>
      </c>
      <c r="N10" s="72">
        <v>0</v>
      </c>
      <c r="O10" s="72">
        <v>0</v>
      </c>
      <c r="P10" s="72">
        <v>0</v>
      </c>
      <c r="Q10" s="72">
        <v>0</v>
      </c>
      <c r="R10" s="72">
        <v>0</v>
      </c>
      <c r="S10" s="70">
        <v>473</v>
      </c>
      <c r="Y10" s="67" t="s">
        <v>76</v>
      </c>
      <c r="Z10" s="71">
        <f t="shared" si="4"/>
        <v>9.0646506985721931E-5</v>
      </c>
    </row>
    <row r="11" spans="1:26" x14ac:dyDescent="0.25">
      <c r="A11" s="715" t="s">
        <v>77</v>
      </c>
      <c r="B11" s="67" t="s">
        <v>78</v>
      </c>
      <c r="C11" s="68">
        <f t="shared" si="3"/>
        <v>72269</v>
      </c>
      <c r="D11" s="72">
        <v>360</v>
      </c>
      <c r="E11" s="72">
        <v>420</v>
      </c>
      <c r="F11" s="72">
        <v>120</v>
      </c>
      <c r="G11" s="72">
        <v>120</v>
      </c>
      <c r="H11" s="72">
        <v>300</v>
      </c>
      <c r="I11" s="72">
        <v>420</v>
      </c>
      <c r="J11" s="72">
        <v>420</v>
      </c>
      <c r="K11" s="72">
        <v>420</v>
      </c>
      <c r="L11" s="72">
        <f t="shared" ref="L11" si="5">K11</f>
        <v>420</v>
      </c>
      <c r="M11" s="72">
        <v>420</v>
      </c>
      <c r="N11" s="72">
        <v>480</v>
      </c>
      <c r="O11" s="72">
        <v>360</v>
      </c>
      <c r="P11" s="72">
        <f>180*2</f>
        <v>360</v>
      </c>
      <c r="Q11" s="72">
        <f>180*2</f>
        <v>360</v>
      </c>
      <c r="R11" s="72">
        <f>180*2</f>
        <v>360</v>
      </c>
      <c r="S11" s="70">
        <v>66929</v>
      </c>
      <c r="Y11" s="67" t="s">
        <v>78</v>
      </c>
      <c r="Z11" s="71">
        <f t="shared" si="4"/>
        <v>1.3849751402433696E-2</v>
      </c>
    </row>
    <row r="12" spans="1:26" x14ac:dyDescent="0.25">
      <c r="A12" s="716"/>
      <c r="B12" s="67" t="s">
        <v>79</v>
      </c>
      <c r="C12" s="68">
        <f t="shared" si="3"/>
        <v>900000</v>
      </c>
      <c r="D12" s="72">
        <v>0</v>
      </c>
      <c r="E12" s="72">
        <v>0</v>
      </c>
      <c r="F12" s="72">
        <v>0</v>
      </c>
      <c r="G12" s="72">
        <v>0</v>
      </c>
      <c r="H12" s="72">
        <v>0</v>
      </c>
      <c r="I12" s="72">
        <v>0</v>
      </c>
      <c r="J12" s="72">
        <v>0</v>
      </c>
      <c r="K12" s="72">
        <v>0</v>
      </c>
      <c r="L12" s="72">
        <v>0</v>
      </c>
      <c r="M12" s="72">
        <v>0</v>
      </c>
      <c r="N12" s="72">
        <v>0</v>
      </c>
      <c r="O12" s="72">
        <v>0</v>
      </c>
      <c r="P12" s="72">
        <v>0</v>
      </c>
      <c r="Q12" s="72">
        <v>0</v>
      </c>
      <c r="R12" s="72">
        <v>0</v>
      </c>
      <c r="S12" s="70">
        <v>900000</v>
      </c>
      <c r="Y12" s="67" t="s">
        <v>79</v>
      </c>
      <c r="Z12" s="71">
        <f t="shared" si="4"/>
        <v>0.17247749743583454</v>
      </c>
    </row>
    <row r="13" spans="1:26" s="78" customFormat="1" ht="18.75" x14ac:dyDescent="0.3">
      <c r="A13" s="73" t="s">
        <v>80</v>
      </c>
      <c r="B13" s="74"/>
      <c r="C13" s="75">
        <f t="shared" si="3"/>
        <v>5218072</v>
      </c>
      <c r="D13" s="76">
        <f t="shared" ref="D13:H13" si="6">SUM(D6:D12)</f>
        <v>110430</v>
      </c>
      <c r="E13" s="76">
        <f t="shared" si="6"/>
        <v>277245</v>
      </c>
      <c r="F13" s="76">
        <f>F12+F11+F10+F9+F8+F7+F6</f>
        <v>587860</v>
      </c>
      <c r="G13" s="76">
        <f t="shared" si="6"/>
        <v>338855</v>
      </c>
      <c r="H13" s="76">
        <f t="shared" si="6"/>
        <v>163711</v>
      </c>
      <c r="I13" s="76">
        <f t="shared" ref="I13:S13" si="7">SUM(I6:I12)</f>
        <v>394678</v>
      </c>
      <c r="J13" s="76">
        <f t="shared" si="7"/>
        <v>101315</v>
      </c>
      <c r="K13" s="76">
        <f t="shared" si="7"/>
        <v>445018</v>
      </c>
      <c r="L13" s="76">
        <f t="shared" si="7"/>
        <v>108023</v>
      </c>
      <c r="M13" s="76">
        <f t="shared" si="7"/>
        <v>415839</v>
      </c>
      <c r="N13" s="76">
        <f t="shared" si="7"/>
        <v>101946</v>
      </c>
      <c r="O13" s="76">
        <f t="shared" si="7"/>
        <v>412312</v>
      </c>
      <c r="P13" s="76">
        <f t="shared" si="7"/>
        <v>107361</v>
      </c>
      <c r="Q13" s="76">
        <f t="shared" si="7"/>
        <v>107550</v>
      </c>
      <c r="R13" s="76">
        <f t="shared" si="7"/>
        <v>439837</v>
      </c>
      <c r="S13" s="77">
        <f t="shared" si="7"/>
        <v>1106092</v>
      </c>
      <c r="Z13" s="79">
        <f>SUM(Z6:Z12)</f>
        <v>1.0000000000000002</v>
      </c>
    </row>
    <row r="14" spans="1:26" ht="18.75" x14ac:dyDescent="0.3">
      <c r="A14" s="80" t="s">
        <v>81</v>
      </c>
      <c r="B14" s="81" t="str">
        <f>A14</f>
        <v>Sueldos</v>
      </c>
      <c r="C14" s="82">
        <f t="shared" si="3"/>
        <v>604148</v>
      </c>
      <c r="D14" s="83">
        <v>33360</v>
      </c>
      <c r="E14" s="83">
        <f>D14</f>
        <v>33360</v>
      </c>
      <c r="F14" s="372">
        <f>E14</f>
        <v>33360</v>
      </c>
      <c r="G14" s="372">
        <f>F14</f>
        <v>33360</v>
      </c>
      <c r="H14" s="372">
        <f>G14</f>
        <v>33360</v>
      </c>
      <c r="I14" s="83">
        <v>36240</v>
      </c>
      <c r="J14" s="83">
        <f>I14</f>
        <v>36240</v>
      </c>
      <c r="K14" s="83">
        <v>36630</v>
      </c>
      <c r="L14" s="83">
        <v>36260</v>
      </c>
      <c r="M14" s="83">
        <v>39740</v>
      </c>
      <c r="N14" s="83">
        <f>O14-342</f>
        <v>41218</v>
      </c>
      <c r="O14" s="83">
        <v>41560</v>
      </c>
      <c r="P14" s="83">
        <v>41560</v>
      </c>
      <c r="Q14" s="83">
        <v>41560</v>
      </c>
      <c r="R14" s="83">
        <v>43120</v>
      </c>
      <c r="S14" s="70">
        <v>43220</v>
      </c>
      <c r="Y14" s="717">
        <f>C13</f>
        <v>5218072</v>
      </c>
      <c r="Z14" s="718"/>
    </row>
    <row r="15" spans="1:26" x14ac:dyDescent="0.25">
      <c r="A15" s="80" t="s">
        <v>82</v>
      </c>
      <c r="B15" s="81" t="str">
        <f>A15</f>
        <v xml:space="preserve">Mantenimiento </v>
      </c>
      <c r="C15" s="82">
        <f t="shared" si="3"/>
        <v>322016</v>
      </c>
      <c r="D15" s="83">
        <v>20126</v>
      </c>
      <c r="E15" s="83">
        <v>20126</v>
      </c>
      <c r="F15" s="83">
        <v>20126</v>
      </c>
      <c r="G15" s="83">
        <v>20126</v>
      </c>
      <c r="H15" s="83">
        <v>20126</v>
      </c>
      <c r="I15" s="83">
        <v>20126</v>
      </c>
      <c r="J15" s="83">
        <f t="shared" ref="J15:S15" si="8">I15</f>
        <v>20126</v>
      </c>
      <c r="K15" s="83">
        <f t="shared" si="8"/>
        <v>20126</v>
      </c>
      <c r="L15" s="83">
        <f t="shared" si="8"/>
        <v>20126</v>
      </c>
      <c r="M15" s="83">
        <f t="shared" si="8"/>
        <v>20126</v>
      </c>
      <c r="N15" s="83">
        <f t="shared" si="8"/>
        <v>20126</v>
      </c>
      <c r="O15" s="83">
        <f t="shared" si="8"/>
        <v>20126</v>
      </c>
      <c r="P15" s="83">
        <f t="shared" si="8"/>
        <v>20126</v>
      </c>
      <c r="Q15" s="83">
        <f t="shared" si="8"/>
        <v>20126</v>
      </c>
      <c r="R15" s="83">
        <f t="shared" si="8"/>
        <v>20126</v>
      </c>
      <c r="S15" s="70">
        <f t="shared" si="8"/>
        <v>20126</v>
      </c>
    </row>
    <row r="16" spans="1:26" ht="30" x14ac:dyDescent="0.25">
      <c r="A16" s="80" t="s">
        <v>83</v>
      </c>
      <c r="B16" s="81" t="s">
        <v>84</v>
      </c>
      <c r="C16" s="82">
        <f t="shared" si="3"/>
        <v>377170</v>
      </c>
      <c r="D16" s="83">
        <v>0</v>
      </c>
      <c r="E16" s="83">
        <f t="shared" ref="E16:S22" si="9">D16</f>
        <v>0</v>
      </c>
      <c r="F16" s="83">
        <v>0</v>
      </c>
      <c r="G16" s="83">
        <v>0</v>
      </c>
      <c r="H16" s="83">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377170</v>
      </c>
    </row>
    <row r="17" spans="1:26" x14ac:dyDescent="0.25">
      <c r="A17" s="80" t="s">
        <v>85</v>
      </c>
      <c r="B17" s="81" t="str">
        <f>A17</f>
        <v>Empleados</v>
      </c>
      <c r="C17" s="82">
        <f t="shared" si="3"/>
        <v>1680000</v>
      </c>
      <c r="D17" s="83">
        <v>96000</v>
      </c>
      <c r="E17" s="83">
        <f>D17</f>
        <v>96000</v>
      </c>
      <c r="F17" s="83">
        <v>96000</v>
      </c>
      <c r="G17" s="83">
        <v>96000</v>
      </c>
      <c r="H17" s="83">
        <v>108000</v>
      </c>
      <c r="I17" s="83">
        <v>108000</v>
      </c>
      <c r="J17" s="83">
        <f t="shared" si="9"/>
        <v>108000</v>
      </c>
      <c r="K17" s="83">
        <f t="shared" si="9"/>
        <v>108000</v>
      </c>
      <c r="L17" s="83">
        <f t="shared" si="9"/>
        <v>108000</v>
      </c>
      <c r="M17" s="83">
        <f t="shared" si="9"/>
        <v>108000</v>
      </c>
      <c r="N17" s="83">
        <f t="shared" si="9"/>
        <v>108000</v>
      </c>
      <c r="O17" s="83">
        <f>N17</f>
        <v>108000</v>
      </c>
      <c r="P17" s="83">
        <v>108000</v>
      </c>
      <c r="Q17" s="83">
        <f t="shared" si="9"/>
        <v>108000</v>
      </c>
      <c r="R17" s="83">
        <f t="shared" si="9"/>
        <v>108000</v>
      </c>
      <c r="S17" s="70">
        <f t="shared" si="9"/>
        <v>108000</v>
      </c>
    </row>
    <row r="18" spans="1:26" x14ac:dyDescent="0.25">
      <c r="A18" s="80" t="s">
        <v>86</v>
      </c>
      <c r="B18" s="81" t="str">
        <f>A18</f>
        <v>Juveniles</v>
      </c>
      <c r="C18" s="82">
        <f t="shared" si="3"/>
        <v>320000</v>
      </c>
      <c r="D18" s="83">
        <f>EconomiaT40!T18</f>
        <v>20000</v>
      </c>
      <c r="E18" s="83">
        <f t="shared" si="9"/>
        <v>20000</v>
      </c>
      <c r="F18" s="83">
        <v>20000</v>
      </c>
      <c r="G18" s="83">
        <v>20000</v>
      </c>
      <c r="H18" s="83">
        <v>20000</v>
      </c>
      <c r="I18" s="83">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87</v>
      </c>
      <c r="B19" s="81" t="s">
        <v>88</v>
      </c>
      <c r="C19" s="82">
        <f t="shared" si="3"/>
        <v>1052940</v>
      </c>
      <c r="D19" s="83"/>
      <c r="E19" s="83">
        <f>1052640+300</f>
        <v>1052940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c r="E20" s="83"/>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89</v>
      </c>
      <c r="C21" s="82">
        <f t="shared" si="3"/>
        <v>59000</v>
      </c>
      <c r="D21" s="83">
        <v>3000</v>
      </c>
      <c r="E21" s="83">
        <v>3000</v>
      </c>
      <c r="F21" s="83">
        <f>12000+2000</f>
        <v>14000</v>
      </c>
      <c r="G21" s="83">
        <v>0</v>
      </c>
      <c r="H21" s="83">
        <v>0</v>
      </c>
      <c r="I21" s="83">
        <f t="shared" ref="I21" si="10">H21</f>
        <v>0</v>
      </c>
      <c r="J21" s="83">
        <v>3000</v>
      </c>
      <c r="K21" s="83">
        <v>6000</v>
      </c>
      <c r="L21" s="83">
        <v>1000</v>
      </c>
      <c r="M21" s="83">
        <v>2000</v>
      </c>
      <c r="N21" s="83">
        <v>3000</v>
      </c>
      <c r="O21" s="83">
        <v>6000</v>
      </c>
      <c r="P21" s="83">
        <v>0</v>
      </c>
      <c r="Q21" s="83">
        <v>6000</v>
      </c>
      <c r="R21" s="83">
        <v>9000</v>
      </c>
      <c r="S21" s="70">
        <v>3000</v>
      </c>
    </row>
    <row r="22" spans="1:26" x14ac:dyDescent="0.25">
      <c r="A22" s="80" t="s">
        <v>90</v>
      </c>
      <c r="B22" s="81" t="str">
        <f>A22</f>
        <v>Intereses</v>
      </c>
      <c r="C22" s="82">
        <f t="shared" si="3"/>
        <v>0</v>
      </c>
      <c r="D22" s="83">
        <v>0</v>
      </c>
      <c r="E22" s="83">
        <f t="shared" si="9"/>
        <v>0</v>
      </c>
      <c r="F22" s="83">
        <v>0</v>
      </c>
      <c r="G22" s="83">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91</v>
      </c>
      <c r="B23" s="86"/>
      <c r="C23" s="87">
        <f t="shared" si="3"/>
        <v>4415274</v>
      </c>
      <c r="D23" s="88">
        <f t="shared" ref="D23:S23" si="11">SUM(D14:D22)</f>
        <v>172486</v>
      </c>
      <c r="E23" s="88">
        <f t="shared" si="11"/>
        <v>1225426</v>
      </c>
      <c r="F23" s="88">
        <f t="shared" si="11"/>
        <v>183486</v>
      </c>
      <c r="G23" s="88">
        <f t="shared" si="11"/>
        <v>169486</v>
      </c>
      <c r="H23" s="88">
        <f t="shared" si="11"/>
        <v>181486</v>
      </c>
      <c r="I23" s="88">
        <f t="shared" si="11"/>
        <v>184366</v>
      </c>
      <c r="J23" s="88">
        <f t="shared" si="11"/>
        <v>187366</v>
      </c>
      <c r="K23" s="88">
        <f t="shared" si="11"/>
        <v>190756</v>
      </c>
      <c r="L23" s="88">
        <f t="shared" si="11"/>
        <v>185386</v>
      </c>
      <c r="M23" s="88">
        <f t="shared" si="11"/>
        <v>189866</v>
      </c>
      <c r="N23" s="88">
        <f t="shared" si="11"/>
        <v>192344</v>
      </c>
      <c r="O23" s="88">
        <f t="shared" si="11"/>
        <v>195686</v>
      </c>
      <c r="P23" s="88">
        <f t="shared" si="11"/>
        <v>189686</v>
      </c>
      <c r="Q23" s="88">
        <f t="shared" si="11"/>
        <v>195686</v>
      </c>
      <c r="R23" s="88">
        <f t="shared" si="11"/>
        <v>200246</v>
      </c>
      <c r="S23" s="89">
        <f t="shared" si="11"/>
        <v>571516</v>
      </c>
      <c r="Y23" s="81" t="s">
        <v>81</v>
      </c>
      <c r="Z23" s="91">
        <f>C14/$C$23</f>
        <v>0.13683137218664118</v>
      </c>
    </row>
    <row r="24" spans="1:26" s="66" customFormat="1" ht="18.75" x14ac:dyDescent="0.3">
      <c r="A24" s="92" t="s">
        <v>92</v>
      </c>
      <c r="B24" s="92"/>
      <c r="C24" s="64">
        <f>C5+C13-C23</f>
        <v>3063093</v>
      </c>
      <c r="D24" s="64">
        <f t="shared" ref="D24:S24" si="12">D5+D13-D23</f>
        <v>2198239</v>
      </c>
      <c r="E24" s="64">
        <f t="shared" si="12"/>
        <v>1250058</v>
      </c>
      <c r="F24" s="64">
        <f t="shared" si="12"/>
        <v>1654432</v>
      </c>
      <c r="G24" s="64">
        <f t="shared" si="12"/>
        <v>1823801</v>
      </c>
      <c r="H24" s="64">
        <f t="shared" si="12"/>
        <v>1806026</v>
      </c>
      <c r="I24" s="64">
        <f t="shared" si="12"/>
        <v>2016338</v>
      </c>
      <c r="J24" s="64">
        <f t="shared" si="12"/>
        <v>1930287</v>
      </c>
      <c r="K24" s="64">
        <f t="shared" si="12"/>
        <v>2184549</v>
      </c>
      <c r="L24" s="64">
        <f t="shared" si="12"/>
        <v>2107186</v>
      </c>
      <c r="M24" s="64">
        <f t="shared" si="12"/>
        <v>2333159</v>
      </c>
      <c r="N24" s="64">
        <f t="shared" si="12"/>
        <v>2242761</v>
      </c>
      <c r="O24" s="64">
        <f t="shared" si="12"/>
        <v>2459387</v>
      </c>
      <c r="P24" s="64">
        <f t="shared" si="12"/>
        <v>2377062</v>
      </c>
      <c r="Q24" s="64">
        <f t="shared" si="12"/>
        <v>2288926</v>
      </c>
      <c r="R24" s="64">
        <f t="shared" si="12"/>
        <v>2528517</v>
      </c>
      <c r="S24" s="65">
        <f t="shared" si="12"/>
        <v>3063093</v>
      </c>
      <c r="Y24" s="81" t="s">
        <v>82</v>
      </c>
      <c r="Z24" s="91">
        <f t="shared" ref="Z24:Z31" si="13">C15/$C$23</f>
        <v>7.2932280080466122E-2</v>
      </c>
    </row>
    <row r="25" spans="1:26" s="53" customFormat="1" x14ac:dyDescent="0.25">
      <c r="A25" s="93"/>
      <c r="B25" s="93"/>
      <c r="C25" s="93"/>
      <c r="D25" s="94">
        <f>D2+7</f>
        <v>41971</v>
      </c>
      <c r="E25" s="94">
        <f t="shared" ref="E25:S25" si="14">D25+7</f>
        <v>41978</v>
      </c>
      <c r="F25" s="94">
        <f t="shared" si="14"/>
        <v>41985</v>
      </c>
      <c r="G25" s="94">
        <f t="shared" si="14"/>
        <v>41992</v>
      </c>
      <c r="H25" s="94">
        <f t="shared" si="14"/>
        <v>41999</v>
      </c>
      <c r="I25" s="94">
        <f t="shared" si="14"/>
        <v>42006</v>
      </c>
      <c r="J25" s="94">
        <f t="shared" si="14"/>
        <v>42013</v>
      </c>
      <c r="K25" s="94">
        <f t="shared" si="14"/>
        <v>42020</v>
      </c>
      <c r="L25" s="94">
        <f t="shared" si="14"/>
        <v>42027</v>
      </c>
      <c r="M25" s="94">
        <f t="shared" si="14"/>
        <v>42034</v>
      </c>
      <c r="N25" s="94">
        <f t="shared" si="14"/>
        <v>42041</v>
      </c>
      <c r="O25" s="94">
        <f t="shared" si="14"/>
        <v>42048</v>
      </c>
      <c r="P25" s="94">
        <f t="shared" si="14"/>
        <v>42055</v>
      </c>
      <c r="Q25" s="94">
        <f t="shared" si="14"/>
        <v>42062</v>
      </c>
      <c r="R25" s="94">
        <f t="shared" si="14"/>
        <v>42069</v>
      </c>
      <c r="S25" s="94">
        <f t="shared" si="14"/>
        <v>42076</v>
      </c>
      <c r="Y25" s="81" t="s">
        <v>84</v>
      </c>
      <c r="Z25" s="91">
        <f t="shared" si="13"/>
        <v>8.5423917066075633E-2</v>
      </c>
    </row>
    <row r="26" spans="1:26" s="53" customFormat="1" x14ac:dyDescent="0.25">
      <c r="A26" s="719" t="s">
        <v>93</v>
      </c>
      <c r="B26" s="719"/>
      <c r="C26" s="96">
        <f>C6+C7+C11</f>
        <v>4232622</v>
      </c>
      <c r="D26" s="96">
        <f t="shared" ref="D26:S26" si="15">D6+D7+D11</f>
        <v>110430</v>
      </c>
      <c r="E26" s="96">
        <f t="shared" si="15"/>
        <v>277245</v>
      </c>
      <c r="F26" s="96">
        <f t="shared" si="15"/>
        <v>558410</v>
      </c>
      <c r="G26" s="96">
        <f t="shared" si="15"/>
        <v>338855</v>
      </c>
      <c r="H26" s="96">
        <f t="shared" si="15"/>
        <v>163711</v>
      </c>
      <c r="I26" s="96">
        <f t="shared" si="15"/>
        <v>394678</v>
      </c>
      <c r="J26" s="96">
        <f t="shared" si="15"/>
        <v>101315</v>
      </c>
      <c r="K26" s="96">
        <f t="shared" si="15"/>
        <v>402796</v>
      </c>
      <c r="L26" s="96">
        <f t="shared" si="15"/>
        <v>108023</v>
      </c>
      <c r="M26" s="96">
        <f t="shared" si="15"/>
        <v>415839</v>
      </c>
      <c r="N26" s="96">
        <f t="shared" si="15"/>
        <v>101946</v>
      </c>
      <c r="O26" s="96">
        <f t="shared" si="15"/>
        <v>412312</v>
      </c>
      <c r="P26" s="96">
        <f t="shared" si="15"/>
        <v>107361</v>
      </c>
      <c r="Q26" s="96">
        <f t="shared" si="15"/>
        <v>107550</v>
      </c>
      <c r="R26" s="96">
        <f>R6+R7+R11</f>
        <v>437932</v>
      </c>
      <c r="S26" s="96">
        <f t="shared" si="15"/>
        <v>194219</v>
      </c>
      <c r="T26" s="97"/>
      <c r="Y26" s="81" t="s">
        <v>85</v>
      </c>
      <c r="Z26" s="91">
        <f t="shared" si="13"/>
        <v>0.38049733719809914</v>
      </c>
    </row>
    <row r="27" spans="1:26" s="53" customFormat="1" x14ac:dyDescent="0.25">
      <c r="A27" s="710" t="s">
        <v>94</v>
      </c>
      <c r="B27" s="710"/>
      <c r="C27" s="98">
        <f>C14+C15+C17+C18+C21</f>
        <v>2985164</v>
      </c>
      <c r="D27" s="98">
        <f t="shared" ref="D27:S27" si="16">D14+D15+D17+D18+D21</f>
        <v>172486</v>
      </c>
      <c r="E27" s="98">
        <f t="shared" si="16"/>
        <v>172486</v>
      </c>
      <c r="F27" s="98">
        <f t="shared" si="16"/>
        <v>183486</v>
      </c>
      <c r="G27" s="98">
        <f t="shared" si="16"/>
        <v>169486</v>
      </c>
      <c r="H27" s="98">
        <f t="shared" si="16"/>
        <v>181486</v>
      </c>
      <c r="I27" s="98">
        <f t="shared" si="16"/>
        <v>184366</v>
      </c>
      <c r="J27" s="98">
        <f t="shared" si="16"/>
        <v>187366</v>
      </c>
      <c r="K27" s="98">
        <f t="shared" si="16"/>
        <v>190756</v>
      </c>
      <c r="L27" s="98">
        <f t="shared" si="16"/>
        <v>185386</v>
      </c>
      <c r="M27" s="98">
        <f t="shared" si="16"/>
        <v>189866</v>
      </c>
      <c r="N27" s="98">
        <f t="shared" si="16"/>
        <v>192344</v>
      </c>
      <c r="O27" s="98">
        <f t="shared" si="16"/>
        <v>195686</v>
      </c>
      <c r="P27" s="98">
        <f t="shared" si="16"/>
        <v>189686</v>
      </c>
      <c r="Q27" s="98">
        <f t="shared" si="16"/>
        <v>195686</v>
      </c>
      <c r="R27" s="98">
        <f>R14+R15+R17+R18+R21</f>
        <v>200246</v>
      </c>
      <c r="S27" s="98">
        <f t="shared" si="16"/>
        <v>194346</v>
      </c>
      <c r="T27" s="99"/>
      <c r="Y27" s="81" t="s">
        <v>86</v>
      </c>
      <c r="Z27" s="91">
        <f t="shared" si="13"/>
        <v>7.2475683275828415E-2</v>
      </c>
    </row>
    <row r="28" spans="1:26" x14ac:dyDescent="0.25">
      <c r="A28" s="711" t="s">
        <v>95</v>
      </c>
      <c r="B28" s="711"/>
      <c r="C28" s="100">
        <f>C26-C27</f>
        <v>1247458</v>
      </c>
      <c r="D28" s="100">
        <f t="shared" ref="D28:S28" si="17">D26-D27</f>
        <v>-62056</v>
      </c>
      <c r="E28" s="100">
        <f t="shared" si="17"/>
        <v>104759</v>
      </c>
      <c r="F28" s="100">
        <f t="shared" si="17"/>
        <v>374924</v>
      </c>
      <c r="G28" s="100">
        <f t="shared" si="17"/>
        <v>169369</v>
      </c>
      <c r="H28" s="100">
        <f t="shared" si="17"/>
        <v>-17775</v>
      </c>
      <c r="I28" s="100">
        <f t="shared" si="17"/>
        <v>210312</v>
      </c>
      <c r="J28" s="100">
        <f t="shared" si="17"/>
        <v>-86051</v>
      </c>
      <c r="K28" s="100">
        <f t="shared" si="17"/>
        <v>212040</v>
      </c>
      <c r="L28" s="100">
        <f t="shared" si="17"/>
        <v>-77363</v>
      </c>
      <c r="M28" s="100">
        <f t="shared" si="17"/>
        <v>225973</v>
      </c>
      <c r="N28" s="100">
        <f t="shared" si="17"/>
        <v>-90398</v>
      </c>
      <c r="O28" s="100">
        <f t="shared" si="17"/>
        <v>216626</v>
      </c>
      <c r="P28" s="100">
        <f t="shared" si="17"/>
        <v>-82325</v>
      </c>
      <c r="Q28" s="100">
        <f t="shared" si="17"/>
        <v>-88136</v>
      </c>
      <c r="R28" s="100">
        <f>R26-R27</f>
        <v>237686</v>
      </c>
      <c r="S28" s="100">
        <f t="shared" si="17"/>
        <v>-127</v>
      </c>
      <c r="T28" s="101"/>
      <c r="Y28" s="81" t="s">
        <v>88</v>
      </c>
      <c r="Z28" s="91">
        <f t="shared" si="13"/>
        <v>0.23847670608890864</v>
      </c>
    </row>
    <row r="29" spans="1:26" x14ac:dyDescent="0.25">
      <c r="A29" s="719" t="s">
        <v>96</v>
      </c>
      <c r="B29" s="719"/>
      <c r="C29" s="96">
        <f>C8+C9+C10+C12</f>
        <v>985450</v>
      </c>
      <c r="D29" s="96">
        <f t="shared" ref="D29:S29" si="18">D8+D9+D10+D12</f>
        <v>0</v>
      </c>
      <c r="E29" s="96">
        <f t="shared" si="18"/>
        <v>0</v>
      </c>
      <c r="F29" s="96">
        <f t="shared" si="18"/>
        <v>29450</v>
      </c>
      <c r="G29" s="96">
        <f t="shared" si="18"/>
        <v>0</v>
      </c>
      <c r="H29" s="96">
        <f t="shared" si="18"/>
        <v>0</v>
      </c>
      <c r="I29" s="96">
        <f t="shared" si="18"/>
        <v>0</v>
      </c>
      <c r="J29" s="96">
        <f t="shared" si="18"/>
        <v>0</v>
      </c>
      <c r="K29" s="96">
        <f t="shared" si="18"/>
        <v>42222</v>
      </c>
      <c r="L29" s="96">
        <f t="shared" si="18"/>
        <v>0</v>
      </c>
      <c r="M29" s="96">
        <f t="shared" si="18"/>
        <v>0</v>
      </c>
      <c r="N29" s="96">
        <f t="shared" si="18"/>
        <v>0</v>
      </c>
      <c r="O29" s="96">
        <f t="shared" si="18"/>
        <v>0</v>
      </c>
      <c r="P29" s="96">
        <f t="shared" si="18"/>
        <v>0</v>
      </c>
      <c r="Q29" s="96">
        <f t="shared" si="18"/>
        <v>0</v>
      </c>
      <c r="R29" s="96">
        <f>R8+R9+R10+R12</f>
        <v>1905</v>
      </c>
      <c r="S29" s="96">
        <f t="shared" si="18"/>
        <v>911873</v>
      </c>
      <c r="T29" s="101"/>
      <c r="Y29" s="81" t="s">
        <v>67</v>
      </c>
      <c r="Z29" s="91">
        <f t="shared" si="13"/>
        <v>0</v>
      </c>
    </row>
    <row r="30" spans="1:26" s="59" customFormat="1" x14ac:dyDescent="0.25">
      <c r="A30" s="710" t="s">
        <v>97</v>
      </c>
      <c r="B30" s="710"/>
      <c r="C30" s="98">
        <f>C16+C19+C20+C22</f>
        <v>1430110</v>
      </c>
      <c r="D30" s="98">
        <f t="shared" ref="D30:S30" si="19">D16+D19+D20+D22</f>
        <v>0</v>
      </c>
      <c r="E30" s="98">
        <f t="shared" si="19"/>
        <v>1052940</v>
      </c>
      <c r="F30" s="98">
        <f t="shared" si="19"/>
        <v>0</v>
      </c>
      <c r="G30" s="98">
        <f t="shared" si="19"/>
        <v>0</v>
      </c>
      <c r="H30" s="98">
        <f t="shared" si="19"/>
        <v>0</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377170</v>
      </c>
      <c r="Y30" s="81" t="s">
        <v>89</v>
      </c>
      <c r="Z30" s="91">
        <f t="shared" si="13"/>
        <v>1.3362704103980863E-2</v>
      </c>
    </row>
    <row r="31" spans="1:26" s="59" customFormat="1" x14ac:dyDescent="0.25">
      <c r="A31" s="711" t="s">
        <v>98</v>
      </c>
      <c r="B31" s="711"/>
      <c r="C31" s="100">
        <f>C29-C30</f>
        <v>-444660</v>
      </c>
      <c r="D31" s="100">
        <f t="shared" ref="D31:S31" si="20">D29-D30</f>
        <v>0</v>
      </c>
      <c r="E31" s="100">
        <f t="shared" si="20"/>
        <v>-1052940</v>
      </c>
      <c r="F31" s="100">
        <f t="shared" si="20"/>
        <v>29450</v>
      </c>
      <c r="G31" s="100">
        <f t="shared" si="20"/>
        <v>0</v>
      </c>
      <c r="H31" s="100">
        <f t="shared" si="20"/>
        <v>0</v>
      </c>
      <c r="I31" s="100">
        <f t="shared" si="20"/>
        <v>0</v>
      </c>
      <c r="J31" s="100">
        <f t="shared" si="20"/>
        <v>0</v>
      </c>
      <c r="K31" s="100">
        <f t="shared" si="20"/>
        <v>42222</v>
      </c>
      <c r="L31" s="100">
        <f t="shared" si="20"/>
        <v>0</v>
      </c>
      <c r="M31" s="100">
        <f t="shared" si="20"/>
        <v>0</v>
      </c>
      <c r="N31" s="100">
        <f t="shared" si="20"/>
        <v>0</v>
      </c>
      <c r="O31" s="100">
        <f t="shared" si="20"/>
        <v>0</v>
      </c>
      <c r="P31" s="100">
        <f t="shared" si="20"/>
        <v>0</v>
      </c>
      <c r="Q31" s="100">
        <f t="shared" si="20"/>
        <v>0</v>
      </c>
      <c r="R31" s="100">
        <f>R29-R30</f>
        <v>1905</v>
      </c>
      <c r="S31" s="100">
        <f t="shared" si="20"/>
        <v>534703</v>
      </c>
      <c r="Y31" s="81" t="s">
        <v>90</v>
      </c>
      <c r="Z31" s="91">
        <f t="shared" si="13"/>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0.99999999999999989</v>
      </c>
    </row>
    <row r="33" spans="1:26" s="366" customFormat="1" ht="18.75" x14ac:dyDescent="0.3">
      <c r="A33" s="367"/>
      <c r="B33" s="367"/>
      <c r="C33" s="368" t="s">
        <v>100</v>
      </c>
      <c r="D33" s="174"/>
      <c r="E33" s="174">
        <v>23</v>
      </c>
      <c r="F33" s="174"/>
      <c r="G33" s="174"/>
      <c r="H33" s="174"/>
      <c r="I33" s="174"/>
      <c r="J33" s="174">
        <v>22</v>
      </c>
      <c r="K33" s="174">
        <v>22</v>
      </c>
      <c r="L33" s="174">
        <v>22</v>
      </c>
      <c r="M33" s="174">
        <v>22</v>
      </c>
      <c r="N33" s="174"/>
      <c r="O33" s="174"/>
      <c r="P33" s="174">
        <v>22</v>
      </c>
      <c r="Q33" s="174">
        <v>22</v>
      </c>
      <c r="R33" s="174">
        <v>23</v>
      </c>
      <c r="S33" s="174">
        <v>23</v>
      </c>
      <c r="Z33" s="369"/>
    </row>
    <row r="34" spans="1:26" s="59" customFormat="1" ht="18.75" x14ac:dyDescent="0.3">
      <c r="A34" s="57"/>
      <c r="B34" s="720" t="s">
        <v>437</v>
      </c>
      <c r="C34" s="173" t="s">
        <v>181</v>
      </c>
      <c r="D34" s="174"/>
      <c r="E34" s="174">
        <v>202690</v>
      </c>
      <c r="F34" s="174"/>
      <c r="G34" s="174"/>
      <c r="H34" s="174"/>
      <c r="I34" s="174"/>
      <c r="J34" s="174">
        <v>236060</v>
      </c>
      <c r="K34" s="174">
        <v>244460</v>
      </c>
      <c r="L34" s="174">
        <v>254880</v>
      </c>
      <c r="M34" s="174">
        <v>267950</v>
      </c>
      <c r="N34" s="174"/>
      <c r="O34" s="174"/>
      <c r="P34" s="174">
        <v>302110</v>
      </c>
      <c r="Q34" s="174">
        <v>309510</v>
      </c>
      <c r="R34" s="174">
        <v>314900</v>
      </c>
      <c r="S34" s="174">
        <v>321600</v>
      </c>
      <c r="Y34" s="712">
        <f>C23</f>
        <v>4415274</v>
      </c>
      <c r="Z34" s="713"/>
    </row>
    <row r="35" spans="1:26" x14ac:dyDescent="0.25">
      <c r="A35" s="57"/>
      <c r="B35" s="720"/>
      <c r="C35" s="173" t="s">
        <v>104</v>
      </c>
      <c r="D35" s="174"/>
      <c r="E35" s="174">
        <v>33450</v>
      </c>
      <c r="F35" s="174"/>
      <c r="G35" s="174"/>
      <c r="H35" s="174"/>
      <c r="I35" s="174"/>
      <c r="J35" s="174">
        <v>35950</v>
      </c>
      <c r="K35" s="174">
        <v>35940</v>
      </c>
      <c r="L35" s="174">
        <v>37940</v>
      </c>
      <c r="M35" s="174">
        <v>39440</v>
      </c>
      <c r="N35" s="174"/>
      <c r="O35" s="174"/>
      <c r="P35" s="174">
        <v>41260</v>
      </c>
      <c r="Q35" s="174">
        <v>41260</v>
      </c>
      <c r="R35" s="174">
        <v>43250</v>
      </c>
      <c r="S35" s="174">
        <v>43730</v>
      </c>
    </row>
    <row r="36" spans="1:26" x14ac:dyDescent="0.25">
      <c r="A36" s="57"/>
      <c r="B36" s="720"/>
      <c r="C36" s="173" t="s">
        <v>61</v>
      </c>
      <c r="D36" s="175"/>
      <c r="E36" s="175" t="s">
        <v>499</v>
      </c>
      <c r="F36" s="175"/>
      <c r="G36" s="175"/>
      <c r="H36" s="175"/>
      <c r="I36" s="175"/>
      <c r="J36" s="175" t="s">
        <v>543</v>
      </c>
      <c r="K36" s="175" t="s">
        <v>546</v>
      </c>
      <c r="L36" s="175" t="s">
        <v>549</v>
      </c>
      <c r="M36" s="175" t="s">
        <v>543</v>
      </c>
      <c r="N36" s="175"/>
      <c r="O36" s="175"/>
      <c r="P36" s="175" t="s">
        <v>551</v>
      </c>
      <c r="Q36" s="175" t="s">
        <v>552</v>
      </c>
      <c r="R36" s="175" t="s">
        <v>553</v>
      </c>
      <c r="S36" s="175" t="s">
        <v>555</v>
      </c>
    </row>
    <row r="37" spans="1:26" x14ac:dyDescent="0.25">
      <c r="A37" s="57"/>
      <c r="B37" s="720"/>
      <c r="C37" s="173" t="s">
        <v>210</v>
      </c>
      <c r="D37" s="176"/>
      <c r="E37" s="176">
        <v>5</v>
      </c>
      <c r="F37" s="176"/>
      <c r="G37" s="176"/>
      <c r="H37" s="176"/>
      <c r="I37" s="176"/>
      <c r="J37" s="176">
        <v>5</v>
      </c>
      <c r="K37" s="176">
        <v>5</v>
      </c>
      <c r="L37" s="176">
        <v>5</v>
      </c>
      <c r="M37" s="176">
        <v>5</v>
      </c>
      <c r="N37" s="176"/>
      <c r="O37" s="176"/>
      <c r="P37" s="176">
        <v>5.25</v>
      </c>
      <c r="Q37" s="176">
        <v>5.25</v>
      </c>
      <c r="R37" s="176">
        <v>5.25</v>
      </c>
      <c r="S37" s="176">
        <v>5.25</v>
      </c>
    </row>
    <row r="38" spans="1:26" x14ac:dyDescent="0.25">
      <c r="B38" s="720"/>
      <c r="C38" s="173" t="s">
        <v>211</v>
      </c>
      <c r="D38" s="176"/>
      <c r="E38" s="176">
        <v>6</v>
      </c>
      <c r="F38" s="176"/>
      <c r="G38" s="176"/>
      <c r="H38" s="176"/>
      <c r="I38" s="176"/>
      <c r="J38" s="176">
        <v>5.5</v>
      </c>
      <c r="K38" s="176">
        <v>5.5</v>
      </c>
      <c r="L38" s="176">
        <v>5.75</v>
      </c>
      <c r="M38" s="176">
        <v>6</v>
      </c>
      <c r="N38" s="176"/>
      <c r="O38" s="176"/>
      <c r="P38" s="176">
        <v>6.25</v>
      </c>
      <c r="Q38" s="176">
        <v>6.25</v>
      </c>
      <c r="R38" s="176">
        <v>6</v>
      </c>
      <c r="S38" s="176">
        <v>6</v>
      </c>
    </row>
    <row r="39" spans="1:26" x14ac:dyDescent="0.25">
      <c r="B39" s="720"/>
      <c r="C39" s="173" t="s">
        <v>257</v>
      </c>
      <c r="D39" s="176"/>
      <c r="E39" s="176">
        <v>2.25</v>
      </c>
      <c r="F39" s="176"/>
      <c r="G39" s="176"/>
      <c r="H39" s="176"/>
      <c r="I39" s="176"/>
      <c r="J39" s="176">
        <v>3</v>
      </c>
      <c r="K39" s="176">
        <v>3</v>
      </c>
      <c r="L39" s="176">
        <v>3</v>
      </c>
      <c r="M39" s="176">
        <v>3</v>
      </c>
      <c r="N39" s="176"/>
      <c r="O39" s="176"/>
      <c r="P39" s="176">
        <v>3</v>
      </c>
      <c r="Q39" s="176">
        <v>3</v>
      </c>
      <c r="R39" s="176">
        <v>3</v>
      </c>
      <c r="S39" s="176">
        <v>3</v>
      </c>
    </row>
    <row r="40" spans="1:26" ht="15" customHeight="1" x14ac:dyDescent="0.25">
      <c r="C40" s="164" t="s">
        <v>438</v>
      </c>
      <c r="D40" s="330"/>
      <c r="E40" s="288">
        <f>E34/E35</f>
        <v>6.0594917787742899</v>
      </c>
      <c r="F40" s="288"/>
      <c r="G40" s="288"/>
      <c r="H40" s="288"/>
      <c r="I40" s="330"/>
      <c r="J40" s="330">
        <f>J34/J35</f>
        <v>6.5663421418637</v>
      </c>
      <c r="K40" s="330">
        <f>K34/K35</f>
        <v>6.8018920422927103</v>
      </c>
      <c r="L40" s="330">
        <f>L34/L35</f>
        <v>6.7179757511860831</v>
      </c>
      <c r="M40" s="330">
        <f>M34/M35</f>
        <v>6.7938640973630831</v>
      </c>
      <c r="N40" s="330"/>
      <c r="O40" s="330"/>
      <c r="P40" s="330">
        <f>P34/P35</f>
        <v>7.3221037324285021</v>
      </c>
      <c r="Q40" s="330">
        <f>Q34/Q35</f>
        <v>7.5014541929229281</v>
      </c>
      <c r="R40" s="330">
        <f>R34/R35</f>
        <v>7.2809248554913291</v>
      </c>
      <c r="S40" s="330">
        <f>S34/S35</f>
        <v>7.3542190715755771</v>
      </c>
    </row>
    <row r="41" spans="1:26" ht="15" customHeight="1" x14ac:dyDescent="0.25">
      <c r="D41" s="52"/>
      <c r="E41" s="362"/>
      <c r="G41" s="714"/>
      <c r="H41" s="714"/>
      <c r="I41" s="714"/>
      <c r="J41" s="714"/>
    </row>
    <row r="42" spans="1:26" x14ac:dyDescent="0.25">
      <c r="C42" s="4" t="s">
        <v>485</v>
      </c>
      <c r="D42" s="246">
        <v>72340</v>
      </c>
      <c r="E42" s="341">
        <v>81405</v>
      </c>
      <c r="F42" s="246">
        <v>86500</v>
      </c>
      <c r="G42" s="363">
        <v>89546</v>
      </c>
      <c r="H42" s="363">
        <v>92478</v>
      </c>
      <c r="I42" s="363">
        <v>93430</v>
      </c>
      <c r="J42" s="363">
        <v>94540</v>
      </c>
      <c r="K42" s="9">
        <v>95465</v>
      </c>
      <c r="L42" s="9">
        <v>96390</v>
      </c>
      <c r="M42" s="9">
        <v>97130</v>
      </c>
      <c r="N42" s="9">
        <v>97685</v>
      </c>
      <c r="O42" s="9">
        <v>91580</v>
      </c>
      <c r="P42" s="9">
        <v>88250</v>
      </c>
      <c r="Q42" s="9">
        <v>86585</v>
      </c>
      <c r="R42" s="9">
        <v>85660</v>
      </c>
      <c r="S42" s="9">
        <v>85475</v>
      </c>
    </row>
    <row r="43" spans="1:26" x14ac:dyDescent="0.25">
      <c r="G43" s="363"/>
      <c r="H43" s="363"/>
      <c r="I43" s="363"/>
      <c r="J43" s="363"/>
    </row>
    <row r="44" spans="1:26" x14ac:dyDescent="0.25">
      <c r="G44" s="363"/>
      <c r="H44" s="363"/>
      <c r="I44" s="363"/>
      <c r="J44" s="343"/>
    </row>
    <row r="45" spans="1:26" x14ac:dyDescent="0.25">
      <c r="D45" s="370"/>
      <c r="G45" s="52"/>
      <c r="H45" s="52"/>
      <c r="I45" s="52"/>
      <c r="J45" s="52"/>
      <c r="K45" s="52"/>
      <c r="L45" s="52"/>
      <c r="M45" s="52"/>
      <c r="N45" s="52"/>
      <c r="O45" s="52"/>
      <c r="P45" s="52"/>
      <c r="Q45" s="52"/>
      <c r="R45" s="52"/>
      <c r="S45" s="52"/>
    </row>
    <row r="46" spans="1:26" x14ac:dyDescent="0.25">
      <c r="G46" s="709"/>
      <c r="H46" s="709"/>
      <c r="I46" s="709"/>
      <c r="J46" s="709"/>
    </row>
    <row r="47" spans="1:26" x14ac:dyDescent="0.25">
      <c r="G47" s="363"/>
      <c r="H47" s="363"/>
      <c r="I47" s="363"/>
      <c r="J47" s="363"/>
    </row>
    <row r="48" spans="1:26" x14ac:dyDescent="0.25">
      <c r="G48" s="709"/>
      <c r="H48" s="709"/>
      <c r="I48" s="709"/>
      <c r="J48" s="709"/>
      <c r="P48" s="383"/>
    </row>
    <row r="49" spans="7:10" ht="15" customHeight="1" x14ac:dyDescent="0.25">
      <c r="G49" s="709"/>
      <c r="H49" s="709"/>
      <c r="I49" s="709"/>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I5" sqref="I5:T5"/>
    </sheetView>
  </sheetViews>
  <sheetFormatPr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21" t="s">
        <v>559</v>
      </c>
      <c r="C2" s="722"/>
      <c r="D2" s="722"/>
      <c r="E2" s="722"/>
      <c r="F2" s="722"/>
      <c r="G2" s="723"/>
      <c r="I2" s="731" t="s">
        <v>494</v>
      </c>
      <c r="J2" s="731"/>
      <c r="K2" s="731"/>
      <c r="L2" s="731"/>
      <c r="M2" s="731"/>
      <c r="N2" s="731"/>
      <c r="O2" s="731"/>
      <c r="P2" s="731"/>
      <c r="Q2" s="731"/>
      <c r="R2" s="731"/>
      <c r="S2" s="731"/>
      <c r="T2" s="731"/>
    </row>
    <row r="3" spans="2:20" x14ac:dyDescent="0.25">
      <c r="B3" s="725" t="s">
        <v>102</v>
      </c>
      <c r="C3" s="726"/>
      <c r="D3" s="726"/>
      <c r="E3" s="726"/>
      <c r="F3" s="726"/>
      <c r="G3" s="727"/>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8" t="s">
        <v>113</v>
      </c>
      <c r="C4" s="729"/>
      <c r="D4" s="109"/>
      <c r="E4" s="730" t="s">
        <v>114</v>
      </c>
      <c r="F4" s="729"/>
      <c r="G4" s="109"/>
      <c r="I4" s="335" t="s">
        <v>491</v>
      </c>
      <c r="J4" s="336" t="s">
        <v>492</v>
      </c>
      <c r="K4" s="335">
        <v>0</v>
      </c>
      <c r="L4" s="335">
        <v>0</v>
      </c>
      <c r="M4" s="335">
        <v>23000</v>
      </c>
      <c r="N4" s="335">
        <f>M4-21850</f>
        <v>1150</v>
      </c>
      <c r="O4" s="337">
        <f t="shared" ref="O4:O5" si="0">IF(M4=0,0,M4-K4)-N4</f>
        <v>21850</v>
      </c>
      <c r="P4" s="337">
        <f t="shared" ref="P4:P5" si="1">IF(M4=0,K4,0)</f>
        <v>0</v>
      </c>
      <c r="Q4" s="338"/>
      <c r="R4" s="339"/>
      <c r="S4" s="339">
        <v>41858</v>
      </c>
      <c r="T4" s="340"/>
    </row>
    <row r="5" spans="2:20" x14ac:dyDescent="0.25">
      <c r="B5" s="113"/>
      <c r="C5" s="114"/>
      <c r="D5" s="201"/>
      <c r="E5" s="113"/>
      <c r="F5" s="114"/>
      <c r="G5" s="115"/>
      <c r="I5" s="335" t="s">
        <v>491</v>
      </c>
      <c r="J5" s="336" t="s">
        <v>199</v>
      </c>
      <c r="K5" s="335">
        <v>0</v>
      </c>
      <c r="L5" s="335">
        <v>0</v>
      </c>
      <c r="M5" s="335">
        <v>2000</v>
      </c>
      <c r="N5" s="335">
        <v>100</v>
      </c>
      <c r="O5" s="337">
        <f t="shared" si="0"/>
        <v>1900</v>
      </c>
      <c r="P5" s="337">
        <f t="shared" si="1"/>
        <v>0</v>
      </c>
      <c r="Q5" s="338"/>
      <c r="R5" s="339"/>
      <c r="S5" s="339">
        <v>41917</v>
      </c>
      <c r="T5" s="340"/>
    </row>
    <row r="6" spans="2:20" x14ac:dyDescent="0.25">
      <c r="B6" s="116" t="s">
        <v>116</v>
      </c>
      <c r="C6" s="117">
        <f>SUM(C7:C9)</f>
        <v>3754680</v>
      </c>
      <c r="D6" s="140">
        <f>C6/$C$34</f>
        <v>0.28634935234153447</v>
      </c>
      <c r="E6" s="116" t="s">
        <v>117</v>
      </c>
      <c r="F6" s="117">
        <f>F7+F8+F9</f>
        <v>5637805</v>
      </c>
      <c r="G6" s="118">
        <f>F6/$F$34</f>
        <v>0.42996521950681937</v>
      </c>
      <c r="I6" s="335" t="s">
        <v>491</v>
      </c>
      <c r="J6" s="336" t="s">
        <v>544</v>
      </c>
      <c r="K6" s="335">
        <v>0</v>
      </c>
      <c r="L6" s="335">
        <v>0</v>
      </c>
      <c r="M6" s="335">
        <v>31000</v>
      </c>
      <c r="N6" s="335">
        <f>M6-29450</f>
        <v>1550</v>
      </c>
      <c r="O6" s="337">
        <f t="shared" ref="O6" si="2">IF(M6=0,0,M6-K6)-N6</f>
        <v>29450</v>
      </c>
      <c r="P6" s="337">
        <f t="shared" ref="P6" si="3">IF(M6=0,K6,0)</f>
        <v>0</v>
      </c>
      <c r="Q6" s="338"/>
      <c r="R6" s="339"/>
      <c r="S6" s="339">
        <v>41983</v>
      </c>
      <c r="T6" s="340"/>
    </row>
    <row r="7" spans="2:20" x14ac:dyDescent="0.25">
      <c r="B7" s="119" t="s">
        <v>84</v>
      </c>
      <c r="C7" s="120">
        <f>EconomiaT45!C16+'A-P_T44'!C7</f>
        <v>1685880</v>
      </c>
      <c r="D7" s="202">
        <f>C7/$C$34</f>
        <v>0.12857304647148254</v>
      </c>
      <c r="E7" s="203" t="s">
        <v>118</v>
      </c>
      <c r="F7" s="204">
        <v>300000</v>
      </c>
      <c r="G7" s="121">
        <f>F7/$F$34</f>
        <v>2.2879394702733744E-2</v>
      </c>
      <c r="I7" s="374" t="s">
        <v>115</v>
      </c>
      <c r="J7" s="375" t="s">
        <v>539</v>
      </c>
      <c r="K7" s="374">
        <v>1052640</v>
      </c>
      <c r="L7" s="374">
        <v>300</v>
      </c>
      <c r="M7" s="374">
        <v>0</v>
      </c>
      <c r="N7" s="374">
        <v>0</v>
      </c>
      <c r="O7" s="376">
        <f t="shared" ref="O7:O9" si="4">IF(M7=0,0,M7-K7)-N7</f>
        <v>0</v>
      </c>
      <c r="P7" s="376">
        <f t="shared" ref="P7:P9" si="5">IF(M7=0,K7,0)</f>
        <v>1052640</v>
      </c>
      <c r="Q7" s="377"/>
      <c r="R7" s="378"/>
      <c r="S7" s="378"/>
      <c r="T7" s="379"/>
    </row>
    <row r="8" spans="2:20" x14ac:dyDescent="0.25">
      <c r="B8" s="119" t="s">
        <v>67</v>
      </c>
      <c r="C8" s="120">
        <f>'A-P_T44'!C8+'A-P_T44'!C9</f>
        <v>2068800</v>
      </c>
      <c r="D8" s="202">
        <f>C8/$C$34</f>
        <v>0.1577763058700519</v>
      </c>
      <c r="E8" s="203" t="s">
        <v>261</v>
      </c>
      <c r="F8" s="204">
        <f>'A-P_T44'!F9+'A-P_T44'!F8</f>
        <v>3973164</v>
      </c>
      <c r="G8" s="121">
        <f>F8/$F$34</f>
        <v>0.30301195791564139</v>
      </c>
      <c r="I8" s="335" t="s">
        <v>491</v>
      </c>
      <c r="J8" s="336" t="s">
        <v>464</v>
      </c>
      <c r="K8" s="335">
        <v>0</v>
      </c>
      <c r="L8" s="335">
        <v>0</v>
      </c>
      <c r="M8" s="335">
        <v>44444</v>
      </c>
      <c r="N8" s="335">
        <f>M8-42222</f>
        <v>2222</v>
      </c>
      <c r="O8" s="337">
        <f t="shared" si="4"/>
        <v>42222</v>
      </c>
      <c r="P8" s="337">
        <f t="shared" si="5"/>
        <v>0</v>
      </c>
      <c r="Q8" s="338"/>
      <c r="R8" s="339"/>
      <c r="S8" s="339">
        <v>41983</v>
      </c>
      <c r="T8" s="340"/>
    </row>
    <row r="9" spans="2:20" x14ac:dyDescent="0.25">
      <c r="B9" s="122" t="s">
        <v>119</v>
      </c>
      <c r="C9" s="123">
        <v>0</v>
      </c>
      <c r="D9" s="202">
        <f>C9/$C$34</f>
        <v>0</v>
      </c>
      <c r="E9" s="203" t="s">
        <v>545</v>
      </c>
      <c r="F9" s="204">
        <f>'A-P_T44'!F11-EconomiaT44!C24+EconomiaT44!C5-640</f>
        <v>1364641</v>
      </c>
      <c r="G9" s="121">
        <f>F9/$F$34</f>
        <v>0.10407386688844426</v>
      </c>
      <c r="I9" s="335" t="s">
        <v>491</v>
      </c>
      <c r="J9" s="336" t="s">
        <v>554</v>
      </c>
      <c r="K9" s="335">
        <v>0</v>
      </c>
      <c r="L9" s="335">
        <v>0</v>
      </c>
      <c r="M9" s="335">
        <v>20005</v>
      </c>
      <c r="N9" s="335">
        <f>M9-1905</f>
        <v>18100</v>
      </c>
      <c r="O9" s="337">
        <f t="shared" si="4"/>
        <v>1905</v>
      </c>
      <c r="P9" s="337">
        <f t="shared" si="5"/>
        <v>0</v>
      </c>
      <c r="Q9" s="338"/>
      <c r="R9" s="339"/>
      <c r="S9" s="339">
        <v>42067</v>
      </c>
      <c r="T9" s="340"/>
    </row>
    <row r="10" spans="2:20" x14ac:dyDescent="0.25">
      <c r="B10" s="124"/>
      <c r="C10" s="125"/>
      <c r="D10" s="140"/>
      <c r="E10" s="205"/>
      <c r="F10" s="125"/>
      <c r="G10" s="118"/>
      <c r="I10" s="335" t="s">
        <v>491</v>
      </c>
      <c r="J10" s="336" t="s">
        <v>558</v>
      </c>
      <c r="K10" s="335">
        <v>0</v>
      </c>
      <c r="L10" s="335">
        <v>0</v>
      </c>
      <c r="M10" s="335">
        <v>12000</v>
      </c>
      <c r="N10" s="335">
        <f>M10-11400</f>
        <v>600</v>
      </c>
      <c r="O10" s="337">
        <f t="shared" ref="O10" si="6">IF(M10=0,0,M10-K10)-N10</f>
        <v>11400</v>
      </c>
      <c r="P10" s="337">
        <f t="shared" ref="P10" si="7">IF(M10=0,K10,0)</f>
        <v>0</v>
      </c>
      <c r="Q10" s="338"/>
      <c r="R10" s="339"/>
      <c r="S10" s="339">
        <v>42076</v>
      </c>
      <c r="T10" s="340"/>
    </row>
    <row r="11" spans="2:20" x14ac:dyDescent="0.25">
      <c r="B11" s="116" t="s">
        <v>100</v>
      </c>
      <c r="C11" s="117">
        <f>SUM(C12:C15)</f>
        <v>1052640</v>
      </c>
      <c r="D11" s="140">
        <f>C11/$C$34</f>
        <v>8.0279220132952162E-2</v>
      </c>
      <c r="E11" s="116" t="s">
        <v>107</v>
      </c>
      <c r="F11" s="117">
        <f>SUM(F12:F17)+C9</f>
        <v>3059456</v>
      </c>
      <c r="G11" s="118">
        <f t="shared" ref="G11:G17" si="8">F11/$F$34</f>
        <v>0.23332833799882324</v>
      </c>
    </row>
    <row r="12" spans="2:20" x14ac:dyDescent="0.25">
      <c r="B12" s="129" t="s">
        <v>121</v>
      </c>
      <c r="C12" s="130">
        <f>SUMIF(I4:I44,"S",$P$4:$P$44)</f>
        <v>0</v>
      </c>
      <c r="D12" s="202">
        <f>C12/$C$34</f>
        <v>0</v>
      </c>
      <c r="E12" s="49" t="s">
        <v>122</v>
      </c>
      <c r="F12" s="131">
        <f>SUMIF(I4:I9,"J",$O$4:$O$39)</f>
        <v>0</v>
      </c>
      <c r="G12" s="121">
        <f t="shared" si="8"/>
        <v>0</v>
      </c>
    </row>
    <row r="13" spans="2:20" x14ac:dyDescent="0.25">
      <c r="B13" s="129" t="s">
        <v>100</v>
      </c>
      <c r="C13" s="130">
        <f>SUMIF(I4:I39,"J",$P$4:$P$39)</f>
        <v>1052640</v>
      </c>
      <c r="D13" s="202">
        <f>C13/$C$34</f>
        <v>8.0279220132952162E-2</v>
      </c>
      <c r="E13" s="49" t="s">
        <v>123</v>
      </c>
      <c r="F13" s="131">
        <f>SUMIF(I3:I8,"S",$O$4:$O$39)</f>
        <v>0</v>
      </c>
      <c r="G13" s="121">
        <f t="shared" si="8"/>
        <v>0</v>
      </c>
    </row>
    <row r="14" spans="2:20" x14ac:dyDescent="0.25">
      <c r="B14" s="129" t="s">
        <v>99</v>
      </c>
      <c r="C14" s="130">
        <f>SUMIF(I4:I39,"E",$P$4:$P$39)</f>
        <v>0</v>
      </c>
      <c r="D14" s="202">
        <f>C14/$C$34</f>
        <v>0</v>
      </c>
      <c r="E14" s="49" t="s">
        <v>124</v>
      </c>
      <c r="F14" s="131">
        <f>SUMIF(I4:I19,"C",$O$4:$O$39)</f>
        <v>108727</v>
      </c>
      <c r="G14" s="121">
        <f t="shared" si="8"/>
        <v>8.2920264928137734E-3</v>
      </c>
    </row>
    <row r="15" spans="2:20" x14ac:dyDescent="0.25">
      <c r="B15" s="129" t="s">
        <v>125</v>
      </c>
      <c r="C15" s="130">
        <f>SUMIF(I4:I39,"M",$P$4:$P$39)</f>
        <v>0</v>
      </c>
      <c r="D15" s="202">
        <f>C15/$C$34</f>
        <v>0</v>
      </c>
      <c r="E15" s="49" t="s">
        <v>126</v>
      </c>
      <c r="F15" s="131">
        <f>SUMIF(I4:I19,"E",$O$4:$O$39)</f>
        <v>0</v>
      </c>
      <c r="G15" s="121">
        <f t="shared" si="8"/>
        <v>0</v>
      </c>
    </row>
    <row r="16" spans="2:20" x14ac:dyDescent="0.25">
      <c r="B16" s="132"/>
      <c r="C16" s="133"/>
      <c r="D16" s="140"/>
      <c r="E16" s="49" t="s">
        <v>127</v>
      </c>
      <c r="F16" s="131">
        <f>SUMIF(I4:I19,"M",$O$4:$O$39)</f>
        <v>0</v>
      </c>
      <c r="G16" s="121">
        <f t="shared" si="8"/>
        <v>0</v>
      </c>
    </row>
    <row r="17" spans="2:7" x14ac:dyDescent="0.25">
      <c r="B17" s="116" t="s">
        <v>74</v>
      </c>
      <c r="C17" s="134">
        <f>C18+C19</f>
        <v>108727</v>
      </c>
      <c r="D17" s="140">
        <f>C17/$C$34</f>
        <v>8.2920264928137734E-3</v>
      </c>
      <c r="E17" s="135" t="s">
        <v>128</v>
      </c>
      <c r="F17" s="136">
        <f>C22-F27+EconomiaT45!C24-EconomiaT45!C5</f>
        <v>2950729</v>
      </c>
      <c r="G17" s="121">
        <f t="shared" si="8"/>
        <v>0.22503631150600947</v>
      </c>
    </row>
    <row r="18" spans="2:7" x14ac:dyDescent="0.25">
      <c r="B18" s="129" t="s">
        <v>74</v>
      </c>
      <c r="C18" s="130">
        <f>SUM(M4:M18)</f>
        <v>132449</v>
      </c>
      <c r="D18" s="202">
        <f>C18/$C$34</f>
        <v>1.0101176496607939E-2</v>
      </c>
      <c r="E18" s="124"/>
      <c r="F18" s="125"/>
      <c r="G18" s="137"/>
    </row>
    <row r="19" spans="2:7" x14ac:dyDescent="0.25">
      <c r="B19" s="122" t="s">
        <v>76</v>
      </c>
      <c r="C19" s="123">
        <f>SUM(N4:N50)*-1</f>
        <v>-23722</v>
      </c>
      <c r="D19" s="202">
        <f>C19/$C$34</f>
        <v>-1.8091500037941662E-3</v>
      </c>
      <c r="E19" s="116" t="s">
        <v>129</v>
      </c>
      <c r="F19" s="134">
        <f>F20+F21</f>
        <v>1052640</v>
      </c>
      <c r="G19" s="118">
        <f>F19/$F$34</f>
        <v>8.0279220132952162E-2</v>
      </c>
    </row>
    <row r="20" spans="2:7" x14ac:dyDescent="0.25">
      <c r="B20" s="132"/>
      <c r="C20" s="133"/>
      <c r="D20" s="202"/>
      <c r="E20" s="206" t="s">
        <v>88</v>
      </c>
      <c r="F20" s="207">
        <f>EconomiaT45!C19</f>
        <v>1052940</v>
      </c>
      <c r="G20" s="121">
        <f>F20/$F$34</f>
        <v>8.0302099527654894E-2</v>
      </c>
    </row>
    <row r="21" spans="2:7" x14ac:dyDescent="0.25">
      <c r="B21" s="132"/>
      <c r="C21" s="133"/>
      <c r="D21" s="140"/>
      <c r="E21" s="122" t="s">
        <v>130</v>
      </c>
      <c r="F21" s="208">
        <f>SUM(L4:L99)*-1</f>
        <v>-300</v>
      </c>
      <c r="G21" s="121">
        <f>F21/$F$34</f>
        <v>-2.2879394702733746E-5</v>
      </c>
    </row>
    <row r="22" spans="2:7" x14ac:dyDescent="0.25">
      <c r="B22" s="116" t="s">
        <v>131</v>
      </c>
      <c r="C22" s="117">
        <f>SUM(C23:C27)</f>
        <v>5133095</v>
      </c>
      <c r="D22" s="140">
        <f t="shared" ref="D22:D27" si="9">C22/$C$34</f>
        <v>0.39147368850543024</v>
      </c>
      <c r="E22" s="116"/>
      <c r="F22" s="117"/>
      <c r="G22" s="118"/>
    </row>
    <row r="23" spans="2:7" x14ac:dyDescent="0.25">
      <c r="B23" s="138" t="s">
        <v>69</v>
      </c>
      <c r="C23" s="139">
        <f>EconomiaT45!C11</f>
        <v>72269</v>
      </c>
      <c r="D23" s="202">
        <f t="shared" si="9"/>
        <v>5.5115699192395499E-3</v>
      </c>
      <c r="E23" s="116" t="s">
        <v>264</v>
      </c>
      <c r="F23" s="117">
        <f>SUM(F24:F25)</f>
        <v>377170</v>
      </c>
      <c r="G23" s="118">
        <f>F23/$F$34</f>
        <v>2.8764737666766956E-2</v>
      </c>
    </row>
    <row r="24" spans="2:7" x14ac:dyDescent="0.25">
      <c r="B24" s="138" t="s">
        <v>79</v>
      </c>
      <c r="C24" s="139">
        <f>EconomiaT45!C12</f>
        <v>900000</v>
      </c>
      <c r="D24" s="202">
        <f t="shared" si="9"/>
        <v>6.8638184108201231E-2</v>
      </c>
      <c r="E24" s="206" t="s">
        <v>84</v>
      </c>
      <c r="F24" s="209">
        <f>EconomiaT45!C16</f>
        <v>377170</v>
      </c>
      <c r="G24" s="121">
        <f>F24/$F$34</f>
        <v>2.8764737666766956E-2</v>
      </c>
    </row>
    <row r="25" spans="2:7" x14ac:dyDescent="0.25">
      <c r="B25" s="138" t="s">
        <v>71</v>
      </c>
      <c r="C25" s="139">
        <f>EconomiaT45!C6</f>
        <v>2802198</v>
      </c>
      <c r="D25" s="202">
        <f t="shared" si="9"/>
        <v>0.21370864692403699</v>
      </c>
      <c r="E25" s="206" t="s">
        <v>67</v>
      </c>
      <c r="F25" s="209">
        <f>EconomiaT45!C20</f>
        <v>0</v>
      </c>
      <c r="G25" s="121">
        <f>F25/$F$34</f>
        <v>0</v>
      </c>
    </row>
    <row r="26" spans="2:7" x14ac:dyDescent="0.25">
      <c r="B26" s="138" t="s">
        <v>72</v>
      </c>
      <c r="C26" s="139">
        <f>EconomiaT45!C7</f>
        <v>1358155</v>
      </c>
      <c r="D26" s="202">
        <f t="shared" si="9"/>
        <v>0.10357921437497117</v>
      </c>
      <c r="E26" s="116"/>
      <c r="F26" s="117"/>
      <c r="G26" s="118"/>
    </row>
    <row r="27" spans="2:7" x14ac:dyDescent="0.25">
      <c r="B27" s="138" t="s">
        <v>76</v>
      </c>
      <c r="C27" s="139">
        <f>EconomiaT45!C10</f>
        <v>473</v>
      </c>
      <c r="D27" s="202">
        <f t="shared" si="9"/>
        <v>3.6073178981310206E-5</v>
      </c>
      <c r="E27" s="116" t="s">
        <v>265</v>
      </c>
      <c r="F27" s="117">
        <f>SUM(F28:F33)</f>
        <v>2985164</v>
      </c>
      <c r="G27" s="118">
        <f t="shared" ref="G27:G33" si="10">F27/$F$34</f>
        <v>0.22766248469463826</v>
      </c>
    </row>
    <row r="28" spans="2:7" x14ac:dyDescent="0.25">
      <c r="B28" s="116"/>
      <c r="C28" s="117"/>
      <c r="D28" s="140"/>
      <c r="E28" s="206" t="s">
        <v>132</v>
      </c>
      <c r="F28" s="209">
        <f>EconomiaT45!C14</f>
        <v>604148</v>
      </c>
      <c r="G28" s="121">
        <f t="shared" si="10"/>
        <v>4.6075135169557288E-2</v>
      </c>
    </row>
    <row r="29" spans="2:7" x14ac:dyDescent="0.25">
      <c r="B29" s="116" t="s">
        <v>133</v>
      </c>
      <c r="C29" s="117">
        <f>EconomiaT45!S24</f>
        <v>3063093</v>
      </c>
      <c r="D29" s="140">
        <f>C29/$C$34</f>
        <v>0.23360571252726939</v>
      </c>
      <c r="E29" s="206" t="s">
        <v>82</v>
      </c>
      <c r="F29" s="209">
        <f>EconomiaT45!C15</f>
        <v>322016</v>
      </c>
      <c r="G29" s="121">
        <f t="shared" si="10"/>
        <v>2.4558437215318366E-2</v>
      </c>
    </row>
    <row r="30" spans="2:7" x14ac:dyDescent="0.25">
      <c r="B30" s="116"/>
      <c r="C30" s="117"/>
      <c r="D30" s="140"/>
      <c r="E30" s="206" t="s">
        <v>85</v>
      </c>
      <c r="F30" s="209">
        <f>EconomiaT45!C17</f>
        <v>1680000</v>
      </c>
      <c r="G30" s="121">
        <f t="shared" si="10"/>
        <v>0.12812461033530897</v>
      </c>
    </row>
    <row r="31" spans="2:7" x14ac:dyDescent="0.25">
      <c r="B31" s="116"/>
      <c r="C31" s="117"/>
      <c r="D31" s="140"/>
      <c r="E31" s="206" t="s">
        <v>86</v>
      </c>
      <c r="F31" s="209">
        <f>EconomiaT45!C18</f>
        <v>320000</v>
      </c>
      <c r="G31" s="121">
        <f t="shared" si="10"/>
        <v>2.4404687682915992E-2</v>
      </c>
    </row>
    <row r="32" spans="2:7" x14ac:dyDescent="0.25">
      <c r="B32" s="116"/>
      <c r="C32" s="117"/>
      <c r="D32" s="140"/>
      <c r="E32" s="206" t="s">
        <v>89</v>
      </c>
      <c r="F32" s="209">
        <f>EconomiaT45!C21</f>
        <v>59000</v>
      </c>
      <c r="G32" s="121">
        <f t="shared" si="10"/>
        <v>4.4996142915376368E-3</v>
      </c>
    </row>
    <row r="33" spans="2:8" x14ac:dyDescent="0.25">
      <c r="B33" s="141"/>
      <c r="C33" s="142"/>
      <c r="D33" s="140"/>
      <c r="E33" s="206" t="s">
        <v>90</v>
      </c>
      <c r="F33" s="209">
        <f>EconomiaT45!C22</f>
        <v>0</v>
      </c>
      <c r="G33" s="121">
        <f t="shared" si="10"/>
        <v>0</v>
      </c>
    </row>
    <row r="34" spans="2:8" ht="18.75" x14ac:dyDescent="0.3">
      <c r="B34" s="143" t="s">
        <v>27</v>
      </c>
      <c r="C34" s="144">
        <f>C22+C17+C11+C6+C29</f>
        <v>13112235</v>
      </c>
      <c r="D34" s="145">
        <f>C34/$C$34</f>
        <v>1</v>
      </c>
      <c r="E34" s="146" t="s">
        <v>27</v>
      </c>
      <c r="F34" s="147">
        <f>F27+F19+F11+F6+F23</f>
        <v>13112235</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34" priority="71" operator="lessThan">
      <formula>0</formula>
    </cfRule>
    <cfRule type="cellIs" dxfId="233" priority="72" operator="greaterThan">
      <formula>0</formula>
    </cfRule>
  </conditionalFormatting>
  <conditionalFormatting sqref="O4">
    <cfRule type="cellIs" dxfId="232" priority="69" operator="lessThan">
      <formula>0</formula>
    </cfRule>
    <cfRule type="cellIs" dxfId="231" priority="70" operator="greaterThan">
      <formula>0</formula>
    </cfRule>
  </conditionalFormatting>
  <conditionalFormatting sqref="T4">
    <cfRule type="cellIs" dxfId="230" priority="67" operator="lessThan">
      <formula>0</formula>
    </cfRule>
    <cfRule type="cellIs" dxfId="229" priority="68" operator="greaterThan">
      <formula>0</formula>
    </cfRule>
  </conditionalFormatting>
  <conditionalFormatting sqref="T4">
    <cfRule type="cellIs" dxfId="228" priority="65" operator="lessThan">
      <formula>0</formula>
    </cfRule>
    <cfRule type="cellIs" dxfId="227" priority="66" operator="greaterThan">
      <formula>0</formula>
    </cfRule>
  </conditionalFormatting>
  <conditionalFormatting sqref="O4 T4 Q4">
    <cfRule type="cellIs" dxfId="226" priority="63" operator="lessThan">
      <formula>0</formula>
    </cfRule>
    <cfRule type="cellIs" dxfId="225" priority="64" operator="greaterThan">
      <formula>0</formula>
    </cfRule>
  </conditionalFormatting>
  <conditionalFormatting sqref="T4">
    <cfRule type="cellIs" dxfId="224" priority="61" operator="lessThan">
      <formula>0</formula>
    </cfRule>
    <cfRule type="cellIs" dxfId="223" priority="62" operator="greaterThan">
      <formula>0</formula>
    </cfRule>
  </conditionalFormatting>
  <conditionalFormatting sqref="O5">
    <cfRule type="cellIs" dxfId="222" priority="59" operator="lessThan">
      <formula>0</formula>
    </cfRule>
    <cfRule type="cellIs" dxfId="221" priority="60" operator="greaterThan">
      <formula>0</formula>
    </cfRule>
  </conditionalFormatting>
  <conditionalFormatting sqref="T5">
    <cfRule type="cellIs" dxfId="220" priority="57" operator="lessThan">
      <formula>0</formula>
    </cfRule>
    <cfRule type="cellIs" dxfId="219" priority="58" operator="greaterThan">
      <formula>0</formula>
    </cfRule>
  </conditionalFormatting>
  <conditionalFormatting sqref="T5">
    <cfRule type="cellIs" dxfId="218" priority="55" operator="lessThan">
      <formula>0</formula>
    </cfRule>
    <cfRule type="cellIs" dxfId="217" priority="56" operator="greaterThan">
      <formula>0</formula>
    </cfRule>
  </conditionalFormatting>
  <conditionalFormatting sqref="O5 T5 Q5">
    <cfRule type="cellIs" dxfId="216" priority="53" operator="lessThan">
      <formula>0</formula>
    </cfRule>
    <cfRule type="cellIs" dxfId="215" priority="54" operator="greaterThan">
      <formula>0</formula>
    </cfRule>
  </conditionalFormatting>
  <conditionalFormatting sqref="T5">
    <cfRule type="cellIs" dxfId="214" priority="51" operator="lessThan">
      <formula>0</formula>
    </cfRule>
    <cfRule type="cellIs" dxfId="213" priority="52" operator="greaterThan">
      <formula>0</formula>
    </cfRule>
  </conditionalFormatting>
  <conditionalFormatting sqref="O6">
    <cfRule type="cellIs" dxfId="212" priority="49" operator="lessThan">
      <formula>0</formula>
    </cfRule>
    <cfRule type="cellIs" dxfId="211" priority="50" operator="greaterThan">
      <formula>0</formula>
    </cfRule>
  </conditionalFormatting>
  <conditionalFormatting sqref="T6">
    <cfRule type="cellIs" dxfId="210" priority="47" operator="lessThan">
      <formula>0</formula>
    </cfRule>
    <cfRule type="cellIs" dxfId="209" priority="48" operator="greaterThan">
      <formula>0</formula>
    </cfRule>
  </conditionalFormatting>
  <conditionalFormatting sqref="T6">
    <cfRule type="cellIs" dxfId="208" priority="45" operator="lessThan">
      <formula>0</formula>
    </cfRule>
    <cfRule type="cellIs" dxfId="207" priority="46" operator="greaterThan">
      <formula>0</formula>
    </cfRule>
  </conditionalFormatting>
  <conditionalFormatting sqref="O6 T6 Q6">
    <cfRule type="cellIs" dxfId="206" priority="43" operator="lessThan">
      <formula>0</formula>
    </cfRule>
    <cfRule type="cellIs" dxfId="205" priority="44" operator="greaterThan">
      <formula>0</formula>
    </cfRule>
  </conditionalFormatting>
  <conditionalFormatting sqref="T6">
    <cfRule type="cellIs" dxfId="204" priority="41" operator="lessThan">
      <formula>0</formula>
    </cfRule>
    <cfRule type="cellIs" dxfId="203" priority="42" operator="greaterThan">
      <formula>0</formula>
    </cfRule>
  </conditionalFormatting>
  <conditionalFormatting sqref="O7">
    <cfRule type="cellIs" dxfId="202" priority="39" operator="lessThan">
      <formula>0</formula>
    </cfRule>
    <cfRule type="cellIs" dxfId="201" priority="40" operator="greaterThan">
      <formula>0</formula>
    </cfRule>
  </conditionalFormatting>
  <conditionalFormatting sqref="T7">
    <cfRule type="cellIs" dxfId="200" priority="37" operator="lessThan">
      <formula>0</formula>
    </cfRule>
    <cfRule type="cellIs" dxfId="199" priority="38" operator="greaterThan">
      <formula>0</formula>
    </cfRule>
  </conditionalFormatting>
  <conditionalFormatting sqref="T7">
    <cfRule type="cellIs" dxfId="198" priority="35" operator="lessThan">
      <formula>0</formula>
    </cfRule>
    <cfRule type="cellIs" dxfId="197" priority="36" operator="greaterThan">
      <formula>0</formula>
    </cfRule>
  </conditionalFormatting>
  <conditionalFormatting sqref="O7 T7 Q7">
    <cfRule type="cellIs" dxfId="196" priority="33" operator="lessThan">
      <formula>0</formula>
    </cfRule>
    <cfRule type="cellIs" dxfId="195" priority="34" operator="greaterThan">
      <formula>0</formula>
    </cfRule>
  </conditionalFormatting>
  <conditionalFormatting sqref="T7">
    <cfRule type="cellIs" dxfId="194" priority="31" operator="lessThan">
      <formula>0</formula>
    </cfRule>
    <cfRule type="cellIs" dxfId="193" priority="32" operator="greaterThan">
      <formula>0</formula>
    </cfRule>
  </conditionalFormatting>
  <conditionalFormatting sqref="O8">
    <cfRule type="cellIs" dxfId="192" priority="29" operator="lessThan">
      <formula>0</formula>
    </cfRule>
    <cfRule type="cellIs" dxfId="191" priority="30" operator="greaterThan">
      <formula>0</formula>
    </cfRule>
  </conditionalFormatting>
  <conditionalFormatting sqref="T8">
    <cfRule type="cellIs" dxfId="190" priority="27" operator="lessThan">
      <formula>0</formula>
    </cfRule>
    <cfRule type="cellIs" dxfId="189" priority="28" operator="greaterThan">
      <formula>0</formula>
    </cfRule>
  </conditionalFormatting>
  <conditionalFormatting sqref="T8">
    <cfRule type="cellIs" dxfId="188" priority="25" operator="lessThan">
      <formula>0</formula>
    </cfRule>
    <cfRule type="cellIs" dxfId="187" priority="26" operator="greaterThan">
      <formula>0</formula>
    </cfRule>
  </conditionalFormatting>
  <conditionalFormatting sqref="O8 T8 Q8">
    <cfRule type="cellIs" dxfId="186" priority="23" operator="lessThan">
      <formula>0</formula>
    </cfRule>
    <cfRule type="cellIs" dxfId="185" priority="24" operator="greaterThan">
      <formula>0</formula>
    </cfRule>
  </conditionalFormatting>
  <conditionalFormatting sqref="T8">
    <cfRule type="cellIs" dxfId="184" priority="21" operator="lessThan">
      <formula>0</formula>
    </cfRule>
    <cfRule type="cellIs" dxfId="183" priority="22" operator="greaterThan">
      <formula>0</formula>
    </cfRule>
  </conditionalFormatting>
  <conditionalFormatting sqref="O9">
    <cfRule type="cellIs" dxfId="182" priority="19" operator="lessThan">
      <formula>0</formula>
    </cfRule>
    <cfRule type="cellIs" dxfId="181" priority="20" operator="greaterThan">
      <formula>0</formula>
    </cfRule>
  </conditionalFormatting>
  <conditionalFormatting sqref="T9">
    <cfRule type="cellIs" dxfId="180" priority="17" operator="lessThan">
      <formula>0</formula>
    </cfRule>
    <cfRule type="cellIs" dxfId="179" priority="18" operator="greaterThan">
      <formula>0</formula>
    </cfRule>
  </conditionalFormatting>
  <conditionalFormatting sqref="T9">
    <cfRule type="cellIs" dxfId="178" priority="15" operator="lessThan">
      <formula>0</formula>
    </cfRule>
    <cfRule type="cellIs" dxfId="177" priority="16" operator="greaterThan">
      <formula>0</formula>
    </cfRule>
  </conditionalFormatting>
  <conditionalFormatting sqref="O9 T9 Q9">
    <cfRule type="cellIs" dxfId="176" priority="13" operator="lessThan">
      <formula>0</formula>
    </cfRule>
    <cfRule type="cellIs" dxfId="175" priority="14" operator="greaterThan">
      <formula>0</formula>
    </cfRule>
  </conditionalFormatting>
  <conditionalFormatting sqref="T9">
    <cfRule type="cellIs" dxfId="174" priority="11" operator="lessThan">
      <formula>0</formula>
    </cfRule>
    <cfRule type="cellIs" dxfId="173" priority="12" operator="greaterThan">
      <formula>0</formula>
    </cfRule>
  </conditionalFormatting>
  <conditionalFormatting sqref="O10">
    <cfRule type="cellIs" dxfId="172" priority="9" operator="lessThan">
      <formula>0</formula>
    </cfRule>
    <cfRule type="cellIs" dxfId="171" priority="10" operator="greaterThan">
      <formula>0</formula>
    </cfRule>
  </conditionalFormatting>
  <conditionalFormatting sqref="T10">
    <cfRule type="cellIs" dxfId="170" priority="7" operator="lessThan">
      <formula>0</formula>
    </cfRule>
    <cfRule type="cellIs" dxfId="169" priority="8" operator="greaterThan">
      <formula>0</formula>
    </cfRule>
  </conditionalFormatting>
  <conditionalFormatting sqref="T10">
    <cfRule type="cellIs" dxfId="168" priority="5" operator="lessThan">
      <formula>0</formula>
    </cfRule>
    <cfRule type="cellIs" dxfId="167" priority="6" operator="greaterThan">
      <formula>0</formula>
    </cfRule>
  </conditionalFormatting>
  <conditionalFormatting sqref="O10 T10 Q10">
    <cfRule type="cellIs" dxfId="166" priority="3" operator="lessThan">
      <formula>0</formula>
    </cfRule>
    <cfRule type="cellIs" dxfId="165" priority="4" operator="greaterThan">
      <formula>0</formula>
    </cfRule>
  </conditionalFormatting>
  <conditionalFormatting sqref="T10">
    <cfRule type="cellIs" dxfId="164" priority="1" operator="lessThan">
      <formula>0</formula>
    </cfRule>
    <cfRule type="cellIs" dxfId="163" priority="2" operator="greaterThan">
      <formula>0</formula>
    </cfRule>
  </conditionalFormatting>
  <pageMargins left="0.7" right="0.7" top="0.75" bottom="0.75" header="0.3" footer="0.3"/>
  <pageSetup paperSize="9" orientation="portrait"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R14" sqref="R14:S14"/>
    </sheetView>
  </sheetViews>
  <sheetFormatPr defaultColWidth="11.42578125" defaultRowHeight="15" x14ac:dyDescent="0.25"/>
  <cols>
    <col min="1" max="1" width="23" style="4" bestFit="1" customWidth="1"/>
    <col min="2" max="2" width="16" style="4" customWidth="1"/>
    <col min="3" max="3" width="18.28515625" style="4" bestFit="1" customWidth="1"/>
    <col min="4" max="4" width="16.7109375" style="391"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EconomiaT45!S25</f>
        <v>42076</v>
      </c>
      <c r="E2" s="55">
        <f t="shared" ref="E2:S2" si="0">D2+7</f>
        <v>42083</v>
      </c>
      <c r="F2" s="55">
        <f t="shared" si="0"/>
        <v>42090</v>
      </c>
      <c r="G2" s="55">
        <f t="shared" si="0"/>
        <v>42097</v>
      </c>
      <c r="H2" s="55">
        <f t="shared" si="0"/>
        <v>42104</v>
      </c>
      <c r="I2" s="55">
        <f t="shared" si="0"/>
        <v>42111</v>
      </c>
      <c r="J2" s="55">
        <f t="shared" si="0"/>
        <v>42118</v>
      </c>
      <c r="K2" s="55">
        <f t="shared" si="0"/>
        <v>42125</v>
      </c>
      <c r="L2" s="55">
        <f t="shared" si="0"/>
        <v>42132</v>
      </c>
      <c r="M2" s="55">
        <f t="shared" si="0"/>
        <v>42139</v>
      </c>
      <c r="N2" s="55">
        <f t="shared" si="0"/>
        <v>42146</v>
      </c>
      <c r="O2" s="55">
        <f t="shared" si="0"/>
        <v>42153</v>
      </c>
      <c r="P2" s="55">
        <f t="shared" si="0"/>
        <v>42160</v>
      </c>
      <c r="Q2" s="55">
        <f t="shared" si="0"/>
        <v>42167</v>
      </c>
      <c r="R2" s="55">
        <f t="shared" si="0"/>
        <v>42174</v>
      </c>
      <c r="S2" s="55">
        <f t="shared" si="0"/>
        <v>42181</v>
      </c>
      <c r="T2" s="56"/>
    </row>
    <row r="3" spans="1:26" s="366" customFormat="1" x14ac:dyDescent="0.25">
      <c r="A3" s="327"/>
      <c r="B3" s="327"/>
      <c r="C3" s="327" t="s">
        <v>560</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f>2241-6</f>
        <v>2235</v>
      </c>
      <c r="E4" s="61">
        <f t="shared" ref="E4:S4" si="1">D4+(D11/30)</f>
        <v>2245</v>
      </c>
      <c r="F4" s="61">
        <f t="shared" si="1"/>
        <v>2255</v>
      </c>
      <c r="G4" s="61">
        <f t="shared" si="1"/>
        <v>2267</v>
      </c>
      <c r="H4" s="61">
        <f t="shared" si="1"/>
        <v>2275</v>
      </c>
      <c r="I4" s="61">
        <f t="shared" si="1"/>
        <v>2285</v>
      </c>
      <c r="J4" s="61">
        <f t="shared" si="1"/>
        <v>2295</v>
      </c>
      <c r="K4" s="61">
        <f t="shared" si="1"/>
        <v>2305</v>
      </c>
      <c r="L4" s="61">
        <f t="shared" si="1"/>
        <v>2317</v>
      </c>
      <c r="M4" s="61">
        <f t="shared" si="1"/>
        <v>2329</v>
      </c>
      <c r="N4" s="61">
        <f t="shared" si="1"/>
        <v>2339</v>
      </c>
      <c r="O4" s="61">
        <f t="shared" si="1"/>
        <v>2349</v>
      </c>
      <c r="P4" s="61">
        <f t="shared" si="1"/>
        <v>2359</v>
      </c>
      <c r="Q4" s="61">
        <f t="shared" si="1"/>
        <v>2369</v>
      </c>
      <c r="R4" s="61">
        <f t="shared" si="1"/>
        <v>2379</v>
      </c>
      <c r="S4" s="212">
        <f t="shared" si="1"/>
        <v>2389</v>
      </c>
    </row>
    <row r="5" spans="1:26" s="66" customFormat="1" ht="18.75" x14ac:dyDescent="0.3">
      <c r="A5" s="62" t="s">
        <v>70</v>
      </c>
      <c r="B5" s="62"/>
      <c r="C5" s="63">
        <f>EconomiaT45!C24</f>
        <v>3063093</v>
      </c>
      <c r="D5" s="64">
        <f>C5</f>
        <v>3063093</v>
      </c>
      <c r="E5" s="64">
        <f t="shared" ref="E5:Q5" si="2">D24</f>
        <v>2973429</v>
      </c>
      <c r="F5" s="64">
        <f t="shared" si="2"/>
        <v>2909448</v>
      </c>
      <c r="G5" s="64">
        <f t="shared" si="2"/>
        <v>3200325</v>
      </c>
      <c r="H5" s="64">
        <f t="shared" si="2"/>
        <v>3465691</v>
      </c>
      <c r="I5" s="64">
        <f t="shared" si="2"/>
        <v>3692348</v>
      </c>
      <c r="J5" s="64">
        <f t="shared" si="2"/>
        <v>3629478</v>
      </c>
      <c r="K5" s="64">
        <f t="shared" si="2"/>
        <v>3949122</v>
      </c>
      <c r="L5" s="64">
        <f t="shared" si="2"/>
        <v>3849203</v>
      </c>
      <c r="M5" s="64">
        <f t="shared" si="2"/>
        <v>3337107</v>
      </c>
      <c r="N5" s="64">
        <f t="shared" si="2"/>
        <v>3238698</v>
      </c>
      <c r="O5" s="64">
        <f t="shared" si="2"/>
        <v>3510694</v>
      </c>
      <c r="P5" s="64">
        <f t="shared" si="2"/>
        <v>3407947</v>
      </c>
      <c r="Q5" s="64">
        <f t="shared" si="2"/>
        <v>3789768.9638907695</v>
      </c>
      <c r="R5" s="64">
        <f>Q24</f>
        <v>3680553.5382618131</v>
      </c>
      <c r="S5" s="65">
        <f>R24</f>
        <v>3860911.3711659508</v>
      </c>
    </row>
    <row r="6" spans="1:26" x14ac:dyDescent="0.25">
      <c r="A6" s="67" t="s">
        <v>71</v>
      </c>
      <c r="B6" s="67" t="s">
        <v>71</v>
      </c>
      <c r="C6" s="68">
        <f t="shared" ref="C6:C23" si="3">SUM(D6:S6)</f>
        <v>3356670</v>
      </c>
      <c r="D6" s="69">
        <v>15997</v>
      </c>
      <c r="E6" s="69">
        <v>34650</v>
      </c>
      <c r="F6" s="69">
        <v>388299</v>
      </c>
      <c r="G6" s="69">
        <v>233448</v>
      </c>
      <c r="H6" s="69">
        <v>325149</v>
      </c>
      <c r="I6" s="69">
        <v>38202</v>
      </c>
      <c r="J6" s="69">
        <v>428746</v>
      </c>
      <c r="K6" s="69">
        <v>12463</v>
      </c>
      <c r="L6" s="69">
        <v>368981</v>
      </c>
      <c r="M6" s="69">
        <v>20188</v>
      </c>
      <c r="N6" s="69">
        <v>384058</v>
      </c>
      <c r="O6" s="69">
        <v>19744</v>
      </c>
      <c r="P6" s="69">
        <v>510943</v>
      </c>
      <c r="Q6" s="69">
        <v>17646</v>
      </c>
      <c r="R6" s="69">
        <v>529544</v>
      </c>
      <c r="S6" s="70">
        <v>28612</v>
      </c>
      <c r="Y6" s="67" t="s">
        <v>71</v>
      </c>
      <c r="Z6" s="71">
        <f>C6/$C$13</f>
        <v>0.51135976429140029</v>
      </c>
    </row>
    <row r="7" spans="1:26" x14ac:dyDescent="0.25">
      <c r="A7" s="67" t="s">
        <v>72</v>
      </c>
      <c r="B7" s="67" t="s">
        <v>72</v>
      </c>
      <c r="C7" s="68">
        <f t="shared" si="3"/>
        <v>1671554.3711659508</v>
      </c>
      <c r="D7" s="72">
        <v>85845</v>
      </c>
      <c r="E7" s="72">
        <v>92875</v>
      </c>
      <c r="F7" s="72">
        <v>97870</v>
      </c>
      <c r="G7" s="72">
        <v>101200</v>
      </c>
      <c r="H7" s="72">
        <v>103420</v>
      </c>
      <c r="I7" s="72">
        <v>104900</v>
      </c>
      <c r="J7" s="72">
        <v>106010</v>
      </c>
      <c r="K7" s="72">
        <v>106750</v>
      </c>
      <c r="L7" s="72">
        <v>107490</v>
      </c>
      <c r="M7" s="72">
        <v>108045</v>
      </c>
      <c r="N7" s="72">
        <v>108600</v>
      </c>
      <c r="O7" s="72">
        <v>108970</v>
      </c>
      <c r="P7" s="72">
        <f>O7*(1+P43)-85</f>
        <v>109339.96389076956</v>
      </c>
      <c r="Q7" s="72">
        <f>P7*(1+Q43)-85</f>
        <v>109709.57437104356</v>
      </c>
      <c r="R7" s="72">
        <f>Q7*(1+R43)-84</f>
        <v>110079.83290413764</v>
      </c>
      <c r="S7" s="70">
        <v>110450</v>
      </c>
      <c r="Y7" s="67" t="s">
        <v>72</v>
      </c>
      <c r="Z7" s="71">
        <f t="shared" ref="Z7:Z12" si="4">C7/$C$13</f>
        <v>0.25464691174279286</v>
      </c>
    </row>
    <row r="8" spans="1:26" x14ac:dyDescent="0.25">
      <c r="A8" s="67" t="s">
        <v>73</v>
      </c>
      <c r="B8" s="67" t="s">
        <v>74</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70">
        <v>0</v>
      </c>
      <c r="Y8" s="67" t="s">
        <v>74</v>
      </c>
      <c r="Z8" s="71">
        <f t="shared" si="4"/>
        <v>0</v>
      </c>
    </row>
    <row r="9" spans="1:26" x14ac:dyDescent="0.25">
      <c r="A9" s="67"/>
      <c r="B9" s="67" t="s">
        <v>75</v>
      </c>
      <c r="C9" s="68">
        <f t="shared" si="3"/>
        <v>15200</v>
      </c>
      <c r="D9" s="69">
        <v>0</v>
      </c>
      <c r="E9" s="69">
        <v>0</v>
      </c>
      <c r="F9" s="69">
        <v>0</v>
      </c>
      <c r="G9" s="69">
        <v>12350</v>
      </c>
      <c r="H9" s="69">
        <v>0</v>
      </c>
      <c r="I9" s="69">
        <v>0</v>
      </c>
      <c r="J9" s="69">
        <v>0</v>
      </c>
      <c r="K9" s="69">
        <v>0</v>
      </c>
      <c r="L9" s="69">
        <v>0</v>
      </c>
      <c r="M9" s="69">
        <v>0</v>
      </c>
      <c r="N9" s="69">
        <v>0</v>
      </c>
      <c r="O9" s="69">
        <v>0</v>
      </c>
      <c r="P9" s="69">
        <v>0</v>
      </c>
      <c r="Q9" s="69">
        <v>950</v>
      </c>
      <c r="R9" s="69">
        <v>1900</v>
      </c>
      <c r="S9" s="70">
        <v>0</v>
      </c>
      <c r="Y9" s="67" t="s">
        <v>75</v>
      </c>
      <c r="Z9" s="71">
        <f t="shared" si="4"/>
        <v>2.3155890859778545E-3</v>
      </c>
    </row>
    <row r="10" spans="1:26" x14ac:dyDescent="0.25">
      <c r="A10" s="67" t="s">
        <v>76</v>
      </c>
      <c r="B10" s="67" t="s">
        <v>76</v>
      </c>
      <c r="C10" s="68">
        <f t="shared" si="3"/>
        <v>7140</v>
      </c>
      <c r="D10" s="72">
        <v>0</v>
      </c>
      <c r="E10" s="72">
        <v>0</v>
      </c>
      <c r="F10" s="72">
        <v>0</v>
      </c>
      <c r="G10" s="72">
        <v>0</v>
      </c>
      <c r="H10" s="72">
        <v>0</v>
      </c>
      <c r="I10" s="72">
        <v>7140</v>
      </c>
      <c r="J10" s="72">
        <v>0</v>
      </c>
      <c r="K10" s="72">
        <v>0</v>
      </c>
      <c r="L10" s="72">
        <v>0</v>
      </c>
      <c r="M10" s="72">
        <v>0</v>
      </c>
      <c r="N10" s="72">
        <v>0</v>
      </c>
      <c r="O10" s="72">
        <v>0</v>
      </c>
      <c r="P10" s="72">
        <v>0</v>
      </c>
      <c r="Q10" s="72">
        <v>0</v>
      </c>
      <c r="R10" s="72">
        <v>0</v>
      </c>
      <c r="S10" s="70">
        <v>0</v>
      </c>
      <c r="Y10" s="67" t="s">
        <v>76</v>
      </c>
      <c r="Z10" s="71">
        <f t="shared" si="4"/>
        <v>1.08771750486065E-3</v>
      </c>
    </row>
    <row r="11" spans="1:26" x14ac:dyDescent="0.25">
      <c r="A11" s="715" t="s">
        <v>77</v>
      </c>
      <c r="B11" s="67" t="s">
        <v>78</v>
      </c>
      <c r="C11" s="68">
        <f t="shared" si="3"/>
        <v>83340</v>
      </c>
      <c r="D11" s="72">
        <v>300</v>
      </c>
      <c r="E11" s="72">
        <v>300</v>
      </c>
      <c r="F11" s="72">
        <v>360</v>
      </c>
      <c r="G11" s="72">
        <v>240</v>
      </c>
      <c r="H11" s="72">
        <v>300</v>
      </c>
      <c r="I11" s="72">
        <f>H11</f>
        <v>300</v>
      </c>
      <c r="J11" s="72">
        <f t="shared" ref="J11:R11" si="5">I11</f>
        <v>300</v>
      </c>
      <c r="K11" s="72">
        <f>180*2</f>
        <v>360</v>
      </c>
      <c r="L11" s="72">
        <f t="shared" si="5"/>
        <v>360</v>
      </c>
      <c r="M11" s="72">
        <v>300</v>
      </c>
      <c r="N11" s="72">
        <f t="shared" si="5"/>
        <v>300</v>
      </c>
      <c r="O11" s="72">
        <f t="shared" si="5"/>
        <v>300</v>
      </c>
      <c r="P11" s="72">
        <f t="shared" si="5"/>
        <v>300</v>
      </c>
      <c r="Q11" s="72">
        <f t="shared" si="5"/>
        <v>300</v>
      </c>
      <c r="R11" s="72">
        <f t="shared" si="5"/>
        <v>300</v>
      </c>
      <c r="S11" s="70">
        <f>71550+7170</f>
        <v>78720</v>
      </c>
      <c r="Y11" s="67" t="s">
        <v>78</v>
      </c>
      <c r="Z11" s="71">
        <f t="shared" si="4"/>
        <v>1.2696131212196999E-2</v>
      </c>
    </row>
    <row r="12" spans="1:26" x14ac:dyDescent="0.25">
      <c r="A12" s="716"/>
      <c r="B12" s="67" t="s">
        <v>79</v>
      </c>
      <c r="C12" s="68">
        <f t="shared" si="3"/>
        <v>1430300</v>
      </c>
      <c r="D12" s="72">
        <v>0</v>
      </c>
      <c r="E12" s="72">
        <v>0</v>
      </c>
      <c r="F12" s="72">
        <v>0</v>
      </c>
      <c r="G12" s="72">
        <v>120000</v>
      </c>
      <c r="H12" s="72">
        <v>0</v>
      </c>
      <c r="I12" s="72">
        <v>0</v>
      </c>
      <c r="J12" s="72">
        <v>0</v>
      </c>
      <c r="K12" s="72">
        <v>0</v>
      </c>
      <c r="L12" s="72">
        <v>0</v>
      </c>
      <c r="M12" s="72">
        <v>0</v>
      </c>
      <c r="N12" s="72">
        <v>0</v>
      </c>
      <c r="O12" s="72">
        <v>0</v>
      </c>
      <c r="P12" s="72">
        <v>0</v>
      </c>
      <c r="Q12" s="72">
        <v>0</v>
      </c>
      <c r="R12" s="72">
        <v>10000</v>
      </c>
      <c r="S12" s="70">
        <f>900000+400000+300</f>
        <v>1300300</v>
      </c>
      <c r="Y12" s="67" t="s">
        <v>79</v>
      </c>
      <c r="Z12" s="71">
        <f t="shared" si="4"/>
        <v>0.21789388616277139</v>
      </c>
    </row>
    <row r="13" spans="1:26" s="78" customFormat="1" ht="18.75" x14ac:dyDescent="0.3">
      <c r="A13" s="73" t="s">
        <v>80</v>
      </c>
      <c r="B13" s="74"/>
      <c r="C13" s="75">
        <f t="shared" si="3"/>
        <v>6564204.3711659508</v>
      </c>
      <c r="D13" s="76">
        <f t="shared" ref="D13:H13" si="6">SUM(D6:D12)</f>
        <v>102142</v>
      </c>
      <c r="E13" s="76">
        <f t="shared" si="6"/>
        <v>127825</v>
      </c>
      <c r="F13" s="76">
        <f>F12+F11+F10+F9+F8+F7+F6</f>
        <v>486529</v>
      </c>
      <c r="G13" s="76">
        <f t="shared" si="6"/>
        <v>467238</v>
      </c>
      <c r="H13" s="76">
        <f t="shared" si="6"/>
        <v>428869</v>
      </c>
      <c r="I13" s="76">
        <f t="shared" ref="I13:S13" si="7">SUM(I6:I12)</f>
        <v>150542</v>
      </c>
      <c r="J13" s="76">
        <f t="shared" si="7"/>
        <v>535056</v>
      </c>
      <c r="K13" s="76">
        <f t="shared" si="7"/>
        <v>119573</v>
      </c>
      <c r="L13" s="76">
        <f t="shared" si="7"/>
        <v>476831</v>
      </c>
      <c r="M13" s="76">
        <f t="shared" si="7"/>
        <v>128533</v>
      </c>
      <c r="N13" s="76">
        <f t="shared" si="7"/>
        <v>492958</v>
      </c>
      <c r="O13" s="76">
        <f t="shared" si="7"/>
        <v>129014</v>
      </c>
      <c r="P13" s="76">
        <f t="shared" si="7"/>
        <v>620582.96389076952</v>
      </c>
      <c r="Q13" s="76">
        <f t="shared" si="7"/>
        <v>128605.57437104356</v>
      </c>
      <c r="R13" s="76">
        <f t="shared" si="7"/>
        <v>651823.83290413767</v>
      </c>
      <c r="S13" s="77">
        <f t="shared" si="7"/>
        <v>1518082</v>
      </c>
      <c r="Z13" s="79">
        <f>SUM(Z6:Z12)</f>
        <v>1</v>
      </c>
    </row>
    <row r="14" spans="1:26" ht="18.75" x14ac:dyDescent="0.3">
      <c r="A14" s="80" t="s">
        <v>81</v>
      </c>
      <c r="B14" s="81" t="str">
        <f>A14</f>
        <v>Sueldos</v>
      </c>
      <c r="C14" s="82">
        <f t="shared" si="3"/>
        <v>839530</v>
      </c>
      <c r="D14" s="83">
        <v>43680</v>
      </c>
      <c r="E14" s="83">
        <f>D14</f>
        <v>43680</v>
      </c>
      <c r="F14" s="83">
        <f t="shared" ref="F14:S15" si="8">E14</f>
        <v>43680</v>
      </c>
      <c r="G14" s="83">
        <v>45900</v>
      </c>
      <c r="H14" s="83">
        <v>48240</v>
      </c>
      <c r="I14" s="83">
        <v>49440</v>
      </c>
      <c r="J14" s="83">
        <f t="shared" si="8"/>
        <v>49440</v>
      </c>
      <c r="K14" s="83">
        <v>49520</v>
      </c>
      <c r="L14" s="83">
        <v>49560</v>
      </c>
      <c r="M14" s="83">
        <v>56970</v>
      </c>
      <c r="N14" s="83">
        <v>56990</v>
      </c>
      <c r="O14" s="83">
        <v>59950</v>
      </c>
      <c r="P14" s="83">
        <f t="shared" si="8"/>
        <v>59950</v>
      </c>
      <c r="Q14" s="83">
        <v>60010</v>
      </c>
      <c r="R14" s="83">
        <v>61160</v>
      </c>
      <c r="S14" s="70">
        <v>61360</v>
      </c>
      <c r="Y14" s="717">
        <f>C13</f>
        <v>6564204.3711659508</v>
      </c>
      <c r="Z14" s="718"/>
    </row>
    <row r="15" spans="1:26" x14ac:dyDescent="0.25">
      <c r="A15" s="80" t="s">
        <v>82</v>
      </c>
      <c r="B15" s="81" t="str">
        <f>A15</f>
        <v xml:space="preserve">Mantenimiento </v>
      </c>
      <c r="C15" s="82">
        <f t="shared" si="3"/>
        <v>415055</v>
      </c>
      <c r="D15" s="83">
        <v>20126</v>
      </c>
      <c r="E15" s="83">
        <v>20126</v>
      </c>
      <c r="F15" s="83">
        <v>23972</v>
      </c>
      <c r="G15" s="83">
        <f>F15</f>
        <v>23972</v>
      </c>
      <c r="H15" s="83">
        <f t="shared" si="8"/>
        <v>23972</v>
      </c>
      <c r="I15" s="83">
        <f t="shared" si="8"/>
        <v>23972</v>
      </c>
      <c r="J15" s="83">
        <f t="shared" si="8"/>
        <v>23972</v>
      </c>
      <c r="K15" s="83">
        <f t="shared" si="8"/>
        <v>23972</v>
      </c>
      <c r="L15" s="83">
        <f t="shared" si="8"/>
        <v>23972</v>
      </c>
      <c r="M15" s="83">
        <f t="shared" si="8"/>
        <v>23972</v>
      </c>
      <c r="N15" s="83">
        <f t="shared" si="8"/>
        <v>23972</v>
      </c>
      <c r="O15" s="83">
        <v>31811</v>
      </c>
      <c r="P15" s="83">
        <f t="shared" si="8"/>
        <v>31811</v>
      </c>
      <c r="Q15" s="83">
        <f t="shared" si="8"/>
        <v>31811</v>
      </c>
      <c r="R15" s="83">
        <f t="shared" si="8"/>
        <v>31811</v>
      </c>
      <c r="S15" s="70">
        <f t="shared" si="8"/>
        <v>31811</v>
      </c>
    </row>
    <row r="16" spans="1:26" ht="30" x14ac:dyDescent="0.25">
      <c r="A16" s="80" t="s">
        <v>83</v>
      </c>
      <c r="B16" s="81" t="s">
        <v>84</v>
      </c>
      <c r="C16" s="82">
        <f t="shared" si="3"/>
        <v>996890</v>
      </c>
      <c r="D16" s="83">
        <v>0</v>
      </c>
      <c r="E16" s="83">
        <v>0</v>
      </c>
      <c r="F16" s="83">
        <v>0</v>
      </c>
      <c r="G16" s="83">
        <v>0</v>
      </c>
      <c r="H16" s="83">
        <v>0</v>
      </c>
      <c r="I16" s="83">
        <v>0</v>
      </c>
      <c r="J16" s="83">
        <v>0</v>
      </c>
      <c r="K16" s="83">
        <v>0</v>
      </c>
      <c r="L16" s="83">
        <v>773395</v>
      </c>
      <c r="M16" s="83">
        <v>0</v>
      </c>
      <c r="N16" s="83">
        <v>0</v>
      </c>
      <c r="O16" s="83">
        <v>0</v>
      </c>
      <c r="P16" s="83">
        <v>0</v>
      </c>
      <c r="Q16" s="83">
        <v>0</v>
      </c>
      <c r="R16" s="83">
        <v>223495</v>
      </c>
      <c r="S16" s="70">
        <v>0</v>
      </c>
    </row>
    <row r="17" spans="1:26" x14ac:dyDescent="0.25">
      <c r="A17" s="80" t="s">
        <v>85</v>
      </c>
      <c r="B17" s="81" t="str">
        <f>A17</f>
        <v>Empleados</v>
      </c>
      <c r="C17" s="82">
        <f t="shared" si="3"/>
        <v>1848000</v>
      </c>
      <c r="D17" s="83">
        <v>108000</v>
      </c>
      <c r="E17" s="83">
        <f>D17</f>
        <v>108000</v>
      </c>
      <c r="F17" s="83">
        <f t="shared" ref="F17:S17" si="9">E17</f>
        <v>108000</v>
      </c>
      <c r="G17" s="83">
        <f t="shared" si="9"/>
        <v>108000</v>
      </c>
      <c r="H17" s="83">
        <f t="shared" si="9"/>
        <v>108000</v>
      </c>
      <c r="I17" s="83">
        <f t="shared" si="9"/>
        <v>108000</v>
      </c>
      <c r="J17" s="83">
        <v>120000</v>
      </c>
      <c r="K17" s="83">
        <f t="shared" si="9"/>
        <v>120000</v>
      </c>
      <c r="L17" s="83">
        <f t="shared" si="9"/>
        <v>120000</v>
      </c>
      <c r="M17" s="83">
        <f t="shared" si="9"/>
        <v>120000</v>
      </c>
      <c r="N17" s="83">
        <f t="shared" si="9"/>
        <v>120000</v>
      </c>
      <c r="O17" s="83">
        <f t="shared" si="9"/>
        <v>120000</v>
      </c>
      <c r="P17" s="83">
        <f t="shared" si="9"/>
        <v>120000</v>
      </c>
      <c r="Q17" s="83">
        <f t="shared" si="9"/>
        <v>120000</v>
      </c>
      <c r="R17" s="83">
        <f t="shared" si="9"/>
        <v>120000</v>
      </c>
      <c r="S17" s="70">
        <f t="shared" si="9"/>
        <v>120000</v>
      </c>
    </row>
    <row r="18" spans="1:26" x14ac:dyDescent="0.25">
      <c r="A18" s="80" t="s">
        <v>86</v>
      </c>
      <c r="B18" s="81" t="str">
        <f>A18</f>
        <v>Juveniles</v>
      </c>
      <c r="C18" s="82">
        <f t="shared" si="3"/>
        <v>320000</v>
      </c>
      <c r="D18" s="83">
        <v>20000</v>
      </c>
      <c r="E18" s="83">
        <f>D18</f>
        <v>20000</v>
      </c>
      <c r="F18" s="83">
        <f t="shared" ref="F18:S18" si="10">E18</f>
        <v>20000</v>
      </c>
      <c r="G18" s="83">
        <f t="shared" si="10"/>
        <v>20000</v>
      </c>
      <c r="H18" s="83">
        <f t="shared" si="10"/>
        <v>20000</v>
      </c>
      <c r="I18" s="83">
        <f t="shared" si="10"/>
        <v>20000</v>
      </c>
      <c r="J18" s="83">
        <f t="shared" si="10"/>
        <v>20000</v>
      </c>
      <c r="K18" s="83">
        <f t="shared" si="10"/>
        <v>20000</v>
      </c>
      <c r="L18" s="83">
        <f t="shared" si="10"/>
        <v>20000</v>
      </c>
      <c r="M18" s="83">
        <f t="shared" si="10"/>
        <v>20000</v>
      </c>
      <c r="N18" s="83">
        <f t="shared" si="10"/>
        <v>20000</v>
      </c>
      <c r="O18" s="83">
        <f t="shared" si="10"/>
        <v>20000</v>
      </c>
      <c r="P18" s="83">
        <f t="shared" si="10"/>
        <v>20000</v>
      </c>
      <c r="Q18" s="83">
        <f t="shared" si="10"/>
        <v>20000</v>
      </c>
      <c r="R18" s="83">
        <f t="shared" si="10"/>
        <v>20000</v>
      </c>
      <c r="S18" s="70">
        <f t="shared" si="10"/>
        <v>20000</v>
      </c>
    </row>
    <row r="19" spans="1:26" x14ac:dyDescent="0.25">
      <c r="A19" s="80" t="s">
        <v>87</v>
      </c>
      <c r="B19" s="81" t="s">
        <v>88</v>
      </c>
      <c r="C19" s="82">
        <f t="shared" si="3"/>
        <v>0</v>
      </c>
      <c r="D19" s="83">
        <v>0</v>
      </c>
      <c r="E19" s="83">
        <v>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89</v>
      </c>
      <c r="C21" s="82">
        <f t="shared" si="3"/>
        <v>82000</v>
      </c>
      <c r="D21" s="83">
        <v>0</v>
      </c>
      <c r="E21" s="83">
        <v>0</v>
      </c>
      <c r="F21" s="83">
        <v>0</v>
      </c>
      <c r="G21" s="83">
        <v>4000</v>
      </c>
      <c r="H21" s="83">
        <v>2000</v>
      </c>
      <c r="I21" s="83">
        <v>12000</v>
      </c>
      <c r="J21" s="83">
        <v>2000</v>
      </c>
      <c r="K21" s="83">
        <v>6000</v>
      </c>
      <c r="L21" s="83">
        <v>2000</v>
      </c>
      <c r="M21" s="83">
        <v>6000</v>
      </c>
      <c r="N21" s="83">
        <v>0</v>
      </c>
      <c r="O21" s="83">
        <v>0</v>
      </c>
      <c r="P21" s="83">
        <v>7000</v>
      </c>
      <c r="Q21" s="83">
        <v>6000</v>
      </c>
      <c r="R21" s="83">
        <v>15000</v>
      </c>
      <c r="S21" s="70">
        <v>20000</v>
      </c>
    </row>
    <row r="22" spans="1:26" x14ac:dyDescent="0.25">
      <c r="A22" s="80" t="s">
        <v>90</v>
      </c>
      <c r="B22" s="81" t="str">
        <f>A22</f>
        <v>Intereses</v>
      </c>
      <c r="C22" s="82">
        <f t="shared" si="3"/>
        <v>821</v>
      </c>
      <c r="D22" s="83">
        <v>0</v>
      </c>
      <c r="E22" s="83">
        <v>0</v>
      </c>
      <c r="F22" s="83">
        <v>0</v>
      </c>
      <c r="G22" s="83">
        <v>0</v>
      </c>
      <c r="H22" s="83">
        <v>0</v>
      </c>
      <c r="I22" s="83">
        <v>0</v>
      </c>
      <c r="J22" s="83">
        <v>0</v>
      </c>
      <c r="K22" s="83">
        <v>0</v>
      </c>
      <c r="L22" s="83">
        <v>0</v>
      </c>
      <c r="M22" s="83">
        <v>0</v>
      </c>
      <c r="N22" s="83">
        <v>0</v>
      </c>
      <c r="O22" s="83">
        <v>0</v>
      </c>
      <c r="P22" s="83">
        <v>0</v>
      </c>
      <c r="Q22" s="83">
        <v>0</v>
      </c>
      <c r="R22" s="83">
        <v>0</v>
      </c>
      <c r="S22" s="70">
        <v>821</v>
      </c>
    </row>
    <row r="23" spans="1:26" s="90" customFormat="1" ht="18.75" x14ac:dyDescent="0.3">
      <c r="A23" s="85" t="s">
        <v>91</v>
      </c>
      <c r="B23" s="86"/>
      <c r="C23" s="87">
        <f t="shared" si="3"/>
        <v>4502296</v>
      </c>
      <c r="D23" s="88">
        <f t="shared" ref="D23:S23" si="11">SUM(D14:D22)</f>
        <v>191806</v>
      </c>
      <c r="E23" s="88">
        <f t="shared" si="11"/>
        <v>191806</v>
      </c>
      <c r="F23" s="88">
        <f t="shared" si="11"/>
        <v>195652</v>
      </c>
      <c r="G23" s="88">
        <f t="shared" si="11"/>
        <v>201872</v>
      </c>
      <c r="H23" s="88">
        <f t="shared" si="11"/>
        <v>202212</v>
      </c>
      <c r="I23" s="88">
        <f t="shared" si="11"/>
        <v>213412</v>
      </c>
      <c r="J23" s="88">
        <f t="shared" si="11"/>
        <v>215412</v>
      </c>
      <c r="K23" s="88">
        <f t="shared" si="11"/>
        <v>219492</v>
      </c>
      <c r="L23" s="88">
        <f t="shared" si="11"/>
        <v>988927</v>
      </c>
      <c r="M23" s="88">
        <f t="shared" si="11"/>
        <v>226942</v>
      </c>
      <c r="N23" s="88">
        <f t="shared" si="11"/>
        <v>220962</v>
      </c>
      <c r="O23" s="88">
        <f t="shared" si="11"/>
        <v>231761</v>
      </c>
      <c r="P23" s="88">
        <f t="shared" si="11"/>
        <v>238761</v>
      </c>
      <c r="Q23" s="88">
        <f t="shared" si="11"/>
        <v>237821</v>
      </c>
      <c r="R23" s="88">
        <f t="shared" si="11"/>
        <v>471466</v>
      </c>
      <c r="S23" s="89">
        <f t="shared" si="11"/>
        <v>253992</v>
      </c>
      <c r="Y23" s="81" t="s">
        <v>81</v>
      </c>
      <c r="Z23" s="91">
        <f>C14/$C$23</f>
        <v>0.18646708257298053</v>
      </c>
    </row>
    <row r="24" spans="1:26" s="66" customFormat="1" ht="18.75" x14ac:dyDescent="0.3">
      <c r="A24" s="92" t="s">
        <v>92</v>
      </c>
      <c r="B24" s="92"/>
      <c r="C24" s="64">
        <f>C5+C13-C23</f>
        <v>5125001.3711659499</v>
      </c>
      <c r="D24" s="64">
        <f t="shared" ref="D24:S24" si="12">D5+D13-D23</f>
        <v>2973429</v>
      </c>
      <c r="E24" s="64">
        <f t="shared" si="12"/>
        <v>2909448</v>
      </c>
      <c r="F24" s="64">
        <f t="shared" si="12"/>
        <v>3200325</v>
      </c>
      <c r="G24" s="64">
        <f t="shared" si="12"/>
        <v>3465691</v>
      </c>
      <c r="H24" s="64">
        <f t="shared" si="12"/>
        <v>3692348</v>
      </c>
      <c r="I24" s="64">
        <f t="shared" si="12"/>
        <v>3629478</v>
      </c>
      <c r="J24" s="64">
        <f t="shared" si="12"/>
        <v>3949122</v>
      </c>
      <c r="K24" s="64">
        <f t="shared" si="12"/>
        <v>3849203</v>
      </c>
      <c r="L24" s="64">
        <f t="shared" si="12"/>
        <v>3337107</v>
      </c>
      <c r="M24" s="64">
        <f t="shared" si="12"/>
        <v>3238698</v>
      </c>
      <c r="N24" s="64">
        <f t="shared" si="12"/>
        <v>3510694</v>
      </c>
      <c r="O24" s="64">
        <f t="shared" si="12"/>
        <v>3407947</v>
      </c>
      <c r="P24" s="64">
        <f t="shared" si="12"/>
        <v>3789768.9638907695</v>
      </c>
      <c r="Q24" s="64">
        <f t="shared" si="12"/>
        <v>3680553.5382618131</v>
      </c>
      <c r="R24" s="64">
        <f t="shared" si="12"/>
        <v>3860911.3711659508</v>
      </c>
      <c r="S24" s="65">
        <f t="shared" si="12"/>
        <v>5125001.3711659508</v>
      </c>
      <c r="Y24" s="81" t="s">
        <v>82</v>
      </c>
      <c r="Z24" s="91">
        <f t="shared" ref="Z24:Z31" si="13">C15/$C$23</f>
        <v>9.2187408380079855E-2</v>
      </c>
    </row>
    <row r="25" spans="1:26" s="53" customFormat="1" x14ac:dyDescent="0.25">
      <c r="A25" s="93"/>
      <c r="B25" s="93"/>
      <c r="C25" s="93"/>
      <c r="D25" s="94">
        <f>D2+7</f>
        <v>42083</v>
      </c>
      <c r="E25" s="94">
        <f t="shared" ref="E25:S25" si="14">D25+7</f>
        <v>42090</v>
      </c>
      <c r="F25" s="94">
        <f t="shared" si="14"/>
        <v>42097</v>
      </c>
      <c r="G25" s="94">
        <f t="shared" si="14"/>
        <v>42104</v>
      </c>
      <c r="H25" s="94">
        <f t="shared" si="14"/>
        <v>42111</v>
      </c>
      <c r="I25" s="94">
        <f t="shared" si="14"/>
        <v>42118</v>
      </c>
      <c r="J25" s="94">
        <f t="shared" si="14"/>
        <v>42125</v>
      </c>
      <c r="K25" s="94">
        <f t="shared" si="14"/>
        <v>42132</v>
      </c>
      <c r="L25" s="94">
        <f t="shared" si="14"/>
        <v>42139</v>
      </c>
      <c r="M25" s="94">
        <f t="shared" si="14"/>
        <v>42146</v>
      </c>
      <c r="N25" s="94">
        <f t="shared" si="14"/>
        <v>42153</v>
      </c>
      <c r="O25" s="94">
        <f t="shared" si="14"/>
        <v>42160</v>
      </c>
      <c r="P25" s="94">
        <f t="shared" si="14"/>
        <v>42167</v>
      </c>
      <c r="Q25" s="94">
        <f t="shared" si="14"/>
        <v>42174</v>
      </c>
      <c r="R25" s="94">
        <f t="shared" si="14"/>
        <v>42181</v>
      </c>
      <c r="S25" s="94">
        <f t="shared" si="14"/>
        <v>42188</v>
      </c>
      <c r="Y25" s="81" t="s">
        <v>84</v>
      </c>
      <c r="Z25" s="91">
        <f t="shared" si="13"/>
        <v>0.22141813865636556</v>
      </c>
    </row>
    <row r="26" spans="1:26" s="53" customFormat="1" x14ac:dyDescent="0.25">
      <c r="A26" s="719" t="s">
        <v>93</v>
      </c>
      <c r="B26" s="719"/>
      <c r="C26" s="96">
        <f>C6+C7+C11</f>
        <v>5111564.3711659508</v>
      </c>
      <c r="D26" s="96">
        <f t="shared" ref="D26:S26" si="15">D6+D7+D11</f>
        <v>102142</v>
      </c>
      <c r="E26" s="96">
        <f t="shared" si="15"/>
        <v>127825</v>
      </c>
      <c r="F26" s="96">
        <f t="shared" si="15"/>
        <v>486529</v>
      </c>
      <c r="G26" s="96">
        <f t="shared" si="15"/>
        <v>334888</v>
      </c>
      <c r="H26" s="96">
        <f t="shared" si="15"/>
        <v>428869</v>
      </c>
      <c r="I26" s="96">
        <f t="shared" si="15"/>
        <v>143402</v>
      </c>
      <c r="J26" s="96">
        <f t="shared" si="15"/>
        <v>535056</v>
      </c>
      <c r="K26" s="96">
        <f t="shared" si="15"/>
        <v>119573</v>
      </c>
      <c r="L26" s="96">
        <f t="shared" si="15"/>
        <v>476831</v>
      </c>
      <c r="M26" s="96">
        <f t="shared" si="15"/>
        <v>128533</v>
      </c>
      <c r="N26" s="96">
        <f t="shared" si="15"/>
        <v>492958</v>
      </c>
      <c r="O26" s="96">
        <f t="shared" si="15"/>
        <v>129014</v>
      </c>
      <c r="P26" s="96">
        <f t="shared" si="15"/>
        <v>620582.96389076952</v>
      </c>
      <c r="Q26" s="96">
        <f t="shared" si="15"/>
        <v>127655.57437104356</v>
      </c>
      <c r="R26" s="96">
        <f>R6+R7+R11</f>
        <v>639923.83290413767</v>
      </c>
      <c r="S26" s="96">
        <f t="shared" si="15"/>
        <v>217782</v>
      </c>
      <c r="T26" s="97"/>
      <c r="Y26" s="81" t="s">
        <v>85</v>
      </c>
      <c r="Z26" s="91">
        <f t="shared" si="13"/>
        <v>0.41045724226039337</v>
      </c>
    </row>
    <row r="27" spans="1:26" s="53" customFormat="1" x14ac:dyDescent="0.25">
      <c r="A27" s="710" t="s">
        <v>94</v>
      </c>
      <c r="B27" s="710"/>
      <c r="C27" s="98">
        <f>C14+C15+C17+C18+C21</f>
        <v>3504585</v>
      </c>
      <c r="D27" s="98">
        <f t="shared" ref="D27:S27" si="16">D14+D15+D17+D18+D21</f>
        <v>191806</v>
      </c>
      <c r="E27" s="98">
        <f t="shared" si="16"/>
        <v>191806</v>
      </c>
      <c r="F27" s="98">
        <f t="shared" si="16"/>
        <v>195652</v>
      </c>
      <c r="G27" s="98">
        <f t="shared" si="16"/>
        <v>201872</v>
      </c>
      <c r="H27" s="98">
        <f t="shared" si="16"/>
        <v>202212</v>
      </c>
      <c r="I27" s="98">
        <f t="shared" si="16"/>
        <v>213412</v>
      </c>
      <c r="J27" s="98">
        <f t="shared" si="16"/>
        <v>215412</v>
      </c>
      <c r="K27" s="98">
        <f t="shared" si="16"/>
        <v>219492</v>
      </c>
      <c r="L27" s="98">
        <f t="shared" si="16"/>
        <v>215532</v>
      </c>
      <c r="M27" s="98">
        <f t="shared" si="16"/>
        <v>226942</v>
      </c>
      <c r="N27" s="98">
        <f t="shared" si="16"/>
        <v>220962</v>
      </c>
      <c r="O27" s="98">
        <f t="shared" si="16"/>
        <v>231761</v>
      </c>
      <c r="P27" s="98">
        <f t="shared" si="16"/>
        <v>238761</v>
      </c>
      <c r="Q27" s="98">
        <f t="shared" si="16"/>
        <v>237821</v>
      </c>
      <c r="R27" s="98">
        <f>R14+R15+R17+R18+R21</f>
        <v>247971</v>
      </c>
      <c r="S27" s="98">
        <f t="shared" si="16"/>
        <v>253171</v>
      </c>
      <c r="T27" s="99"/>
      <c r="Y27" s="81" t="s">
        <v>86</v>
      </c>
      <c r="Z27" s="91">
        <f t="shared" si="13"/>
        <v>7.1074847144656866E-2</v>
      </c>
    </row>
    <row r="28" spans="1:26" x14ac:dyDescent="0.25">
      <c r="A28" s="711" t="s">
        <v>95</v>
      </c>
      <c r="B28" s="711"/>
      <c r="C28" s="100">
        <f>C26-C27</f>
        <v>1606979.3711659508</v>
      </c>
      <c r="D28" s="100">
        <f t="shared" ref="D28:S28" si="17">D26-D27</f>
        <v>-89664</v>
      </c>
      <c r="E28" s="100">
        <f t="shared" si="17"/>
        <v>-63981</v>
      </c>
      <c r="F28" s="100">
        <f t="shared" si="17"/>
        <v>290877</v>
      </c>
      <c r="G28" s="100">
        <f t="shared" si="17"/>
        <v>133016</v>
      </c>
      <c r="H28" s="100">
        <f t="shared" si="17"/>
        <v>226657</v>
      </c>
      <c r="I28" s="100">
        <f t="shared" si="17"/>
        <v>-70010</v>
      </c>
      <c r="J28" s="100">
        <f t="shared" si="17"/>
        <v>319644</v>
      </c>
      <c r="K28" s="100">
        <f t="shared" si="17"/>
        <v>-99919</v>
      </c>
      <c r="L28" s="100">
        <f t="shared" si="17"/>
        <v>261299</v>
      </c>
      <c r="M28" s="100">
        <f t="shared" si="17"/>
        <v>-98409</v>
      </c>
      <c r="N28" s="100">
        <f t="shared" si="17"/>
        <v>271996</v>
      </c>
      <c r="O28" s="100">
        <f t="shared" si="17"/>
        <v>-102747</v>
      </c>
      <c r="P28" s="100">
        <f t="shared" si="17"/>
        <v>381821.96389076952</v>
      </c>
      <c r="Q28" s="100">
        <f t="shared" si="17"/>
        <v>-110165.42562895644</v>
      </c>
      <c r="R28" s="100">
        <f>R26-R27</f>
        <v>391952.83290413767</v>
      </c>
      <c r="S28" s="100">
        <f t="shared" si="17"/>
        <v>-35389</v>
      </c>
      <c r="T28" s="101"/>
      <c r="Y28" s="81" t="s">
        <v>88</v>
      </c>
      <c r="Z28" s="91">
        <f t="shared" si="13"/>
        <v>0</v>
      </c>
    </row>
    <row r="29" spans="1:26" x14ac:dyDescent="0.25">
      <c r="A29" s="719" t="s">
        <v>96</v>
      </c>
      <c r="B29" s="719"/>
      <c r="C29" s="96">
        <f>C8+C9+C10+C12</f>
        <v>1452640</v>
      </c>
      <c r="D29" s="96">
        <f t="shared" ref="D29:S29" si="18">D8+D9+D10+D12</f>
        <v>0</v>
      </c>
      <c r="E29" s="96">
        <f t="shared" si="18"/>
        <v>0</v>
      </c>
      <c r="F29" s="96">
        <f t="shared" si="18"/>
        <v>0</v>
      </c>
      <c r="G29" s="96">
        <f t="shared" si="18"/>
        <v>132350</v>
      </c>
      <c r="H29" s="96">
        <f t="shared" si="18"/>
        <v>0</v>
      </c>
      <c r="I29" s="96">
        <f t="shared" si="18"/>
        <v>7140</v>
      </c>
      <c r="J29" s="96">
        <f t="shared" si="18"/>
        <v>0</v>
      </c>
      <c r="K29" s="96">
        <f t="shared" si="18"/>
        <v>0</v>
      </c>
      <c r="L29" s="96">
        <f t="shared" si="18"/>
        <v>0</v>
      </c>
      <c r="M29" s="96">
        <f t="shared" si="18"/>
        <v>0</v>
      </c>
      <c r="N29" s="96">
        <f t="shared" si="18"/>
        <v>0</v>
      </c>
      <c r="O29" s="96">
        <f t="shared" si="18"/>
        <v>0</v>
      </c>
      <c r="P29" s="96">
        <f t="shared" si="18"/>
        <v>0</v>
      </c>
      <c r="Q29" s="96">
        <f t="shared" si="18"/>
        <v>950</v>
      </c>
      <c r="R29" s="96">
        <f>R8+R9+R10+R12</f>
        <v>11900</v>
      </c>
      <c r="S29" s="96">
        <f t="shared" si="18"/>
        <v>1300300</v>
      </c>
      <c r="T29" s="101"/>
      <c r="Y29" s="81" t="s">
        <v>67</v>
      </c>
      <c r="Z29" s="91">
        <f t="shared" si="13"/>
        <v>0</v>
      </c>
    </row>
    <row r="30" spans="1:26" s="59" customFormat="1" x14ac:dyDescent="0.25">
      <c r="A30" s="710" t="s">
        <v>97</v>
      </c>
      <c r="B30" s="710"/>
      <c r="C30" s="98">
        <f>C16+C19+C20+C22</f>
        <v>997711</v>
      </c>
      <c r="D30" s="98">
        <f t="shared" ref="D30:S30" si="19">D16+D19+D20+D22</f>
        <v>0</v>
      </c>
      <c r="E30" s="98">
        <f t="shared" si="19"/>
        <v>0</v>
      </c>
      <c r="F30" s="98">
        <f t="shared" si="19"/>
        <v>0</v>
      </c>
      <c r="G30" s="98">
        <f t="shared" si="19"/>
        <v>0</v>
      </c>
      <c r="H30" s="98">
        <f t="shared" si="19"/>
        <v>0</v>
      </c>
      <c r="I30" s="98">
        <f t="shared" si="19"/>
        <v>0</v>
      </c>
      <c r="J30" s="98">
        <f t="shared" si="19"/>
        <v>0</v>
      </c>
      <c r="K30" s="98">
        <f t="shared" si="19"/>
        <v>0</v>
      </c>
      <c r="L30" s="98">
        <f t="shared" si="19"/>
        <v>773395</v>
      </c>
      <c r="M30" s="98">
        <f t="shared" si="19"/>
        <v>0</v>
      </c>
      <c r="N30" s="98">
        <f t="shared" si="19"/>
        <v>0</v>
      </c>
      <c r="O30" s="98">
        <f t="shared" si="19"/>
        <v>0</v>
      </c>
      <c r="P30" s="98">
        <f t="shared" si="19"/>
        <v>0</v>
      </c>
      <c r="Q30" s="98">
        <f t="shared" si="19"/>
        <v>0</v>
      </c>
      <c r="R30" s="98">
        <f>R16+R19+R20+R22</f>
        <v>223495</v>
      </c>
      <c r="S30" s="98">
        <f t="shared" si="19"/>
        <v>821</v>
      </c>
      <c r="Y30" s="81" t="s">
        <v>89</v>
      </c>
      <c r="Z30" s="91">
        <f t="shared" si="13"/>
        <v>1.821292958081832E-2</v>
      </c>
    </row>
    <row r="31" spans="1:26" s="59" customFormat="1" x14ac:dyDescent="0.25">
      <c r="A31" s="711" t="s">
        <v>98</v>
      </c>
      <c r="B31" s="711"/>
      <c r="C31" s="100">
        <f>C29-C30</f>
        <v>454929</v>
      </c>
      <c r="D31" s="100">
        <f t="shared" ref="D31:S31" si="20">D29-D30</f>
        <v>0</v>
      </c>
      <c r="E31" s="100">
        <f t="shared" si="20"/>
        <v>0</v>
      </c>
      <c r="F31" s="100">
        <f t="shared" si="20"/>
        <v>0</v>
      </c>
      <c r="G31" s="100">
        <f t="shared" si="20"/>
        <v>132350</v>
      </c>
      <c r="H31" s="100">
        <f t="shared" si="20"/>
        <v>0</v>
      </c>
      <c r="I31" s="100">
        <f t="shared" si="20"/>
        <v>7140</v>
      </c>
      <c r="J31" s="100">
        <f t="shared" si="20"/>
        <v>0</v>
      </c>
      <c r="K31" s="100">
        <f t="shared" si="20"/>
        <v>0</v>
      </c>
      <c r="L31" s="100">
        <f t="shared" si="20"/>
        <v>-773395</v>
      </c>
      <c r="M31" s="100">
        <f t="shared" si="20"/>
        <v>0</v>
      </c>
      <c r="N31" s="100">
        <f t="shared" si="20"/>
        <v>0</v>
      </c>
      <c r="O31" s="100">
        <f t="shared" si="20"/>
        <v>0</v>
      </c>
      <c r="P31" s="100">
        <f t="shared" si="20"/>
        <v>0</v>
      </c>
      <c r="Q31" s="100">
        <f t="shared" si="20"/>
        <v>950</v>
      </c>
      <c r="R31" s="100">
        <f>R29-R30</f>
        <v>-211595</v>
      </c>
      <c r="S31" s="100">
        <f t="shared" si="20"/>
        <v>1299479</v>
      </c>
      <c r="Y31" s="81" t="s">
        <v>90</v>
      </c>
      <c r="Z31" s="91">
        <f t="shared" si="13"/>
        <v>1.8235140470551026E-4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v>22</v>
      </c>
      <c r="F33" s="174">
        <v>22</v>
      </c>
      <c r="G33" s="174">
        <v>22</v>
      </c>
      <c r="H33" s="174">
        <v>22</v>
      </c>
      <c r="I33" s="174">
        <v>22</v>
      </c>
      <c r="J33" s="174">
        <v>22</v>
      </c>
      <c r="K33" s="174">
        <v>22</v>
      </c>
      <c r="L33" s="174">
        <v>23</v>
      </c>
      <c r="M33" s="174">
        <v>23</v>
      </c>
      <c r="N33" s="174">
        <v>23</v>
      </c>
      <c r="O33" s="174">
        <v>23</v>
      </c>
      <c r="P33" s="174">
        <v>23</v>
      </c>
      <c r="Q33" s="174">
        <v>22</v>
      </c>
      <c r="R33" s="174">
        <v>22</v>
      </c>
      <c r="S33" s="174">
        <v>22</v>
      </c>
      <c r="Z33" s="369"/>
    </row>
    <row r="34" spans="1:26" s="59" customFormat="1" ht="18.75" x14ac:dyDescent="0.3">
      <c r="A34" s="57"/>
      <c r="B34" s="720" t="s">
        <v>437</v>
      </c>
      <c r="C34" s="173" t="s">
        <v>181</v>
      </c>
      <c r="D34" s="174">
        <v>321860</v>
      </c>
      <c r="E34" s="174">
        <v>322990</v>
      </c>
      <c r="F34" s="174">
        <v>324540</v>
      </c>
      <c r="G34" s="174">
        <v>328870</v>
      </c>
      <c r="H34" s="174">
        <v>343150</v>
      </c>
      <c r="I34" s="174">
        <v>358390</v>
      </c>
      <c r="J34" s="174">
        <v>369890</v>
      </c>
      <c r="K34" s="174">
        <v>378100</v>
      </c>
      <c r="L34" s="174">
        <v>386240</v>
      </c>
      <c r="M34" s="174">
        <v>412210</v>
      </c>
      <c r="N34" s="174">
        <v>432360</v>
      </c>
      <c r="O34" s="174">
        <v>449880</v>
      </c>
      <c r="P34" s="174">
        <v>468940</v>
      </c>
      <c r="Q34" s="174">
        <v>477820</v>
      </c>
      <c r="R34" s="174">
        <f>486300-530</f>
        <v>485770</v>
      </c>
      <c r="S34" s="174">
        <f>485000-610</f>
        <v>484390</v>
      </c>
      <c r="Y34" s="712">
        <f>C23</f>
        <v>4502296</v>
      </c>
      <c r="Z34" s="713"/>
    </row>
    <row r="35" spans="1:26" x14ac:dyDescent="0.25">
      <c r="A35" s="57"/>
      <c r="B35" s="720"/>
      <c r="C35" s="173" t="s">
        <v>104</v>
      </c>
      <c r="D35" s="174">
        <v>43380</v>
      </c>
      <c r="E35" s="174">
        <v>43380</v>
      </c>
      <c r="F35" s="174">
        <v>43380</v>
      </c>
      <c r="G35" s="174">
        <v>45870</v>
      </c>
      <c r="H35" s="174">
        <v>48100</v>
      </c>
      <c r="I35" s="174">
        <v>49140</v>
      </c>
      <c r="J35" s="174">
        <v>49140</v>
      </c>
      <c r="K35" s="174">
        <v>49220</v>
      </c>
      <c r="L35" s="174">
        <v>53930</v>
      </c>
      <c r="M35" s="174">
        <v>56670</v>
      </c>
      <c r="N35" s="174">
        <v>56690</v>
      </c>
      <c r="O35" s="174">
        <v>59650</v>
      </c>
      <c r="P35" s="174">
        <v>59710</v>
      </c>
      <c r="Q35" s="174">
        <v>59140</v>
      </c>
      <c r="R35" s="174">
        <f>61150-290</f>
        <v>60860</v>
      </c>
      <c r="S35" s="174">
        <f>61370-290</f>
        <v>61080</v>
      </c>
    </row>
    <row r="36" spans="1:26" x14ac:dyDescent="0.25">
      <c r="A36" s="57"/>
      <c r="B36" s="720"/>
      <c r="C36" s="173" t="s">
        <v>61</v>
      </c>
      <c r="D36" s="175" t="s">
        <v>562</v>
      </c>
      <c r="E36" s="175" t="s">
        <v>563</v>
      </c>
      <c r="F36" s="175" t="s">
        <v>564</v>
      </c>
      <c r="G36" s="175" t="s">
        <v>566</v>
      </c>
      <c r="H36" s="175" t="s">
        <v>570</v>
      </c>
      <c r="I36" s="175" t="s">
        <v>572</v>
      </c>
      <c r="J36" s="175" t="s">
        <v>573</v>
      </c>
      <c r="K36" s="175" t="s">
        <v>575</v>
      </c>
      <c r="L36" s="175" t="s">
        <v>577</v>
      </c>
      <c r="M36" s="175" t="s">
        <v>580</v>
      </c>
      <c r="N36" s="175" t="s">
        <v>581</v>
      </c>
      <c r="O36" s="175" t="s">
        <v>587</v>
      </c>
      <c r="P36" s="175" t="s">
        <v>591</v>
      </c>
      <c r="Q36" s="175" t="s">
        <v>580</v>
      </c>
      <c r="R36" s="175" t="s">
        <v>617</v>
      </c>
      <c r="S36" s="175" t="s">
        <v>564</v>
      </c>
    </row>
    <row r="37" spans="1:26" x14ac:dyDescent="0.25">
      <c r="A37" s="57"/>
      <c r="B37" s="720"/>
      <c r="C37" s="173" t="s">
        <v>210</v>
      </c>
      <c r="D37" s="176">
        <v>5.25</v>
      </c>
      <c r="E37" s="176">
        <v>5.25</v>
      </c>
      <c r="F37" s="176">
        <v>5.25</v>
      </c>
      <c r="G37" s="176">
        <v>5.25</v>
      </c>
      <c r="H37" s="176">
        <v>5.25</v>
      </c>
      <c r="I37" s="176">
        <v>5.25</v>
      </c>
      <c r="J37" s="176">
        <v>5.25</v>
      </c>
      <c r="K37" s="176">
        <v>5.25</v>
      </c>
      <c r="L37" s="176">
        <v>5.25</v>
      </c>
      <c r="M37" s="176">
        <v>5.25</v>
      </c>
      <c r="N37" s="176">
        <v>5.25</v>
      </c>
      <c r="O37" s="176">
        <v>5.5</v>
      </c>
      <c r="P37" s="176">
        <v>5.5</v>
      </c>
      <c r="Q37" s="176">
        <v>5.5</v>
      </c>
      <c r="R37" s="176">
        <v>5.5</v>
      </c>
      <c r="S37" s="176">
        <v>5.5</v>
      </c>
    </row>
    <row r="38" spans="1:26" x14ac:dyDescent="0.25">
      <c r="B38" s="720"/>
      <c r="C38" s="173" t="s">
        <v>211</v>
      </c>
      <c r="D38" s="176">
        <v>6</v>
      </c>
      <c r="E38" s="176">
        <v>6</v>
      </c>
      <c r="F38" s="176">
        <v>6</v>
      </c>
      <c r="G38" s="176">
        <v>5.75</v>
      </c>
      <c r="H38" s="176">
        <v>5.75</v>
      </c>
      <c r="I38" s="176">
        <v>5.5</v>
      </c>
      <c r="J38" s="176">
        <v>5.5</v>
      </c>
      <c r="K38" s="176">
        <v>5.5</v>
      </c>
      <c r="L38" s="176">
        <v>5.5</v>
      </c>
      <c r="M38" s="176">
        <v>5.75</v>
      </c>
      <c r="N38" s="176">
        <v>6</v>
      </c>
      <c r="O38" s="176">
        <v>6</v>
      </c>
      <c r="P38" s="176">
        <v>6.25</v>
      </c>
      <c r="Q38" s="176">
        <v>6.25</v>
      </c>
      <c r="R38" s="176">
        <v>6.25</v>
      </c>
      <c r="S38" s="176">
        <v>6.25</v>
      </c>
    </row>
    <row r="39" spans="1:26" x14ac:dyDescent="0.25">
      <c r="B39" s="720"/>
      <c r="C39" s="173" t="s">
        <v>257</v>
      </c>
      <c r="D39" s="176">
        <v>3.25</v>
      </c>
      <c r="E39" s="176">
        <v>3.25</v>
      </c>
      <c r="F39" s="176">
        <v>3.25</v>
      </c>
      <c r="G39" s="176">
        <v>3.25</v>
      </c>
      <c r="H39" s="176">
        <v>3.5</v>
      </c>
      <c r="I39" s="176">
        <v>3.5</v>
      </c>
      <c r="J39" s="176">
        <v>3.5</v>
      </c>
      <c r="K39" s="176">
        <v>3.5</v>
      </c>
      <c r="L39" s="176">
        <v>3.5</v>
      </c>
      <c r="M39" s="176">
        <v>3.5</v>
      </c>
      <c r="N39" s="176">
        <v>3.5</v>
      </c>
      <c r="O39" s="176">
        <v>3.5</v>
      </c>
      <c r="P39" s="176">
        <v>3.5</v>
      </c>
      <c r="Q39" s="176">
        <v>3.5</v>
      </c>
      <c r="R39" s="176">
        <v>3.5</v>
      </c>
      <c r="S39" s="176">
        <v>3.5</v>
      </c>
    </row>
    <row r="40" spans="1:26" ht="15" customHeight="1" x14ac:dyDescent="0.25">
      <c r="C40" s="164" t="s">
        <v>438</v>
      </c>
      <c r="D40" s="288">
        <f>D34/D35</f>
        <v>7.4195481788842788</v>
      </c>
      <c r="E40" s="288">
        <f>E34/E35</f>
        <v>7.4455970493314894</v>
      </c>
      <c r="F40" s="288">
        <f t="shared" ref="F40:S40" si="21">F34/F35</f>
        <v>7.4813278008298756</v>
      </c>
      <c r="G40" s="288">
        <f t="shared" si="21"/>
        <v>7.1696097667320693</v>
      </c>
      <c r="H40" s="288">
        <f t="shared" si="21"/>
        <v>7.1340956340956341</v>
      </c>
      <c r="I40" s="288">
        <f t="shared" si="21"/>
        <v>7.2932437932437937</v>
      </c>
      <c r="J40" s="288">
        <f t="shared" si="21"/>
        <v>7.5272690272690275</v>
      </c>
      <c r="K40" s="288">
        <f t="shared" si="21"/>
        <v>7.6818366517675738</v>
      </c>
      <c r="L40" s="288">
        <f t="shared" si="21"/>
        <v>7.1618765065826073</v>
      </c>
      <c r="M40" s="288">
        <f t="shared" si="21"/>
        <v>7.2738662431621668</v>
      </c>
      <c r="N40" s="288">
        <f t="shared" si="21"/>
        <v>7.6267419297936145</v>
      </c>
      <c r="O40" s="288">
        <f t="shared" si="21"/>
        <v>7.5419949706621958</v>
      </c>
      <c r="P40" s="288">
        <f t="shared" si="21"/>
        <v>7.8536258583151897</v>
      </c>
      <c r="Q40" s="288">
        <f t="shared" si="21"/>
        <v>8.0794724382820426</v>
      </c>
      <c r="R40" s="288">
        <f t="shared" si="21"/>
        <v>7.9817614196516598</v>
      </c>
      <c r="S40" s="288">
        <f t="shared" si="21"/>
        <v>7.9304191224623448</v>
      </c>
    </row>
    <row r="41" spans="1:26" ht="15" customHeight="1" x14ac:dyDescent="0.25">
      <c r="D41" s="9"/>
      <c r="E41" s="391"/>
      <c r="G41" s="714"/>
      <c r="H41" s="714"/>
      <c r="I41" s="714"/>
      <c r="J41" s="714"/>
    </row>
    <row r="42" spans="1:26" x14ac:dyDescent="0.25">
      <c r="C42" s="4" t="s">
        <v>485</v>
      </c>
      <c r="D42" s="9">
        <v>70675</v>
      </c>
      <c r="E42" s="341">
        <v>75855</v>
      </c>
      <c r="F42" s="246">
        <v>80000</v>
      </c>
      <c r="G42" s="392">
        <v>82000</v>
      </c>
      <c r="H42" s="392">
        <v>83000</v>
      </c>
      <c r="I42" s="392">
        <v>84735</v>
      </c>
      <c r="J42" s="392">
        <v>85660</v>
      </c>
      <c r="K42" s="9">
        <v>86400</v>
      </c>
      <c r="L42" s="9">
        <v>87140</v>
      </c>
      <c r="M42" s="9">
        <v>87695</v>
      </c>
      <c r="N42" s="9">
        <v>88195</v>
      </c>
      <c r="O42" s="9">
        <v>88620</v>
      </c>
      <c r="P42" s="9">
        <v>88990</v>
      </c>
      <c r="Q42" s="9">
        <v>89360</v>
      </c>
      <c r="R42" s="9">
        <v>89730</v>
      </c>
      <c r="S42" s="9">
        <v>90100</v>
      </c>
    </row>
    <row r="43" spans="1:26" x14ac:dyDescent="0.25">
      <c r="E43">
        <f>(E42-D42)/D42</f>
        <v>7.3293243721259282E-2</v>
      </c>
      <c r="F43">
        <f t="shared" ref="F43:S43" si="22">(F42-E42)/E42</f>
        <v>5.4643728165579067E-2</v>
      </c>
      <c r="G43">
        <f t="shared" si="22"/>
        <v>2.5000000000000001E-2</v>
      </c>
      <c r="H43">
        <f t="shared" si="22"/>
        <v>1.2195121951219513E-2</v>
      </c>
      <c r="I43">
        <f t="shared" si="22"/>
        <v>2.0903614457831326E-2</v>
      </c>
      <c r="J43">
        <f t="shared" si="22"/>
        <v>1.0916386381070396E-2</v>
      </c>
      <c r="K43">
        <f t="shared" si="22"/>
        <v>8.6388045762316127E-3</v>
      </c>
      <c r="L43">
        <f t="shared" si="22"/>
        <v>8.564814814814815E-3</v>
      </c>
      <c r="M43">
        <f t="shared" si="22"/>
        <v>6.3690612806977277E-3</v>
      </c>
      <c r="N43">
        <f t="shared" si="22"/>
        <v>5.7015793374764808E-3</v>
      </c>
      <c r="O43">
        <f t="shared" si="22"/>
        <v>4.8188672827257778E-3</v>
      </c>
      <c r="P43">
        <f t="shared" si="22"/>
        <v>4.1751297675468296E-3</v>
      </c>
      <c r="Q43">
        <f t="shared" si="22"/>
        <v>4.1577705360152824E-3</v>
      </c>
      <c r="R43">
        <f t="shared" si="22"/>
        <v>4.140555058191585E-3</v>
      </c>
      <c r="S43">
        <f t="shared" si="22"/>
        <v>4.1234815557784467E-3</v>
      </c>
    </row>
    <row r="44" spans="1:26" x14ac:dyDescent="0.25">
      <c r="C44" s="4" t="s">
        <v>600</v>
      </c>
      <c r="E44" s="390">
        <f>E34-D34</f>
        <v>1130</v>
      </c>
      <c r="F44" s="390">
        <f t="shared" ref="F44:P44" si="23">F34-E34</f>
        <v>1550</v>
      </c>
      <c r="G44" s="390">
        <f t="shared" si="23"/>
        <v>4330</v>
      </c>
      <c r="H44" s="390">
        <f t="shared" si="23"/>
        <v>14280</v>
      </c>
      <c r="I44" s="390">
        <f t="shared" si="23"/>
        <v>15240</v>
      </c>
      <c r="J44" s="390">
        <f t="shared" si="23"/>
        <v>11500</v>
      </c>
      <c r="K44" s="390">
        <f t="shared" si="23"/>
        <v>8210</v>
      </c>
      <c r="L44" s="390">
        <f t="shared" si="23"/>
        <v>8140</v>
      </c>
      <c r="M44" s="390">
        <f t="shared" si="23"/>
        <v>25970</v>
      </c>
      <c r="N44" s="390">
        <f t="shared" si="23"/>
        <v>20150</v>
      </c>
      <c r="O44" s="390">
        <f t="shared" si="23"/>
        <v>17520</v>
      </c>
      <c r="P44" s="390">
        <f t="shared" si="23"/>
        <v>19060</v>
      </c>
    </row>
    <row r="45" spans="1:26" x14ac:dyDescent="0.25">
      <c r="D45" s="370"/>
      <c r="G45" s="52"/>
      <c r="H45" s="52"/>
      <c r="I45" s="52"/>
      <c r="J45" s="52"/>
      <c r="K45" s="52"/>
      <c r="L45" s="52"/>
      <c r="M45" s="52"/>
      <c r="N45" s="52"/>
      <c r="O45" s="52"/>
      <c r="P45" s="52"/>
      <c r="Q45" s="52"/>
      <c r="R45" s="52"/>
      <c r="S45" s="52"/>
    </row>
    <row r="46" spans="1:26" x14ac:dyDescent="0.25">
      <c r="G46" s="709"/>
      <c r="H46" s="709"/>
      <c r="I46" s="709"/>
      <c r="J46" s="709"/>
    </row>
    <row r="47" spans="1:26" x14ac:dyDescent="0.25">
      <c r="G47" s="392"/>
      <c r="H47" s="392"/>
      <c r="I47" s="392"/>
      <c r="J47" s="392"/>
    </row>
    <row r="48" spans="1:26" x14ac:dyDescent="0.25">
      <c r="G48" s="709"/>
      <c r="H48" s="709"/>
      <c r="I48" s="709"/>
      <c r="J48" s="709"/>
      <c r="P48" s="383"/>
    </row>
    <row r="49" spans="7:10" ht="15" customHeight="1" x14ac:dyDescent="0.25">
      <c r="G49" s="709"/>
      <c r="H49" s="709"/>
      <c r="I49" s="709"/>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U47"/>
  <sheetViews>
    <sheetView zoomScale="90" zoomScaleNormal="90" workbookViewId="0">
      <pane xSplit="9" ySplit="3" topLeftCell="J4" activePane="bottomRight" state="frozen"/>
      <selection pane="topRight" activeCell="J1" sqref="J1"/>
      <selection pane="bottomLeft" activeCell="A3" sqref="A3"/>
      <selection pane="bottomRight" activeCell="U5" sqref="U5:U6"/>
    </sheetView>
  </sheetViews>
  <sheetFormatPr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1" ht="9" customHeight="1" x14ac:dyDescent="0.25"/>
    <row r="2" spans="2:21" ht="21" x14ac:dyDescent="0.35">
      <c r="B2" s="721" t="s">
        <v>561</v>
      </c>
      <c r="C2" s="722"/>
      <c r="D2" s="722"/>
      <c r="E2" s="722"/>
      <c r="F2" s="722"/>
      <c r="G2" s="723"/>
      <c r="I2" s="731" t="s">
        <v>494</v>
      </c>
      <c r="J2" s="731"/>
      <c r="K2" s="731"/>
      <c r="L2" s="731"/>
      <c r="M2" s="731"/>
      <c r="N2" s="731"/>
      <c r="O2" s="731"/>
      <c r="P2" s="731"/>
      <c r="Q2" s="731"/>
      <c r="R2" s="731"/>
      <c r="S2" s="731"/>
      <c r="T2" s="731"/>
    </row>
    <row r="3" spans="2:21" x14ac:dyDescent="0.25">
      <c r="B3" s="725" t="s">
        <v>102</v>
      </c>
      <c r="C3" s="726"/>
      <c r="D3" s="726"/>
      <c r="E3" s="726"/>
      <c r="F3" s="726"/>
      <c r="G3" s="727"/>
      <c r="I3" s="107" t="s">
        <v>103</v>
      </c>
      <c r="J3" s="48" t="s">
        <v>100</v>
      </c>
      <c r="K3" s="48" t="s">
        <v>88</v>
      </c>
      <c r="L3" s="48" t="s">
        <v>104</v>
      </c>
      <c r="M3" s="48" t="s">
        <v>105</v>
      </c>
      <c r="N3" s="48" t="s">
        <v>106</v>
      </c>
      <c r="O3" s="48" t="s">
        <v>107</v>
      </c>
      <c r="P3" s="48" t="s">
        <v>108</v>
      </c>
      <c r="Q3" s="108" t="s">
        <v>109</v>
      </c>
      <c r="R3" s="108" t="s">
        <v>110</v>
      </c>
      <c r="S3" s="108" t="s">
        <v>111</v>
      </c>
      <c r="T3" s="108" t="s">
        <v>112</v>
      </c>
    </row>
    <row r="4" spans="2:21" ht="18.75" x14ac:dyDescent="0.3">
      <c r="B4" s="728" t="s">
        <v>113</v>
      </c>
      <c r="C4" s="729"/>
      <c r="D4" s="109"/>
      <c r="E4" s="730" t="s">
        <v>114</v>
      </c>
      <c r="F4" s="729"/>
      <c r="G4" s="109"/>
      <c r="I4" s="374" t="s">
        <v>115</v>
      </c>
      <c r="J4" s="375" t="s">
        <v>539</v>
      </c>
      <c r="K4" s="374">
        <f>1052640+300</f>
        <v>1052940</v>
      </c>
      <c r="L4" s="374">
        <v>0</v>
      </c>
      <c r="M4" s="374">
        <v>0</v>
      </c>
      <c r="N4" s="374">
        <v>0</v>
      </c>
      <c r="O4" s="376">
        <f t="shared" ref="O4:O6" si="0">IF(M4=0,0,M4-K4)-N4</f>
        <v>0</v>
      </c>
      <c r="P4" s="376">
        <f t="shared" ref="P4:P6" si="1">IF(M4=0,K4,0)</f>
        <v>1052940</v>
      </c>
      <c r="Q4" s="377"/>
      <c r="R4" s="378"/>
      <c r="S4" s="378"/>
      <c r="T4" s="379"/>
    </row>
    <row r="5" spans="2:21" x14ac:dyDescent="0.25">
      <c r="B5" s="113"/>
      <c r="C5" s="114"/>
      <c r="D5" s="201"/>
      <c r="E5" s="113"/>
      <c r="F5" s="114"/>
      <c r="G5" s="115"/>
      <c r="I5" s="396" t="s">
        <v>491</v>
      </c>
      <c r="J5" s="397" t="s">
        <v>571</v>
      </c>
      <c r="K5" s="396">
        <v>0</v>
      </c>
      <c r="L5" s="396">
        <v>0</v>
      </c>
      <c r="M5" s="396">
        <v>13000</v>
      </c>
      <c r="N5" s="396">
        <v>650</v>
      </c>
      <c r="O5" s="398">
        <f t="shared" si="0"/>
        <v>12350</v>
      </c>
      <c r="P5" s="398">
        <f t="shared" si="1"/>
        <v>0</v>
      </c>
      <c r="Q5" s="399"/>
      <c r="R5" s="400"/>
      <c r="S5" s="400">
        <v>42104</v>
      </c>
      <c r="T5" s="401"/>
      <c r="U5" s="47"/>
    </row>
    <row r="6" spans="2:21" x14ac:dyDescent="0.25">
      <c r="B6" s="116" t="s">
        <v>116</v>
      </c>
      <c r="C6" s="117">
        <f>SUM(C7:C9)</f>
        <v>4751570</v>
      </c>
      <c r="D6" s="140">
        <f>C6/$C$34</f>
        <v>0.27164532659126617</v>
      </c>
      <c r="E6" s="116" t="s">
        <v>117</v>
      </c>
      <c r="F6" s="117">
        <f>F7+F8+F9</f>
        <v>7870713</v>
      </c>
      <c r="G6" s="118">
        <f ca="1">F6/$F$34</f>
        <v>0.44996546476030541</v>
      </c>
      <c r="I6" s="396" t="s">
        <v>491</v>
      </c>
      <c r="J6" s="397" t="s">
        <v>616</v>
      </c>
      <c r="K6" s="396">
        <v>0</v>
      </c>
      <c r="L6" s="396">
        <v>0</v>
      </c>
      <c r="M6" s="396">
        <v>1000</v>
      </c>
      <c r="N6" s="396">
        <v>50</v>
      </c>
      <c r="O6" s="398">
        <f t="shared" si="0"/>
        <v>950</v>
      </c>
      <c r="P6" s="398">
        <f t="shared" si="1"/>
        <v>0</v>
      </c>
      <c r="Q6" s="399"/>
      <c r="R6" s="400"/>
      <c r="S6" s="400">
        <v>42169</v>
      </c>
      <c r="T6" s="401"/>
      <c r="U6" s="47"/>
    </row>
    <row r="7" spans="2:21" x14ac:dyDescent="0.25">
      <c r="B7" s="119" t="s">
        <v>84</v>
      </c>
      <c r="C7" s="120">
        <f>EconomiaT46!C16+'A-P_T45'!C7</f>
        <v>2682770</v>
      </c>
      <c r="D7" s="202">
        <f>C7/$C$34</f>
        <v>0.15337287103404795</v>
      </c>
      <c r="E7" s="203" t="s">
        <v>118</v>
      </c>
      <c r="F7" s="204">
        <v>300000</v>
      </c>
      <c r="G7" s="121">
        <f ca="1">F7/$F$34</f>
        <v>1.715087812604673E-2</v>
      </c>
      <c r="J7"/>
    </row>
    <row r="8" spans="2:21" x14ac:dyDescent="0.25">
      <c r="B8" s="119" t="s">
        <v>67</v>
      </c>
      <c r="C8" s="120">
        <f>'A-P_T45'!C8+'A-P_T45'!C9</f>
        <v>2068800</v>
      </c>
      <c r="D8" s="202">
        <f>C8/$C$34</f>
        <v>0.11827245555721824</v>
      </c>
      <c r="E8" s="203" t="s">
        <v>261</v>
      </c>
      <c r="F8" s="204">
        <f>'A-P_T45'!F9+'A-P_T45'!F8</f>
        <v>5337805</v>
      </c>
      <c r="G8" s="121">
        <f ca="1">F8/$F$34</f>
        <v>0.30516014338534286</v>
      </c>
    </row>
    <row r="9" spans="2:21" x14ac:dyDescent="0.25">
      <c r="B9" s="122" t="s">
        <v>119</v>
      </c>
      <c r="C9" s="123">
        <v>0</v>
      </c>
      <c r="D9" s="202">
        <f>C9/$C$34</f>
        <v>0</v>
      </c>
      <c r="E9" s="203" t="s">
        <v>545</v>
      </c>
      <c r="F9" s="204">
        <f>'A-P_T45'!F11-EconomiaT45!C24+EconomiaT45!C5-23750</f>
        <v>2232908</v>
      </c>
      <c r="G9" s="121">
        <f ca="1">F9/$F$34</f>
        <v>0.12765444324891584</v>
      </c>
    </row>
    <row r="10" spans="2:21" x14ac:dyDescent="0.25">
      <c r="B10" s="124"/>
      <c r="C10" s="125"/>
      <c r="D10" s="140"/>
      <c r="E10" s="205"/>
      <c r="F10" s="125"/>
      <c r="G10" s="118"/>
    </row>
    <row r="11" spans="2:21" x14ac:dyDescent="0.25">
      <c r="B11" s="116" t="s">
        <v>100</v>
      </c>
      <c r="C11" s="117">
        <f>SUM(C12:C15)</f>
        <v>1052940</v>
      </c>
      <c r="D11" s="140">
        <f>C11/$C$34</f>
        <v>6.0196152046798811E-2</v>
      </c>
      <c r="E11" s="116" t="s">
        <v>107</v>
      </c>
      <c r="F11" s="117">
        <f ca="1">SUM(F12:F17)+C9</f>
        <v>5118806.7423319006</v>
      </c>
      <c r="G11" s="118">
        <f t="shared" ref="G11:G17" ca="1" si="2">F11/$F$34</f>
        <v>0.29264010196173568</v>
      </c>
    </row>
    <row r="12" spans="2:21" x14ac:dyDescent="0.25">
      <c r="B12" s="129" t="s">
        <v>121</v>
      </c>
      <c r="C12" s="130">
        <f>SUMIF(I4:I41,"S",$P$4:$P$41)</f>
        <v>0</v>
      </c>
      <c r="D12" s="202">
        <f>C12/$C$34</f>
        <v>0</v>
      </c>
      <c r="E12" s="49" t="s">
        <v>122</v>
      </c>
      <c r="F12" s="131">
        <f ca="1">SUMIF(I4:I96,"J",$O$4:$O$36)</f>
        <v>0</v>
      </c>
      <c r="G12" s="121">
        <f t="shared" ca="1" si="2"/>
        <v>0</v>
      </c>
    </row>
    <row r="13" spans="2:21" x14ac:dyDescent="0.25">
      <c r="B13" s="129" t="s">
        <v>100</v>
      </c>
      <c r="C13" s="130">
        <f>SUMIF(I4:I36,"J",$P$4:$P$36)</f>
        <v>1052940</v>
      </c>
      <c r="D13" s="202">
        <f>C13/$C$34</f>
        <v>6.0196152046798811E-2</v>
      </c>
      <c r="E13" s="49" t="s">
        <v>123</v>
      </c>
      <c r="F13" s="131">
        <f ca="1">SUMIF(I4:I65,"S",$O$4:$O$36)</f>
        <v>0</v>
      </c>
      <c r="G13" s="121">
        <f t="shared" ca="1" si="2"/>
        <v>0</v>
      </c>
    </row>
    <row r="14" spans="2:21" x14ac:dyDescent="0.25">
      <c r="B14" s="129" t="s">
        <v>99</v>
      </c>
      <c r="C14" s="130">
        <f>SUMIF(I4:I36,"E",$P$4:$P$36)</f>
        <v>0</v>
      </c>
      <c r="D14" s="202">
        <f>C14/$C$34</f>
        <v>0</v>
      </c>
      <c r="E14" s="49" t="s">
        <v>124</v>
      </c>
      <c r="F14" s="131">
        <f>SUMIF(I4:I16,"C",$O$4:$O$36)</f>
        <v>13300</v>
      </c>
      <c r="G14" s="121">
        <f t="shared" ca="1" si="2"/>
        <v>7.6035559692140499E-4</v>
      </c>
    </row>
    <row r="15" spans="2:21" x14ac:dyDescent="0.25">
      <c r="B15" s="129" t="s">
        <v>125</v>
      </c>
      <c r="C15" s="130">
        <f>SUMIF(I4:I36,"M",$P$4:$P$36)</f>
        <v>0</v>
      </c>
      <c r="D15" s="202">
        <f>C15/$C$34</f>
        <v>0</v>
      </c>
      <c r="E15" s="49" t="s">
        <v>126</v>
      </c>
      <c r="F15" s="131">
        <f>SUMIF(I4:I16,"E",$O$4:$O$36)</f>
        <v>0</v>
      </c>
      <c r="G15" s="121">
        <f t="shared" ca="1" si="2"/>
        <v>0</v>
      </c>
    </row>
    <row r="16" spans="2:21" x14ac:dyDescent="0.25">
      <c r="B16" s="132"/>
      <c r="C16" s="133"/>
      <c r="D16" s="140"/>
      <c r="E16" s="49" t="s">
        <v>127</v>
      </c>
      <c r="F16" s="131">
        <f>SUMIF(I4:I16,"M",$O$4:$O$36)</f>
        <v>0</v>
      </c>
      <c r="G16" s="121">
        <f t="shared" ca="1" si="2"/>
        <v>0</v>
      </c>
    </row>
    <row r="17" spans="2:7" x14ac:dyDescent="0.25">
      <c r="B17" s="116" t="s">
        <v>74</v>
      </c>
      <c r="C17" s="134">
        <f>C18+C19</f>
        <v>13300</v>
      </c>
      <c r="D17" s="140">
        <f>C17/$C$34</f>
        <v>7.6035559692140499E-4</v>
      </c>
      <c r="E17" s="135" t="s">
        <v>128</v>
      </c>
      <c r="F17" s="136">
        <f>C22-F27+EconomiaT46!C24-EconomiaT46!C5</f>
        <v>5105506.7423319006</v>
      </c>
      <c r="G17" s="121">
        <f t="shared" ca="1" si="2"/>
        <v>0.29187974636481429</v>
      </c>
    </row>
    <row r="18" spans="2:7" x14ac:dyDescent="0.25">
      <c r="B18" s="129" t="s">
        <v>74</v>
      </c>
      <c r="C18" s="130">
        <f>SUM(M4:M15)</f>
        <v>14000</v>
      </c>
      <c r="D18" s="202">
        <f>C18/$C$34</f>
        <v>8.0037431254884734E-4</v>
      </c>
      <c r="E18" s="124"/>
      <c r="F18" s="125"/>
      <c r="G18" s="137"/>
    </row>
    <row r="19" spans="2:7" x14ac:dyDescent="0.25">
      <c r="B19" s="122" t="s">
        <v>76</v>
      </c>
      <c r="C19" s="123">
        <f>SUM(N4:N47)*-1</f>
        <v>-700</v>
      </c>
      <c r="D19" s="202">
        <f>C19/$C$34</f>
        <v>-4.0018715627442364E-5</v>
      </c>
      <c r="E19" s="116" t="s">
        <v>129</v>
      </c>
      <c r="F19" s="134">
        <f>F20+F21</f>
        <v>0</v>
      </c>
      <c r="G19" s="118">
        <f ca="1">F19/$F$34</f>
        <v>0</v>
      </c>
    </row>
    <row r="20" spans="2:7" x14ac:dyDescent="0.25">
      <c r="B20" s="132"/>
      <c r="C20" s="133"/>
      <c r="D20" s="202"/>
      <c r="E20" s="206" t="s">
        <v>88</v>
      </c>
      <c r="F20" s="207">
        <f>EconomiaT46!C19</f>
        <v>0</v>
      </c>
      <c r="G20" s="121">
        <f ca="1">F20/$F$34</f>
        <v>0</v>
      </c>
    </row>
    <row r="21" spans="2:7" x14ac:dyDescent="0.25">
      <c r="B21" s="132"/>
      <c r="C21" s="133"/>
      <c r="D21" s="140"/>
      <c r="E21" s="122" t="s">
        <v>130</v>
      </c>
      <c r="F21" s="208">
        <f>SUM(L4:L96)*-1</f>
        <v>0</v>
      </c>
      <c r="G21" s="121">
        <f ca="1">F21/$F$34</f>
        <v>0</v>
      </c>
    </row>
    <row r="22" spans="2:7" x14ac:dyDescent="0.25">
      <c r="B22" s="116" t="s">
        <v>131</v>
      </c>
      <c r="C22" s="117">
        <f>SUM(C23:C27)</f>
        <v>6549004.3711659508</v>
      </c>
      <c r="D22" s="140">
        <f t="shared" ref="D22:D27" si="3">C22/$C$34</f>
        <v>0.37440391938938172</v>
      </c>
      <c r="E22" s="116"/>
      <c r="F22" s="117"/>
      <c r="G22" s="118"/>
    </row>
    <row r="23" spans="2:7" x14ac:dyDescent="0.25">
      <c r="B23" s="138" t="s">
        <v>69</v>
      </c>
      <c r="C23" s="139">
        <f>EconomiaT46!C11</f>
        <v>83340</v>
      </c>
      <c r="D23" s="202">
        <f t="shared" si="3"/>
        <v>4.764513943415781E-3</v>
      </c>
      <c r="E23" s="116" t="s">
        <v>264</v>
      </c>
      <c r="F23" s="117">
        <f>SUM(F24:F25)</f>
        <v>996890</v>
      </c>
      <c r="G23" s="118">
        <f ca="1">F23/$F$34</f>
        <v>5.6991796316915741E-2</v>
      </c>
    </row>
    <row r="24" spans="2:7" x14ac:dyDescent="0.25">
      <c r="B24" s="138" t="s">
        <v>79</v>
      </c>
      <c r="C24" s="139">
        <f>EconomiaT46!C12</f>
        <v>1430300</v>
      </c>
      <c r="D24" s="202">
        <f t="shared" si="3"/>
        <v>8.176966994561545E-2</v>
      </c>
      <c r="E24" s="206" t="s">
        <v>84</v>
      </c>
      <c r="F24" s="209">
        <f>EconomiaT46!C16</f>
        <v>996890</v>
      </c>
      <c r="G24" s="121">
        <f ca="1">F24/$F$34</f>
        <v>5.6991796316915741E-2</v>
      </c>
    </row>
    <row r="25" spans="2:7" x14ac:dyDescent="0.25">
      <c r="B25" s="138" t="s">
        <v>71</v>
      </c>
      <c r="C25" s="139">
        <f>EconomiaT46!C6</f>
        <v>3356670</v>
      </c>
      <c r="D25" s="202">
        <f t="shared" si="3"/>
        <v>0.19189946026452423</v>
      </c>
      <c r="E25" s="206" t="s">
        <v>67</v>
      </c>
      <c r="F25" s="209">
        <f>EconomiaT46!C20</f>
        <v>0</v>
      </c>
      <c r="G25" s="121">
        <f ca="1">F25/$F$34</f>
        <v>0</v>
      </c>
    </row>
    <row r="26" spans="2:7" x14ac:dyDescent="0.25">
      <c r="B26" s="138" t="s">
        <v>72</v>
      </c>
      <c r="C26" s="139">
        <f>EconomiaT46!C7</f>
        <v>1671554.3711659508</v>
      </c>
      <c r="D26" s="202">
        <f t="shared" si="3"/>
        <v>9.5562084336426337E-2</v>
      </c>
      <c r="E26" s="116"/>
      <c r="F26" s="117"/>
      <c r="G26" s="118"/>
    </row>
    <row r="27" spans="2:7" x14ac:dyDescent="0.25">
      <c r="B27" s="138" t="s">
        <v>76</v>
      </c>
      <c r="C27" s="139">
        <f>EconomiaT46!C10</f>
        <v>7140</v>
      </c>
      <c r="D27" s="202">
        <f t="shared" si="3"/>
        <v>4.0819089939991214E-4</v>
      </c>
      <c r="E27" s="116" t="s">
        <v>265</v>
      </c>
      <c r="F27" s="117">
        <f>SUM(F28:F33)</f>
        <v>3505406</v>
      </c>
      <c r="G27" s="118">
        <f t="shared" ref="G27:G33" ca="1" si="4">F27/$F$34</f>
        <v>0.20040263696104318</v>
      </c>
    </row>
    <row r="28" spans="2:7" x14ac:dyDescent="0.25">
      <c r="B28" s="116"/>
      <c r="C28" s="117"/>
      <c r="D28" s="140"/>
      <c r="E28" s="206" t="s">
        <v>132</v>
      </c>
      <c r="F28" s="209">
        <f>EconomiaT46!C14</f>
        <v>839530</v>
      </c>
      <c r="G28" s="121">
        <f t="shared" ca="1" si="4"/>
        <v>4.79955890438667E-2</v>
      </c>
    </row>
    <row r="29" spans="2:7" x14ac:dyDescent="0.25">
      <c r="B29" s="116" t="s">
        <v>133</v>
      </c>
      <c r="C29" s="117">
        <f>EconomiaT46!S24</f>
        <v>5125001.3711659508</v>
      </c>
      <c r="D29" s="140">
        <f>C29/$C$34</f>
        <v>0.29299424637563198</v>
      </c>
      <c r="E29" s="206" t="s">
        <v>82</v>
      </c>
      <c r="F29" s="209">
        <f>EconomiaT46!C15</f>
        <v>415055</v>
      </c>
      <c r="G29" s="121">
        <f t="shared" ca="1" si="4"/>
        <v>2.3728525735354417E-2</v>
      </c>
    </row>
    <row r="30" spans="2:7" x14ac:dyDescent="0.25">
      <c r="B30" s="116"/>
      <c r="C30" s="117"/>
      <c r="D30" s="140"/>
      <c r="E30" s="206" t="s">
        <v>85</v>
      </c>
      <c r="F30" s="209">
        <f>EconomiaT46!C17</f>
        <v>1848000</v>
      </c>
      <c r="G30" s="121">
        <f t="shared" ca="1" si="4"/>
        <v>0.10564940925644785</v>
      </c>
    </row>
    <row r="31" spans="2:7" x14ac:dyDescent="0.25">
      <c r="B31" s="116"/>
      <c r="C31" s="117"/>
      <c r="D31" s="140"/>
      <c r="E31" s="206" t="s">
        <v>86</v>
      </c>
      <c r="F31" s="209">
        <f>EconomiaT46!C18</f>
        <v>320000</v>
      </c>
      <c r="G31" s="121">
        <f t="shared" ca="1" si="4"/>
        <v>1.8294270001116511E-2</v>
      </c>
    </row>
    <row r="32" spans="2:7" x14ac:dyDescent="0.25">
      <c r="B32" s="116"/>
      <c r="C32" s="117"/>
      <c r="D32" s="140"/>
      <c r="E32" s="206" t="s">
        <v>89</v>
      </c>
      <c r="F32" s="209">
        <f>EconomiaT46!C21</f>
        <v>82000</v>
      </c>
      <c r="G32" s="121">
        <f t="shared" ca="1" si="4"/>
        <v>4.6879066877861062E-3</v>
      </c>
    </row>
    <row r="33" spans="2:8" x14ac:dyDescent="0.25">
      <c r="B33" s="141"/>
      <c r="C33" s="142"/>
      <c r="D33" s="140"/>
      <c r="E33" s="206" t="s">
        <v>90</v>
      </c>
      <c r="F33" s="209">
        <f>EconomiaT46!C22</f>
        <v>821</v>
      </c>
      <c r="G33" s="121">
        <f t="shared" ca="1" si="4"/>
        <v>4.6936236471614546E-5</v>
      </c>
    </row>
    <row r="34" spans="2:8" ht="18.75" x14ac:dyDescent="0.3">
      <c r="B34" s="143" t="s">
        <v>27</v>
      </c>
      <c r="C34" s="144">
        <f>C22+C17+C11+C6+C29</f>
        <v>17491815.7423319</v>
      </c>
      <c r="D34" s="145">
        <f>C34/$C$34</f>
        <v>1</v>
      </c>
      <c r="E34" s="146" t="s">
        <v>27</v>
      </c>
      <c r="F34" s="147">
        <f ca="1">F27+F19+F11+F6+F23</f>
        <v>17491815.7423319</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62" priority="91" operator="lessThan">
      <formula>0</formula>
    </cfRule>
    <cfRule type="cellIs" dxfId="161" priority="92" operator="greaterThan">
      <formula>0</formula>
    </cfRule>
  </conditionalFormatting>
  <conditionalFormatting sqref="O4">
    <cfRule type="cellIs" dxfId="160" priority="59" operator="lessThan">
      <formula>0</formula>
    </cfRule>
    <cfRule type="cellIs" dxfId="159" priority="60" operator="greaterThan">
      <formula>0</formula>
    </cfRule>
  </conditionalFormatting>
  <conditionalFormatting sqref="T4">
    <cfRule type="cellIs" dxfId="158" priority="57" operator="lessThan">
      <formula>0</formula>
    </cfRule>
    <cfRule type="cellIs" dxfId="157" priority="58" operator="greaterThan">
      <formula>0</formula>
    </cfRule>
  </conditionalFormatting>
  <conditionalFormatting sqref="T4">
    <cfRule type="cellIs" dxfId="156" priority="55" operator="lessThan">
      <formula>0</formula>
    </cfRule>
    <cfRule type="cellIs" dxfId="155" priority="56" operator="greaterThan">
      <formula>0</formula>
    </cfRule>
  </conditionalFormatting>
  <conditionalFormatting sqref="O4 T4 Q4">
    <cfRule type="cellIs" dxfId="154" priority="53" operator="lessThan">
      <formula>0</formula>
    </cfRule>
    <cfRule type="cellIs" dxfId="153" priority="54" operator="greaterThan">
      <formula>0</formula>
    </cfRule>
  </conditionalFormatting>
  <conditionalFormatting sqref="T4">
    <cfRule type="cellIs" dxfId="152" priority="51" operator="lessThan">
      <formula>0</formula>
    </cfRule>
    <cfRule type="cellIs" dxfId="151" priority="52" operator="greaterThan">
      <formula>0</formula>
    </cfRule>
  </conditionalFormatting>
  <conditionalFormatting sqref="O5">
    <cfRule type="cellIs" dxfId="150" priority="19" operator="lessThan">
      <formula>0</formula>
    </cfRule>
    <cfRule type="cellIs" dxfId="149" priority="20" operator="greaterThan">
      <formula>0</formula>
    </cfRule>
  </conditionalFormatting>
  <conditionalFormatting sqref="T5">
    <cfRule type="cellIs" dxfId="148" priority="17" operator="lessThan">
      <formula>0</formula>
    </cfRule>
    <cfRule type="cellIs" dxfId="147" priority="18" operator="greaterThan">
      <formula>0</formula>
    </cfRule>
  </conditionalFormatting>
  <conditionalFormatting sqref="T5">
    <cfRule type="cellIs" dxfId="146" priority="15" operator="lessThan">
      <formula>0</formula>
    </cfRule>
    <cfRule type="cellIs" dxfId="145" priority="16" operator="greaterThan">
      <formula>0</formula>
    </cfRule>
  </conditionalFormatting>
  <conditionalFormatting sqref="O5 T5 Q5">
    <cfRule type="cellIs" dxfId="144" priority="13" operator="lessThan">
      <formula>0</formula>
    </cfRule>
    <cfRule type="cellIs" dxfId="143" priority="14" operator="greaterThan">
      <formula>0</formula>
    </cfRule>
  </conditionalFormatting>
  <conditionalFormatting sqref="T5">
    <cfRule type="cellIs" dxfId="142" priority="11" operator="lessThan">
      <formula>0</formula>
    </cfRule>
    <cfRule type="cellIs" dxfId="141" priority="12" operator="greaterThan">
      <formula>0</formula>
    </cfRule>
  </conditionalFormatting>
  <conditionalFormatting sqref="O6">
    <cfRule type="cellIs" dxfId="140" priority="9" operator="lessThan">
      <formula>0</formula>
    </cfRule>
    <cfRule type="cellIs" dxfId="139" priority="10" operator="greaterThan">
      <formula>0</formula>
    </cfRule>
  </conditionalFormatting>
  <conditionalFormatting sqref="T6">
    <cfRule type="cellIs" dxfId="138" priority="7" operator="lessThan">
      <formula>0</formula>
    </cfRule>
    <cfRule type="cellIs" dxfId="137" priority="8" operator="greaterThan">
      <formula>0</formula>
    </cfRule>
  </conditionalFormatting>
  <conditionalFormatting sqref="T6">
    <cfRule type="cellIs" dxfId="136" priority="5" operator="lessThan">
      <formula>0</formula>
    </cfRule>
    <cfRule type="cellIs" dxfId="135" priority="6" operator="greaterThan">
      <formula>0</formula>
    </cfRule>
  </conditionalFormatting>
  <conditionalFormatting sqref="O6 T6 Q6">
    <cfRule type="cellIs" dxfId="134" priority="3" operator="lessThan">
      <formula>0</formula>
    </cfRule>
    <cfRule type="cellIs" dxfId="133" priority="4" operator="greaterThan">
      <formula>0</formula>
    </cfRule>
  </conditionalFormatting>
  <conditionalFormatting sqref="T6">
    <cfRule type="cellIs" dxfId="132" priority="1" operator="lessThan">
      <formula>0</formula>
    </cfRule>
    <cfRule type="cellIs" dxfId="131" priority="2" operator="greaterThan">
      <formula>0</formula>
    </cfRule>
  </conditionalFormatting>
  <pageMargins left="0.7" right="0.7" top="0.75" bottom="0.75" header="0.3" footer="0.3"/>
  <pageSetup paperSize="9" orientation="portrait" r:id="rId1"/>
  <legacy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defaultColWidth="11.42578125" defaultRowHeight="15" x14ac:dyDescent="0.25"/>
  <cols>
    <col min="1" max="1" width="23" style="4" bestFit="1" customWidth="1"/>
    <col min="2" max="2" width="16" style="4" customWidth="1"/>
    <col min="3" max="3" width="18.28515625" style="4" bestFit="1" customWidth="1"/>
    <col min="4" max="4" width="16.7109375" style="449"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EconomiaT46!S25</f>
        <v>42188</v>
      </c>
      <c r="E2" s="55">
        <f t="shared" ref="E2:S2" si="0">D2+7</f>
        <v>42195</v>
      </c>
      <c r="F2" s="55">
        <f t="shared" si="0"/>
        <v>42202</v>
      </c>
      <c r="G2" s="55">
        <f t="shared" si="0"/>
        <v>42209</v>
      </c>
      <c r="H2" s="55">
        <f t="shared" si="0"/>
        <v>42216</v>
      </c>
      <c r="I2" s="55">
        <f t="shared" si="0"/>
        <v>42223</v>
      </c>
      <c r="J2" s="55">
        <f t="shared" si="0"/>
        <v>42230</v>
      </c>
      <c r="K2" s="55">
        <f t="shared" si="0"/>
        <v>42237</v>
      </c>
      <c r="L2" s="55">
        <f t="shared" si="0"/>
        <v>42244</v>
      </c>
      <c r="M2" s="55">
        <f t="shared" si="0"/>
        <v>42251</v>
      </c>
      <c r="N2" s="55">
        <f t="shared" si="0"/>
        <v>42258</v>
      </c>
      <c r="O2" s="55">
        <f t="shared" si="0"/>
        <v>42265</v>
      </c>
      <c r="P2" s="55">
        <f t="shared" si="0"/>
        <v>42272</v>
      </c>
      <c r="Q2" s="55">
        <f t="shared" si="0"/>
        <v>42279</v>
      </c>
      <c r="R2" s="55">
        <f t="shared" si="0"/>
        <v>42286</v>
      </c>
      <c r="S2" s="55">
        <f t="shared" si="0"/>
        <v>42293</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2634</v>
      </c>
      <c r="E4" s="61">
        <f t="shared" ref="E4:S4" si="1">D4+(D11/30)</f>
        <v>2643</v>
      </c>
      <c r="F4" s="61">
        <f t="shared" si="1"/>
        <v>2653</v>
      </c>
      <c r="G4" s="61">
        <f t="shared" si="1"/>
        <v>2661</v>
      </c>
      <c r="H4" s="61">
        <f t="shared" si="1"/>
        <v>2667</v>
      </c>
      <c r="I4" s="61">
        <f t="shared" si="1"/>
        <v>2673</v>
      </c>
      <c r="J4" s="61">
        <f t="shared" si="1"/>
        <v>2673</v>
      </c>
      <c r="K4" s="61">
        <f t="shared" si="1"/>
        <v>2673</v>
      </c>
      <c r="L4" s="61">
        <f t="shared" si="1"/>
        <v>2673</v>
      </c>
      <c r="M4" s="61">
        <f t="shared" si="1"/>
        <v>2673</v>
      </c>
      <c r="N4" s="61">
        <f t="shared" si="1"/>
        <v>2681</v>
      </c>
      <c r="O4" s="61">
        <f t="shared" si="1"/>
        <v>2691</v>
      </c>
      <c r="P4" s="61">
        <f t="shared" si="1"/>
        <v>2695</v>
      </c>
      <c r="Q4" s="61">
        <f t="shared" si="1"/>
        <v>2695</v>
      </c>
      <c r="R4" s="61">
        <f t="shared" si="1"/>
        <v>2695</v>
      </c>
      <c r="S4" s="212">
        <f t="shared" si="1"/>
        <v>2695</v>
      </c>
    </row>
    <row r="5" spans="1:26" s="66" customFormat="1" ht="18.75" x14ac:dyDescent="0.3">
      <c r="A5" s="62" t="s">
        <v>70</v>
      </c>
      <c r="B5" s="62"/>
      <c r="C5" s="63">
        <f>EconomiaT46!C24</f>
        <v>5125001.3711659499</v>
      </c>
      <c r="D5" s="64">
        <f>C5</f>
        <v>5125001.3711659499</v>
      </c>
      <c r="E5" s="64">
        <f t="shared" ref="E5:Q5" si="2">D24</f>
        <v>5028046.3711659499</v>
      </c>
      <c r="F5" s="64">
        <f t="shared" si="2"/>
        <v>4950329.3711659499</v>
      </c>
      <c r="G5" s="64">
        <f t="shared" si="2"/>
        <v>5353071.3711659499</v>
      </c>
      <c r="H5" s="64">
        <f t="shared" si="2"/>
        <v>5376959.3711659499</v>
      </c>
      <c r="I5" s="64">
        <f t="shared" si="2"/>
        <v>5731852.3711659499</v>
      </c>
      <c r="J5" s="64">
        <f t="shared" si="2"/>
        <v>5748972.8998837993</v>
      </c>
      <c r="K5" s="64">
        <f t="shared" si="2"/>
        <v>6300293.3251400357</v>
      </c>
      <c r="L5" s="64">
        <f t="shared" si="2"/>
        <v>6355541.0147551969</v>
      </c>
      <c r="M5" s="64">
        <f t="shared" si="2"/>
        <v>6790685.0147551969</v>
      </c>
      <c r="N5" s="64">
        <f t="shared" si="2"/>
        <v>6864958.0147551969</v>
      </c>
      <c r="O5" s="64">
        <f t="shared" si="2"/>
        <v>7301936.0147551969</v>
      </c>
      <c r="P5" s="64">
        <f t="shared" si="2"/>
        <v>7084588.0147551969</v>
      </c>
      <c r="Q5" s="64">
        <f t="shared" si="2"/>
        <v>7455153.0147551969</v>
      </c>
      <c r="R5" s="64">
        <f>Q24</f>
        <v>7349339.0147551969</v>
      </c>
      <c r="S5" s="65">
        <f>R24</f>
        <v>7711512.0147551969</v>
      </c>
    </row>
    <row r="6" spans="1:26" x14ac:dyDescent="0.25">
      <c r="A6" s="67" t="s">
        <v>71</v>
      </c>
      <c r="B6" s="67" t="s">
        <v>71</v>
      </c>
      <c r="C6" s="68">
        <f t="shared" ref="C6:C23" si="3">SUM(D6:S6)</f>
        <v>4582612</v>
      </c>
      <c r="D6" s="69">
        <f>15997+15893-270</f>
        <v>31620</v>
      </c>
      <c r="E6" s="69">
        <v>31473</v>
      </c>
      <c r="F6" s="69">
        <v>589752</v>
      </c>
      <c r="G6" s="69">
        <v>137593</v>
      </c>
      <c r="H6" s="69">
        <f>427259+40000</f>
        <v>467259</v>
      </c>
      <c r="I6" s="456">
        <v>125000</v>
      </c>
      <c r="J6" s="456">
        <v>567000</v>
      </c>
      <c r="K6" s="456">
        <f>125000+36874</f>
        <v>161874</v>
      </c>
      <c r="L6" s="69">
        <v>542085</v>
      </c>
      <c r="M6" s="69">
        <v>157929</v>
      </c>
      <c r="N6" s="69">
        <v>544219</v>
      </c>
      <c r="O6" s="69">
        <v>10303</v>
      </c>
      <c r="P6" s="69">
        <f>475769+11000-7703</f>
        <v>479066</v>
      </c>
      <c r="Q6" s="69">
        <v>10062</v>
      </c>
      <c r="R6" s="69">
        <v>479614</v>
      </c>
      <c r="S6" s="70">
        <v>247763</v>
      </c>
      <c r="Y6" s="67" t="s">
        <v>71</v>
      </c>
      <c r="Z6" s="71">
        <f>C6/$C$13</f>
        <v>0.66344383507595817</v>
      </c>
    </row>
    <row r="7" spans="1:26" x14ac:dyDescent="0.25">
      <c r="A7" s="67" t="s">
        <v>72</v>
      </c>
      <c r="B7" s="67" t="s">
        <v>72</v>
      </c>
      <c r="C7" s="68">
        <f t="shared" si="3"/>
        <v>2087517.6435892477</v>
      </c>
      <c r="D7" s="72">
        <v>107305</v>
      </c>
      <c r="E7" s="72">
        <v>116740</v>
      </c>
      <c r="F7" s="72">
        <v>123215</v>
      </c>
      <c r="G7" s="72">
        <v>127655</v>
      </c>
      <c r="H7" s="72">
        <v>130430</v>
      </c>
      <c r="I7" s="457">
        <f t="shared" ref="I7:K7" si="4">H7*(1+I43)</f>
        <v>132296.52871784955</v>
      </c>
      <c r="J7" s="457">
        <f t="shared" si="4"/>
        <v>133696.42525623669</v>
      </c>
      <c r="K7" s="457">
        <f t="shared" si="4"/>
        <v>134629.68961516148</v>
      </c>
      <c r="L7" s="72">
        <v>134315</v>
      </c>
      <c r="M7" s="72">
        <v>134500</v>
      </c>
      <c r="N7" s="72">
        <v>135055</v>
      </c>
      <c r="O7" s="72">
        <v>135425</v>
      </c>
      <c r="P7" s="72">
        <v>135795</v>
      </c>
      <c r="Q7" s="72">
        <v>135610</v>
      </c>
      <c r="R7" s="72">
        <v>135425</v>
      </c>
      <c r="S7" s="70">
        <v>135425</v>
      </c>
      <c r="Y7" s="67" t="s">
        <v>72</v>
      </c>
      <c r="Z7" s="71">
        <f t="shared" ref="Z7:Z12" si="5">C7/$C$13</f>
        <v>0.30221862799023302</v>
      </c>
    </row>
    <row r="8" spans="1:26" x14ac:dyDescent="0.25">
      <c r="A8" s="67" t="s">
        <v>73</v>
      </c>
      <c r="B8" s="67" t="s">
        <v>74</v>
      </c>
      <c r="C8" s="68">
        <f t="shared" si="3"/>
        <v>0</v>
      </c>
      <c r="D8" s="69">
        <v>0</v>
      </c>
      <c r="E8" s="69"/>
      <c r="F8" s="69">
        <v>0</v>
      </c>
      <c r="G8" s="69">
        <v>0</v>
      </c>
      <c r="H8" s="69">
        <v>0</v>
      </c>
      <c r="I8" s="456"/>
      <c r="J8" s="456">
        <v>0</v>
      </c>
      <c r="K8" s="456"/>
      <c r="L8" s="69">
        <v>0</v>
      </c>
      <c r="M8" s="69">
        <v>0</v>
      </c>
      <c r="N8" s="69">
        <v>0</v>
      </c>
      <c r="O8" s="69">
        <v>0</v>
      </c>
      <c r="P8" s="69">
        <v>0</v>
      </c>
      <c r="Q8" s="69">
        <v>0</v>
      </c>
      <c r="R8" s="69">
        <v>0</v>
      </c>
      <c r="S8" s="70">
        <v>0</v>
      </c>
      <c r="Y8" s="67" t="s">
        <v>74</v>
      </c>
      <c r="Z8" s="71">
        <f t="shared" si="5"/>
        <v>0</v>
      </c>
    </row>
    <row r="9" spans="1:26" x14ac:dyDescent="0.25">
      <c r="A9" s="67"/>
      <c r="B9" s="67" t="s">
        <v>75</v>
      </c>
      <c r="C9" s="68">
        <f t="shared" si="3"/>
        <v>108300</v>
      </c>
      <c r="D9" s="69">
        <v>0</v>
      </c>
      <c r="E9" s="69">
        <v>10450</v>
      </c>
      <c r="F9" s="69">
        <v>0</v>
      </c>
      <c r="G9" s="69">
        <v>950</v>
      </c>
      <c r="H9" s="69">
        <v>0</v>
      </c>
      <c r="I9" s="456"/>
      <c r="J9" s="463">
        <v>95000</v>
      </c>
      <c r="K9" s="456"/>
      <c r="L9" s="69">
        <v>0</v>
      </c>
      <c r="M9" s="69">
        <v>0</v>
      </c>
      <c r="N9" s="69">
        <v>1900</v>
      </c>
      <c r="O9" s="69">
        <v>0</v>
      </c>
      <c r="P9" s="69">
        <v>0</v>
      </c>
      <c r="Q9" s="69">
        <v>0</v>
      </c>
      <c r="R9" s="69">
        <v>0</v>
      </c>
      <c r="S9" s="70">
        <v>0</v>
      </c>
      <c r="Y9" s="67" t="s">
        <v>75</v>
      </c>
      <c r="Z9" s="71">
        <f t="shared" si="5"/>
        <v>1.567904228826841E-2</v>
      </c>
    </row>
    <row r="10" spans="1:26" x14ac:dyDescent="0.25">
      <c r="A10" s="67" t="s">
        <v>76</v>
      </c>
      <c r="B10" s="67" t="s">
        <v>76</v>
      </c>
      <c r="C10" s="68">
        <f t="shared" si="3"/>
        <v>21440</v>
      </c>
      <c r="D10" s="72">
        <v>0</v>
      </c>
      <c r="E10" s="72">
        <v>0</v>
      </c>
      <c r="F10" s="72">
        <v>0</v>
      </c>
      <c r="G10" s="72">
        <v>0</v>
      </c>
      <c r="H10" s="72">
        <v>0</v>
      </c>
      <c r="I10" s="457"/>
      <c r="J10" s="457">
        <v>0</v>
      </c>
      <c r="K10" s="457"/>
      <c r="L10" s="72">
        <v>0</v>
      </c>
      <c r="M10" s="72">
        <v>0</v>
      </c>
      <c r="N10" s="72">
        <v>7920</v>
      </c>
      <c r="O10" s="72">
        <v>0</v>
      </c>
      <c r="P10" s="72">
        <v>0</v>
      </c>
      <c r="Q10" s="72">
        <v>0</v>
      </c>
      <c r="R10" s="72">
        <v>0</v>
      </c>
      <c r="S10" s="70">
        <v>13520</v>
      </c>
      <c r="Y10" s="67" t="s">
        <v>76</v>
      </c>
      <c r="Z10" s="71">
        <f t="shared" si="5"/>
        <v>3.1039581409092768E-3</v>
      </c>
    </row>
    <row r="11" spans="1:26" x14ac:dyDescent="0.25">
      <c r="A11" s="715" t="s">
        <v>77</v>
      </c>
      <c r="B11" s="67" t="s">
        <v>78</v>
      </c>
      <c r="C11" s="68">
        <f t="shared" si="3"/>
        <v>82440</v>
      </c>
      <c r="D11" s="72">
        <v>270</v>
      </c>
      <c r="E11" s="72">
        <v>300</v>
      </c>
      <c r="F11" s="72">
        <v>240</v>
      </c>
      <c r="G11" s="72">
        <v>180</v>
      </c>
      <c r="H11" s="72">
        <v>180</v>
      </c>
      <c r="I11" s="457"/>
      <c r="J11" s="457"/>
      <c r="K11" s="457"/>
      <c r="L11" s="72"/>
      <c r="M11" s="72">
        <v>240</v>
      </c>
      <c r="N11" s="72">
        <v>300</v>
      </c>
      <c r="O11" s="72">
        <v>120</v>
      </c>
      <c r="P11" s="72">
        <v>0</v>
      </c>
      <c r="Q11" s="72">
        <v>0</v>
      </c>
      <c r="R11" s="72">
        <v>0</v>
      </c>
      <c r="S11" s="70">
        <f>80580+30</f>
        <v>80610</v>
      </c>
      <c r="Y11" s="67" t="s">
        <v>78</v>
      </c>
      <c r="Z11" s="71">
        <f t="shared" si="5"/>
        <v>1.1935182329130635E-2</v>
      </c>
    </row>
    <row r="12" spans="1:26" x14ac:dyDescent="0.25">
      <c r="A12" s="716"/>
      <c r="B12" s="67" t="s">
        <v>79</v>
      </c>
      <c r="C12" s="68">
        <f t="shared" si="3"/>
        <v>25000</v>
      </c>
      <c r="D12" s="72">
        <v>0</v>
      </c>
      <c r="E12" s="72">
        <v>0</v>
      </c>
      <c r="F12" s="72">
        <v>0</v>
      </c>
      <c r="G12" s="72">
        <v>0</v>
      </c>
      <c r="H12" s="72">
        <v>0</v>
      </c>
      <c r="I12" s="457"/>
      <c r="J12" s="457">
        <v>0</v>
      </c>
      <c r="K12" s="457"/>
      <c r="L12" s="72">
        <v>0</v>
      </c>
      <c r="M12" s="72">
        <v>25000</v>
      </c>
      <c r="N12" s="72">
        <v>0</v>
      </c>
      <c r="O12" s="72">
        <v>0</v>
      </c>
      <c r="P12" s="72">
        <v>0</v>
      </c>
      <c r="Q12" s="72">
        <v>0</v>
      </c>
      <c r="R12" s="72">
        <v>0</v>
      </c>
      <c r="S12" s="70">
        <v>0</v>
      </c>
      <c r="Y12" s="67" t="s">
        <v>79</v>
      </c>
      <c r="Z12" s="71">
        <f t="shared" si="5"/>
        <v>3.6193541755005563E-3</v>
      </c>
    </row>
    <row r="13" spans="1:26" s="78" customFormat="1" ht="18.75" x14ac:dyDescent="0.3">
      <c r="A13" s="73" t="s">
        <v>80</v>
      </c>
      <c r="B13" s="74"/>
      <c r="C13" s="75">
        <f t="shared" si="3"/>
        <v>6907309.643589247</v>
      </c>
      <c r="D13" s="76">
        <f t="shared" ref="D13:H13" si="6">SUM(D6:D12)</f>
        <v>139195</v>
      </c>
      <c r="E13" s="76">
        <f t="shared" si="6"/>
        <v>158963</v>
      </c>
      <c r="F13" s="76">
        <f>F12+F11+F10+F9+F8+F7+F6</f>
        <v>713207</v>
      </c>
      <c r="G13" s="76">
        <f t="shared" si="6"/>
        <v>266378</v>
      </c>
      <c r="H13" s="76">
        <f t="shared" si="6"/>
        <v>597869</v>
      </c>
      <c r="I13" s="458">
        <f t="shared" ref="I13:S13" si="7">SUM(I6:I12)</f>
        <v>257296.52871784955</v>
      </c>
      <c r="J13" s="458">
        <f t="shared" si="7"/>
        <v>795696.42525623669</v>
      </c>
      <c r="K13" s="458">
        <f t="shared" si="7"/>
        <v>296503.68961516151</v>
      </c>
      <c r="L13" s="76">
        <f t="shared" si="7"/>
        <v>676400</v>
      </c>
      <c r="M13" s="76">
        <f t="shared" si="7"/>
        <v>317669</v>
      </c>
      <c r="N13" s="76">
        <f t="shared" si="7"/>
        <v>689394</v>
      </c>
      <c r="O13" s="76">
        <f t="shared" si="7"/>
        <v>145848</v>
      </c>
      <c r="P13" s="76">
        <f t="shared" si="7"/>
        <v>614861</v>
      </c>
      <c r="Q13" s="76">
        <f t="shared" si="7"/>
        <v>145672</v>
      </c>
      <c r="R13" s="76">
        <f t="shared" si="7"/>
        <v>615039</v>
      </c>
      <c r="S13" s="77">
        <f t="shared" si="7"/>
        <v>477318</v>
      </c>
      <c r="Z13" s="79">
        <f>SUM(Z6:Z12)</f>
        <v>1</v>
      </c>
    </row>
    <row r="14" spans="1:26" ht="18.75" x14ac:dyDescent="0.3">
      <c r="A14" s="80" t="s">
        <v>81</v>
      </c>
      <c r="B14" s="81" t="str">
        <f>A14</f>
        <v>Sueldos</v>
      </c>
      <c r="C14" s="82">
        <f t="shared" si="3"/>
        <v>1070030</v>
      </c>
      <c r="D14" s="83">
        <v>62080</v>
      </c>
      <c r="E14" s="83">
        <v>62610</v>
      </c>
      <c r="F14" s="83">
        <v>62180</v>
      </c>
      <c r="G14" s="83">
        <v>64420</v>
      </c>
      <c r="H14" s="83">
        <v>65270</v>
      </c>
      <c r="I14" s="459">
        <f t="shared" ref="I14:J14" si="8">H14+200</f>
        <v>65470</v>
      </c>
      <c r="J14" s="459">
        <f t="shared" si="8"/>
        <v>65670</v>
      </c>
      <c r="K14" s="459">
        <v>66550</v>
      </c>
      <c r="L14" s="83">
        <v>66550</v>
      </c>
      <c r="M14" s="83">
        <v>68690</v>
      </c>
      <c r="N14" s="83">
        <v>68710</v>
      </c>
      <c r="O14" s="83">
        <v>69590</v>
      </c>
      <c r="P14" s="83">
        <v>69590</v>
      </c>
      <c r="Q14" s="83">
        <v>69710</v>
      </c>
      <c r="R14" s="83">
        <v>71090</v>
      </c>
      <c r="S14" s="70">
        <v>71850</v>
      </c>
      <c r="Y14" s="717">
        <f>C13</f>
        <v>6907309.643589247</v>
      </c>
      <c r="Z14" s="718"/>
    </row>
    <row r="15" spans="1:26" x14ac:dyDescent="0.25">
      <c r="A15" s="80" t="s">
        <v>82</v>
      </c>
      <c r="B15" s="81" t="str">
        <f>A15</f>
        <v xml:space="preserve">Mantenimiento </v>
      </c>
      <c r="C15" s="82">
        <f t="shared" si="3"/>
        <v>555962</v>
      </c>
      <c r="D15" s="83">
        <v>34070</v>
      </c>
      <c r="E15" s="83">
        <f>D15</f>
        <v>34070</v>
      </c>
      <c r="F15" s="83">
        <f t="shared" ref="F15:S15" si="9">E15</f>
        <v>34070</v>
      </c>
      <c r="G15" s="83">
        <f t="shared" si="9"/>
        <v>34070</v>
      </c>
      <c r="H15" s="83">
        <v>34706</v>
      </c>
      <c r="I15" s="459">
        <f t="shared" si="9"/>
        <v>34706</v>
      </c>
      <c r="J15" s="459">
        <f t="shared" si="9"/>
        <v>34706</v>
      </c>
      <c r="K15" s="459">
        <f t="shared" si="9"/>
        <v>34706</v>
      </c>
      <c r="L15" s="83">
        <f t="shared" si="9"/>
        <v>34706</v>
      </c>
      <c r="M15" s="83">
        <f t="shared" si="9"/>
        <v>34706</v>
      </c>
      <c r="N15" s="83">
        <f t="shared" si="9"/>
        <v>34706</v>
      </c>
      <c r="O15" s="83">
        <f t="shared" si="9"/>
        <v>34706</v>
      </c>
      <c r="P15" s="83">
        <f t="shared" si="9"/>
        <v>34706</v>
      </c>
      <c r="Q15" s="83">
        <v>35776</v>
      </c>
      <c r="R15" s="83">
        <f t="shared" si="9"/>
        <v>35776</v>
      </c>
      <c r="S15" s="70">
        <f t="shared" si="9"/>
        <v>35776</v>
      </c>
    </row>
    <row r="16" spans="1:26" ht="20.25" customHeight="1" x14ac:dyDescent="0.25">
      <c r="A16" s="80" t="s">
        <v>83</v>
      </c>
      <c r="B16" s="81" t="s">
        <v>84</v>
      </c>
      <c r="C16" s="82">
        <f t="shared" si="3"/>
        <v>184115</v>
      </c>
      <c r="D16" s="83">
        <v>0</v>
      </c>
      <c r="E16" s="83">
        <f>D16</f>
        <v>0</v>
      </c>
      <c r="F16" s="83">
        <v>71215</v>
      </c>
      <c r="G16" s="83">
        <v>0</v>
      </c>
      <c r="H16" s="83">
        <f t="shared" ref="H16:S16" si="10">G16</f>
        <v>0</v>
      </c>
      <c r="I16" s="462">
        <f t="shared" si="10"/>
        <v>0</v>
      </c>
      <c r="J16" s="462">
        <f t="shared" si="10"/>
        <v>0</v>
      </c>
      <c r="K16" s="462">
        <f t="shared" si="10"/>
        <v>0</v>
      </c>
      <c r="L16" s="462">
        <f t="shared" si="10"/>
        <v>0</v>
      </c>
      <c r="M16" s="462">
        <f t="shared" si="10"/>
        <v>0</v>
      </c>
      <c r="N16" s="462">
        <f t="shared" si="10"/>
        <v>0</v>
      </c>
      <c r="O16" s="462">
        <v>112900</v>
      </c>
      <c r="P16" s="462">
        <v>0</v>
      </c>
      <c r="Q16" s="462">
        <f t="shared" si="10"/>
        <v>0</v>
      </c>
      <c r="R16" s="462">
        <f t="shared" si="10"/>
        <v>0</v>
      </c>
      <c r="S16" s="70">
        <f t="shared" si="10"/>
        <v>0</v>
      </c>
    </row>
    <row r="17" spans="1:26" x14ac:dyDescent="0.25">
      <c r="A17" s="80" t="s">
        <v>85</v>
      </c>
      <c r="B17" s="81" t="str">
        <f>A17</f>
        <v>Empleados</v>
      </c>
      <c r="C17" s="82">
        <f t="shared" si="3"/>
        <v>1920000</v>
      </c>
      <c r="D17" s="83">
        <v>120000</v>
      </c>
      <c r="E17" s="83">
        <f t="shared" ref="E17:S22" si="11">D17</f>
        <v>120000</v>
      </c>
      <c r="F17" s="83">
        <f t="shared" si="11"/>
        <v>120000</v>
      </c>
      <c r="G17" s="83">
        <f t="shared" si="11"/>
        <v>120000</v>
      </c>
      <c r="H17" s="83">
        <f t="shared" si="11"/>
        <v>120000</v>
      </c>
      <c r="I17" s="462">
        <f t="shared" si="11"/>
        <v>120000</v>
      </c>
      <c r="J17" s="462">
        <f t="shared" si="11"/>
        <v>120000</v>
      </c>
      <c r="K17" s="462">
        <f t="shared" si="11"/>
        <v>120000</v>
      </c>
      <c r="L17" s="462">
        <f t="shared" si="11"/>
        <v>120000</v>
      </c>
      <c r="M17" s="462">
        <f t="shared" si="11"/>
        <v>120000</v>
      </c>
      <c r="N17" s="462">
        <f t="shared" si="11"/>
        <v>120000</v>
      </c>
      <c r="O17" s="462">
        <f t="shared" si="11"/>
        <v>120000</v>
      </c>
      <c r="P17" s="462">
        <f t="shared" si="11"/>
        <v>120000</v>
      </c>
      <c r="Q17" s="462">
        <f t="shared" si="11"/>
        <v>120000</v>
      </c>
      <c r="R17" s="462">
        <f t="shared" si="11"/>
        <v>120000</v>
      </c>
      <c r="S17" s="70">
        <f t="shared" si="11"/>
        <v>120000</v>
      </c>
    </row>
    <row r="18" spans="1:26" x14ac:dyDescent="0.25">
      <c r="A18" s="80" t="s">
        <v>86</v>
      </c>
      <c r="B18" s="81" t="str">
        <f>A18</f>
        <v>Juveniles</v>
      </c>
      <c r="C18" s="82">
        <f t="shared" si="3"/>
        <v>320000</v>
      </c>
      <c r="D18" s="83">
        <v>20000</v>
      </c>
      <c r="E18" s="83">
        <f t="shared" si="11"/>
        <v>20000</v>
      </c>
      <c r="F18" s="83">
        <f t="shared" si="11"/>
        <v>20000</v>
      </c>
      <c r="G18" s="83">
        <f t="shared" si="11"/>
        <v>20000</v>
      </c>
      <c r="H18" s="83">
        <f t="shared" si="11"/>
        <v>20000</v>
      </c>
      <c r="I18" s="462">
        <f t="shared" si="11"/>
        <v>20000</v>
      </c>
      <c r="J18" s="462">
        <f t="shared" si="11"/>
        <v>20000</v>
      </c>
      <c r="K18" s="462">
        <f t="shared" si="11"/>
        <v>20000</v>
      </c>
      <c r="L18" s="462">
        <f t="shared" si="11"/>
        <v>20000</v>
      </c>
      <c r="M18" s="462">
        <f t="shared" si="11"/>
        <v>20000</v>
      </c>
      <c r="N18" s="462">
        <f t="shared" si="11"/>
        <v>20000</v>
      </c>
      <c r="O18" s="462">
        <f t="shared" si="11"/>
        <v>20000</v>
      </c>
      <c r="P18" s="462">
        <f t="shared" si="11"/>
        <v>20000</v>
      </c>
      <c r="Q18" s="462">
        <f t="shared" si="11"/>
        <v>20000</v>
      </c>
      <c r="R18" s="462">
        <f t="shared" si="11"/>
        <v>20000</v>
      </c>
      <c r="S18" s="70">
        <f t="shared" si="11"/>
        <v>20000</v>
      </c>
    </row>
    <row r="19" spans="1:26" x14ac:dyDescent="0.25">
      <c r="A19" s="80" t="s">
        <v>87</v>
      </c>
      <c r="B19" s="81" t="s">
        <v>88</v>
      </c>
      <c r="C19" s="82">
        <f t="shared" si="3"/>
        <v>0</v>
      </c>
      <c r="D19" s="83">
        <v>0</v>
      </c>
      <c r="E19" s="83">
        <f t="shared" si="11"/>
        <v>0</v>
      </c>
      <c r="F19" s="83">
        <f t="shared" si="11"/>
        <v>0</v>
      </c>
      <c r="G19" s="83">
        <f t="shared" si="11"/>
        <v>0</v>
      </c>
      <c r="H19" s="83">
        <f t="shared" si="11"/>
        <v>0</v>
      </c>
      <c r="I19" s="459">
        <f t="shared" si="11"/>
        <v>0</v>
      </c>
      <c r="J19" s="459">
        <f t="shared" si="11"/>
        <v>0</v>
      </c>
      <c r="K19" s="459">
        <f t="shared" si="11"/>
        <v>0</v>
      </c>
      <c r="L19" s="83">
        <f t="shared" si="11"/>
        <v>0</v>
      </c>
      <c r="M19" s="83">
        <f t="shared" si="11"/>
        <v>0</v>
      </c>
      <c r="N19" s="83">
        <f t="shared" si="11"/>
        <v>0</v>
      </c>
      <c r="O19" s="83">
        <f t="shared" si="11"/>
        <v>0</v>
      </c>
      <c r="P19" s="83">
        <f t="shared" si="11"/>
        <v>0</v>
      </c>
      <c r="Q19" s="83">
        <f t="shared" si="11"/>
        <v>0</v>
      </c>
      <c r="R19" s="83">
        <f t="shared" si="11"/>
        <v>0</v>
      </c>
      <c r="S19" s="70">
        <f t="shared" si="11"/>
        <v>0</v>
      </c>
    </row>
    <row r="20" spans="1:26" x14ac:dyDescent="0.25">
      <c r="A20" s="84" t="s">
        <v>77</v>
      </c>
      <c r="B20" s="81" t="s">
        <v>67</v>
      </c>
      <c r="C20" s="82">
        <f t="shared" si="3"/>
        <v>0</v>
      </c>
      <c r="D20" s="83">
        <v>0</v>
      </c>
      <c r="E20" s="83">
        <f t="shared" si="11"/>
        <v>0</v>
      </c>
      <c r="F20" s="83">
        <f t="shared" si="11"/>
        <v>0</v>
      </c>
      <c r="G20" s="83">
        <f t="shared" si="11"/>
        <v>0</v>
      </c>
      <c r="H20" s="83">
        <f t="shared" si="11"/>
        <v>0</v>
      </c>
      <c r="I20" s="459">
        <f t="shared" si="11"/>
        <v>0</v>
      </c>
      <c r="J20" s="459">
        <f t="shared" si="11"/>
        <v>0</v>
      </c>
      <c r="K20" s="459">
        <f t="shared" si="11"/>
        <v>0</v>
      </c>
      <c r="L20" s="83">
        <f t="shared" si="11"/>
        <v>0</v>
      </c>
      <c r="M20" s="83">
        <f t="shared" si="11"/>
        <v>0</v>
      </c>
      <c r="N20" s="83">
        <f t="shared" si="11"/>
        <v>0</v>
      </c>
      <c r="O20" s="83">
        <f t="shared" si="11"/>
        <v>0</v>
      </c>
      <c r="P20" s="83">
        <f t="shared" si="11"/>
        <v>0</v>
      </c>
      <c r="Q20" s="83">
        <f t="shared" si="11"/>
        <v>0</v>
      </c>
      <c r="R20" s="83">
        <f t="shared" si="11"/>
        <v>0</v>
      </c>
      <c r="S20" s="70">
        <f t="shared" si="11"/>
        <v>0</v>
      </c>
    </row>
    <row r="21" spans="1:26" x14ac:dyDescent="0.25">
      <c r="A21" s="84"/>
      <c r="B21" s="81" t="s">
        <v>89</v>
      </c>
      <c r="C21" s="82">
        <f t="shared" si="3"/>
        <v>56000</v>
      </c>
      <c r="D21" s="83">
        <v>0</v>
      </c>
      <c r="E21" s="83">
        <f t="shared" si="11"/>
        <v>0</v>
      </c>
      <c r="F21" s="83">
        <v>3000</v>
      </c>
      <c r="G21" s="83">
        <v>4000</v>
      </c>
      <c r="H21" s="83">
        <v>3000</v>
      </c>
      <c r="I21" s="459">
        <v>0</v>
      </c>
      <c r="J21" s="459">
        <v>4000</v>
      </c>
      <c r="K21" s="459">
        <v>0</v>
      </c>
      <c r="L21" s="83">
        <v>0</v>
      </c>
      <c r="M21" s="83">
        <v>0</v>
      </c>
      <c r="N21" s="83">
        <v>9000</v>
      </c>
      <c r="O21" s="83">
        <v>6000</v>
      </c>
      <c r="P21" s="83">
        <v>0</v>
      </c>
      <c r="Q21" s="83">
        <v>6000</v>
      </c>
      <c r="R21" s="83">
        <f t="shared" si="11"/>
        <v>6000</v>
      </c>
      <c r="S21" s="70">
        <v>15000</v>
      </c>
    </row>
    <row r="22" spans="1:26" x14ac:dyDescent="0.25">
      <c r="A22" s="80" t="s">
        <v>90</v>
      </c>
      <c r="B22" s="81" t="str">
        <f>A22</f>
        <v>Intereses</v>
      </c>
      <c r="C22" s="82">
        <f t="shared" si="3"/>
        <v>0</v>
      </c>
      <c r="D22" s="83">
        <v>0</v>
      </c>
      <c r="E22" s="83">
        <f t="shared" si="11"/>
        <v>0</v>
      </c>
      <c r="F22" s="83">
        <f t="shared" si="11"/>
        <v>0</v>
      </c>
      <c r="G22" s="83">
        <f t="shared" si="11"/>
        <v>0</v>
      </c>
      <c r="H22" s="83">
        <f t="shared" si="11"/>
        <v>0</v>
      </c>
      <c r="I22" s="459">
        <f t="shared" si="11"/>
        <v>0</v>
      </c>
      <c r="J22" s="459">
        <f t="shared" si="11"/>
        <v>0</v>
      </c>
      <c r="K22" s="459">
        <f t="shared" si="11"/>
        <v>0</v>
      </c>
      <c r="L22" s="83">
        <f t="shared" si="11"/>
        <v>0</v>
      </c>
      <c r="M22" s="83">
        <f t="shared" si="11"/>
        <v>0</v>
      </c>
      <c r="N22" s="83">
        <f t="shared" si="11"/>
        <v>0</v>
      </c>
      <c r="O22" s="83">
        <f t="shared" si="11"/>
        <v>0</v>
      </c>
      <c r="P22" s="83">
        <f t="shared" si="11"/>
        <v>0</v>
      </c>
      <c r="Q22" s="83">
        <f t="shared" si="11"/>
        <v>0</v>
      </c>
      <c r="R22" s="83">
        <f t="shared" si="11"/>
        <v>0</v>
      </c>
      <c r="S22" s="70">
        <f t="shared" si="11"/>
        <v>0</v>
      </c>
    </row>
    <row r="23" spans="1:26" s="90" customFormat="1" ht="18.75" x14ac:dyDescent="0.3">
      <c r="A23" s="85" t="s">
        <v>91</v>
      </c>
      <c r="B23" s="86"/>
      <c r="C23" s="87">
        <f t="shared" si="3"/>
        <v>4106107</v>
      </c>
      <c r="D23" s="88">
        <f t="shared" ref="D23:S23" si="12">SUM(D14:D22)</f>
        <v>236150</v>
      </c>
      <c r="E23" s="88">
        <f t="shared" si="12"/>
        <v>236680</v>
      </c>
      <c r="F23" s="88">
        <f t="shared" si="12"/>
        <v>310465</v>
      </c>
      <c r="G23" s="88">
        <f t="shared" si="12"/>
        <v>242490</v>
      </c>
      <c r="H23" s="88">
        <f t="shared" si="12"/>
        <v>242976</v>
      </c>
      <c r="I23" s="460">
        <f t="shared" si="12"/>
        <v>240176</v>
      </c>
      <c r="J23" s="460">
        <f t="shared" si="12"/>
        <v>244376</v>
      </c>
      <c r="K23" s="460">
        <f t="shared" si="12"/>
        <v>241256</v>
      </c>
      <c r="L23" s="88">
        <f t="shared" si="12"/>
        <v>241256</v>
      </c>
      <c r="M23" s="88">
        <f t="shared" si="12"/>
        <v>243396</v>
      </c>
      <c r="N23" s="88">
        <f t="shared" si="12"/>
        <v>252416</v>
      </c>
      <c r="O23" s="88">
        <f t="shared" si="12"/>
        <v>363196</v>
      </c>
      <c r="P23" s="88">
        <f t="shared" si="12"/>
        <v>244296</v>
      </c>
      <c r="Q23" s="88">
        <f t="shared" si="12"/>
        <v>251486</v>
      </c>
      <c r="R23" s="88">
        <f t="shared" si="12"/>
        <v>252866</v>
      </c>
      <c r="S23" s="89">
        <f t="shared" si="12"/>
        <v>262626</v>
      </c>
      <c r="Y23" s="81" t="s">
        <v>81</v>
      </c>
      <c r="Z23" s="91">
        <f>C14/$C$23</f>
        <v>0.26059476774472756</v>
      </c>
    </row>
    <row r="24" spans="1:26" s="66" customFormat="1" ht="18.75" x14ac:dyDescent="0.3">
      <c r="A24" s="92" t="s">
        <v>92</v>
      </c>
      <c r="B24" s="92"/>
      <c r="C24" s="64">
        <f>C5+C13-C23</f>
        <v>7926204.0147551969</v>
      </c>
      <c r="D24" s="64">
        <f t="shared" ref="D24:S24" si="13">D5+D13-D23</f>
        <v>5028046.3711659499</v>
      </c>
      <c r="E24" s="64">
        <f t="shared" si="13"/>
        <v>4950329.3711659499</v>
      </c>
      <c r="F24" s="64">
        <f t="shared" si="13"/>
        <v>5353071.3711659499</v>
      </c>
      <c r="G24" s="64">
        <f t="shared" si="13"/>
        <v>5376959.3711659499</v>
      </c>
      <c r="H24" s="64">
        <f t="shared" si="13"/>
        <v>5731852.3711659499</v>
      </c>
      <c r="I24" s="461">
        <f t="shared" si="13"/>
        <v>5748972.8998837993</v>
      </c>
      <c r="J24" s="461">
        <f t="shared" si="13"/>
        <v>6300293.3251400357</v>
      </c>
      <c r="K24" s="461">
        <f t="shared" si="13"/>
        <v>6355541.0147551969</v>
      </c>
      <c r="L24" s="64">
        <f t="shared" si="13"/>
        <v>6790685.0147551969</v>
      </c>
      <c r="M24" s="64">
        <f t="shared" si="13"/>
        <v>6864958.0147551969</v>
      </c>
      <c r="N24" s="64">
        <f t="shared" si="13"/>
        <v>7301936.0147551969</v>
      </c>
      <c r="O24" s="64">
        <f t="shared" si="13"/>
        <v>7084588.0147551969</v>
      </c>
      <c r="P24" s="64">
        <f t="shared" si="13"/>
        <v>7455153.0147551969</v>
      </c>
      <c r="Q24" s="64">
        <f t="shared" si="13"/>
        <v>7349339.0147551969</v>
      </c>
      <c r="R24" s="64">
        <f t="shared" si="13"/>
        <v>7711512.0147551969</v>
      </c>
      <c r="S24" s="65">
        <f t="shared" si="13"/>
        <v>7926204.0147551969</v>
      </c>
      <c r="Y24" s="81" t="s">
        <v>82</v>
      </c>
      <c r="Z24" s="91">
        <f t="shared" ref="Z24:Z31" si="14">C15/$C$23</f>
        <v>0.13539880962673403</v>
      </c>
    </row>
    <row r="25" spans="1:26" s="53" customFormat="1" x14ac:dyDescent="0.25">
      <c r="A25" s="93"/>
      <c r="B25" s="93"/>
      <c r="C25" s="93"/>
      <c r="D25" s="94">
        <f>D2+7</f>
        <v>42195</v>
      </c>
      <c r="E25" s="94">
        <f t="shared" ref="E25:S25" si="15">D25+7</f>
        <v>42202</v>
      </c>
      <c r="F25" s="94">
        <f t="shared" si="15"/>
        <v>42209</v>
      </c>
      <c r="G25" s="94">
        <f t="shared" si="15"/>
        <v>42216</v>
      </c>
      <c r="H25" s="94">
        <f t="shared" si="15"/>
        <v>42223</v>
      </c>
      <c r="I25" s="94">
        <f t="shared" si="15"/>
        <v>42230</v>
      </c>
      <c r="J25" s="94">
        <f t="shared" si="15"/>
        <v>42237</v>
      </c>
      <c r="K25" s="94">
        <f t="shared" si="15"/>
        <v>42244</v>
      </c>
      <c r="L25" s="94">
        <f t="shared" si="15"/>
        <v>42251</v>
      </c>
      <c r="M25" s="94">
        <f t="shared" si="15"/>
        <v>42258</v>
      </c>
      <c r="N25" s="94">
        <f t="shared" si="15"/>
        <v>42265</v>
      </c>
      <c r="O25" s="94">
        <f t="shared" si="15"/>
        <v>42272</v>
      </c>
      <c r="P25" s="94">
        <f t="shared" si="15"/>
        <v>42279</v>
      </c>
      <c r="Q25" s="94">
        <f t="shared" si="15"/>
        <v>42286</v>
      </c>
      <c r="R25" s="94">
        <f t="shared" si="15"/>
        <v>42293</v>
      </c>
      <c r="S25" s="94">
        <f t="shared" si="15"/>
        <v>42300</v>
      </c>
      <c r="Y25" s="81" t="s">
        <v>84</v>
      </c>
      <c r="Z25" s="91">
        <f t="shared" si="14"/>
        <v>4.4839308863602434E-2</v>
      </c>
    </row>
    <row r="26" spans="1:26" s="53" customFormat="1" x14ac:dyDescent="0.25">
      <c r="A26" s="719" t="s">
        <v>93</v>
      </c>
      <c r="B26" s="719"/>
      <c r="C26" s="96">
        <f>C6+C7+C11</f>
        <v>6752569.6435892479</v>
      </c>
      <c r="D26" s="96">
        <f t="shared" ref="D26:S26" si="16">D6+D7+D11</f>
        <v>139195</v>
      </c>
      <c r="E26" s="96">
        <f t="shared" si="16"/>
        <v>148513</v>
      </c>
      <c r="F26" s="96">
        <f t="shared" si="16"/>
        <v>713207</v>
      </c>
      <c r="G26" s="96">
        <f t="shared" si="16"/>
        <v>265428</v>
      </c>
      <c r="H26" s="96">
        <f t="shared" si="16"/>
        <v>597869</v>
      </c>
      <c r="I26" s="96">
        <f t="shared" si="16"/>
        <v>257296.52871784955</v>
      </c>
      <c r="J26" s="96">
        <f t="shared" si="16"/>
        <v>700696.42525623669</v>
      </c>
      <c r="K26" s="96">
        <f t="shared" si="16"/>
        <v>296503.68961516151</v>
      </c>
      <c r="L26" s="96">
        <f t="shared" si="16"/>
        <v>676400</v>
      </c>
      <c r="M26" s="96">
        <f t="shared" si="16"/>
        <v>292669</v>
      </c>
      <c r="N26" s="96">
        <f t="shared" si="16"/>
        <v>679574</v>
      </c>
      <c r="O26" s="96">
        <f t="shared" si="16"/>
        <v>145848</v>
      </c>
      <c r="P26" s="96">
        <f t="shared" si="16"/>
        <v>614861</v>
      </c>
      <c r="Q26" s="96">
        <f t="shared" si="16"/>
        <v>145672</v>
      </c>
      <c r="R26" s="96">
        <f>R6+R7+R11</f>
        <v>615039</v>
      </c>
      <c r="S26" s="96">
        <f t="shared" si="16"/>
        <v>463798</v>
      </c>
      <c r="T26" s="97"/>
      <c r="Y26" s="81" t="s">
        <v>85</v>
      </c>
      <c r="Z26" s="91">
        <f t="shared" si="14"/>
        <v>0.46759619269541686</v>
      </c>
    </row>
    <row r="27" spans="1:26" s="53" customFormat="1" x14ac:dyDescent="0.25">
      <c r="A27" s="710" t="s">
        <v>94</v>
      </c>
      <c r="B27" s="710"/>
      <c r="C27" s="98">
        <f>C14+C15+C17+C18+C21</f>
        <v>3921992</v>
      </c>
      <c r="D27" s="98">
        <f t="shared" ref="D27:S27" si="17">D14+D15+D17+D18+D21</f>
        <v>236150</v>
      </c>
      <c r="E27" s="98">
        <f t="shared" si="17"/>
        <v>236680</v>
      </c>
      <c r="F27" s="98">
        <f t="shared" si="17"/>
        <v>239250</v>
      </c>
      <c r="G27" s="98">
        <f t="shared" si="17"/>
        <v>242490</v>
      </c>
      <c r="H27" s="98">
        <f t="shared" si="17"/>
        <v>242976</v>
      </c>
      <c r="I27" s="98">
        <f t="shared" si="17"/>
        <v>240176</v>
      </c>
      <c r="J27" s="98">
        <f t="shared" si="17"/>
        <v>244376</v>
      </c>
      <c r="K27" s="98">
        <f t="shared" si="17"/>
        <v>241256</v>
      </c>
      <c r="L27" s="98">
        <f t="shared" si="17"/>
        <v>241256</v>
      </c>
      <c r="M27" s="98">
        <f t="shared" si="17"/>
        <v>243396</v>
      </c>
      <c r="N27" s="98">
        <f t="shared" si="17"/>
        <v>252416</v>
      </c>
      <c r="O27" s="98">
        <f t="shared" si="17"/>
        <v>250296</v>
      </c>
      <c r="P27" s="98">
        <f t="shared" si="17"/>
        <v>244296</v>
      </c>
      <c r="Q27" s="98">
        <f t="shared" si="17"/>
        <v>251486</v>
      </c>
      <c r="R27" s="98">
        <f>R14+R15+R17+R18+R21</f>
        <v>252866</v>
      </c>
      <c r="S27" s="98">
        <f t="shared" si="17"/>
        <v>262626</v>
      </c>
      <c r="T27" s="99"/>
      <c r="Y27" s="81" t="s">
        <v>86</v>
      </c>
      <c r="Z27" s="91">
        <f t="shared" si="14"/>
        <v>7.7932698782569476E-2</v>
      </c>
    </row>
    <row r="28" spans="1:26" x14ac:dyDescent="0.25">
      <c r="A28" s="711" t="s">
        <v>95</v>
      </c>
      <c r="B28" s="711"/>
      <c r="C28" s="100">
        <f>C26-C27</f>
        <v>2830577.6435892479</v>
      </c>
      <c r="D28" s="100">
        <f t="shared" ref="D28:S28" si="18">D26-D27</f>
        <v>-96955</v>
      </c>
      <c r="E28" s="100">
        <f t="shared" si="18"/>
        <v>-88167</v>
      </c>
      <c r="F28" s="100">
        <f t="shared" si="18"/>
        <v>473957</v>
      </c>
      <c r="G28" s="100">
        <f t="shared" si="18"/>
        <v>22938</v>
      </c>
      <c r="H28" s="100">
        <f t="shared" si="18"/>
        <v>354893</v>
      </c>
      <c r="I28" s="100">
        <f t="shared" si="18"/>
        <v>17120.528717849549</v>
      </c>
      <c r="J28" s="100">
        <f t="shared" si="18"/>
        <v>456320.42525623669</v>
      </c>
      <c r="K28" s="100">
        <f t="shared" si="18"/>
        <v>55247.689615161507</v>
      </c>
      <c r="L28" s="100">
        <f t="shared" si="18"/>
        <v>435144</v>
      </c>
      <c r="M28" s="100">
        <f t="shared" si="18"/>
        <v>49273</v>
      </c>
      <c r="N28" s="100">
        <f t="shared" si="18"/>
        <v>427158</v>
      </c>
      <c r="O28" s="100">
        <f t="shared" si="18"/>
        <v>-104448</v>
      </c>
      <c r="P28" s="100">
        <f t="shared" si="18"/>
        <v>370565</v>
      </c>
      <c r="Q28" s="100">
        <f t="shared" si="18"/>
        <v>-105814</v>
      </c>
      <c r="R28" s="100">
        <f>R26-R27</f>
        <v>362173</v>
      </c>
      <c r="S28" s="100">
        <f t="shared" si="18"/>
        <v>201172</v>
      </c>
      <c r="T28" s="101"/>
      <c r="Y28" s="81" t="s">
        <v>88</v>
      </c>
      <c r="Z28" s="91">
        <f t="shared" si="14"/>
        <v>0</v>
      </c>
    </row>
    <row r="29" spans="1:26" x14ac:dyDescent="0.25">
      <c r="A29" s="719" t="s">
        <v>96</v>
      </c>
      <c r="B29" s="719"/>
      <c r="C29" s="96">
        <f>C8+C9+C10+C12</f>
        <v>154740</v>
      </c>
      <c r="D29" s="96">
        <f t="shared" ref="D29:S29" si="19">D8+D9+D10+D12</f>
        <v>0</v>
      </c>
      <c r="E29" s="96">
        <f t="shared" si="19"/>
        <v>10450</v>
      </c>
      <c r="F29" s="96">
        <f t="shared" si="19"/>
        <v>0</v>
      </c>
      <c r="G29" s="96">
        <f t="shared" si="19"/>
        <v>950</v>
      </c>
      <c r="H29" s="96">
        <f t="shared" si="19"/>
        <v>0</v>
      </c>
      <c r="I29" s="96">
        <f t="shared" si="19"/>
        <v>0</v>
      </c>
      <c r="J29" s="96">
        <f t="shared" si="19"/>
        <v>95000</v>
      </c>
      <c r="K29" s="96">
        <f t="shared" si="19"/>
        <v>0</v>
      </c>
      <c r="L29" s="96">
        <f t="shared" si="19"/>
        <v>0</v>
      </c>
      <c r="M29" s="96">
        <f t="shared" si="19"/>
        <v>25000</v>
      </c>
      <c r="N29" s="96">
        <f t="shared" si="19"/>
        <v>9820</v>
      </c>
      <c r="O29" s="96">
        <f t="shared" si="19"/>
        <v>0</v>
      </c>
      <c r="P29" s="96">
        <f t="shared" si="19"/>
        <v>0</v>
      </c>
      <c r="Q29" s="96">
        <f t="shared" si="19"/>
        <v>0</v>
      </c>
      <c r="R29" s="96">
        <f>R8+R9+R10+R12</f>
        <v>0</v>
      </c>
      <c r="S29" s="96">
        <f t="shared" si="19"/>
        <v>13520</v>
      </c>
      <c r="T29" s="101"/>
      <c r="Y29" s="81" t="s">
        <v>67</v>
      </c>
      <c r="Z29" s="91">
        <f t="shared" si="14"/>
        <v>0</v>
      </c>
    </row>
    <row r="30" spans="1:26" s="59" customFormat="1" x14ac:dyDescent="0.25">
      <c r="A30" s="710" t="s">
        <v>97</v>
      </c>
      <c r="B30" s="710"/>
      <c r="C30" s="98">
        <f>C16+C19+C20+C22</f>
        <v>184115</v>
      </c>
      <c r="D30" s="98">
        <f t="shared" ref="D30:S30" si="20">D16+D19+D20+D22</f>
        <v>0</v>
      </c>
      <c r="E30" s="98">
        <f t="shared" si="20"/>
        <v>0</v>
      </c>
      <c r="F30" s="98">
        <f t="shared" si="20"/>
        <v>71215</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112900</v>
      </c>
      <c r="P30" s="98">
        <f t="shared" si="20"/>
        <v>0</v>
      </c>
      <c r="Q30" s="98">
        <f t="shared" si="20"/>
        <v>0</v>
      </c>
      <c r="R30" s="98">
        <f>R16+R19+R20+R22</f>
        <v>0</v>
      </c>
      <c r="S30" s="98">
        <f t="shared" si="20"/>
        <v>0</v>
      </c>
      <c r="Y30" s="81" t="s">
        <v>89</v>
      </c>
      <c r="Z30" s="91">
        <f t="shared" si="14"/>
        <v>1.3638222286949659E-2</v>
      </c>
    </row>
    <row r="31" spans="1:26" s="59" customFormat="1" x14ac:dyDescent="0.25">
      <c r="A31" s="711" t="s">
        <v>98</v>
      </c>
      <c r="B31" s="711"/>
      <c r="C31" s="100">
        <f>C29-C30</f>
        <v>-29375</v>
      </c>
      <c r="D31" s="100">
        <f t="shared" ref="D31:S31" si="21">D29-D30</f>
        <v>0</v>
      </c>
      <c r="E31" s="100">
        <f t="shared" si="21"/>
        <v>10450</v>
      </c>
      <c r="F31" s="100">
        <f t="shared" si="21"/>
        <v>-71215</v>
      </c>
      <c r="G31" s="100">
        <f t="shared" si="21"/>
        <v>950</v>
      </c>
      <c r="H31" s="100">
        <f t="shared" si="21"/>
        <v>0</v>
      </c>
      <c r="I31" s="100">
        <f t="shared" si="21"/>
        <v>0</v>
      </c>
      <c r="J31" s="100">
        <f t="shared" si="21"/>
        <v>95000</v>
      </c>
      <c r="K31" s="100">
        <f t="shared" si="21"/>
        <v>0</v>
      </c>
      <c r="L31" s="100">
        <f t="shared" si="21"/>
        <v>0</v>
      </c>
      <c r="M31" s="100">
        <f t="shared" si="21"/>
        <v>25000</v>
      </c>
      <c r="N31" s="100">
        <f t="shared" si="21"/>
        <v>9820</v>
      </c>
      <c r="O31" s="100">
        <f t="shared" si="21"/>
        <v>-112900</v>
      </c>
      <c r="P31" s="100">
        <f t="shared" si="21"/>
        <v>0</v>
      </c>
      <c r="Q31" s="100">
        <f t="shared" si="21"/>
        <v>0</v>
      </c>
      <c r="R31" s="100">
        <f>R29-R30</f>
        <v>0</v>
      </c>
      <c r="S31" s="100">
        <f t="shared" si="21"/>
        <v>13520</v>
      </c>
      <c r="Y31" s="81" t="s">
        <v>90</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c r="F33" s="174">
        <v>23</v>
      </c>
      <c r="G33" s="174">
        <v>23</v>
      </c>
      <c r="H33" s="174">
        <v>22</v>
      </c>
      <c r="I33" s="174"/>
      <c r="J33" s="174"/>
      <c r="K33" s="174"/>
      <c r="L33" s="174"/>
      <c r="M33" s="174">
        <v>21</v>
      </c>
      <c r="N33" s="174">
        <v>21</v>
      </c>
      <c r="O33" s="174">
        <v>21</v>
      </c>
      <c r="P33" s="174">
        <v>21</v>
      </c>
      <c r="Q33" s="174"/>
      <c r="R33" s="174">
        <v>21</v>
      </c>
      <c r="S33" s="174">
        <v>21</v>
      </c>
      <c r="Z33" s="369"/>
    </row>
    <row r="34" spans="1:26" s="59" customFormat="1" ht="18.75" x14ac:dyDescent="0.3">
      <c r="A34" s="57"/>
      <c r="B34" s="720" t="s">
        <v>437</v>
      </c>
      <c r="C34" s="173" t="s">
        <v>181</v>
      </c>
      <c r="D34" s="174">
        <v>499090</v>
      </c>
      <c r="E34" s="174"/>
      <c r="F34" s="174">
        <v>501600</v>
      </c>
      <c r="G34" s="174">
        <v>502890</v>
      </c>
      <c r="H34" s="174">
        <v>503340</v>
      </c>
      <c r="I34" s="174"/>
      <c r="J34" s="174"/>
      <c r="K34" s="174"/>
      <c r="L34" s="174"/>
      <c r="M34" s="174">
        <v>548230</v>
      </c>
      <c r="N34" s="174">
        <v>585080</v>
      </c>
      <c r="O34" s="174">
        <v>595060</v>
      </c>
      <c r="P34" s="174">
        <v>604720</v>
      </c>
      <c r="Q34" s="174"/>
      <c r="R34" s="174">
        <v>672420</v>
      </c>
      <c r="S34" s="174">
        <v>668140</v>
      </c>
      <c r="Y34" s="712">
        <f>C23</f>
        <v>4106107</v>
      </c>
      <c r="Z34" s="713"/>
    </row>
    <row r="35" spans="1:26" x14ac:dyDescent="0.25">
      <c r="A35" s="57"/>
      <c r="B35" s="720"/>
      <c r="C35" s="173" t="s">
        <v>104</v>
      </c>
      <c r="D35" s="174">
        <v>61780</v>
      </c>
      <c r="E35" s="174"/>
      <c r="F35" s="174">
        <v>62190</v>
      </c>
      <c r="G35" s="174">
        <v>64430</v>
      </c>
      <c r="H35" s="174">
        <v>64970</v>
      </c>
      <c r="I35" s="174"/>
      <c r="J35" s="174"/>
      <c r="K35" s="174"/>
      <c r="L35" s="174"/>
      <c r="M35" s="174">
        <v>68410</v>
      </c>
      <c r="N35" s="174">
        <v>68410</v>
      </c>
      <c r="O35" s="174">
        <v>69290</v>
      </c>
      <c r="P35" s="174">
        <v>69410</v>
      </c>
      <c r="Q35" s="174"/>
      <c r="R35" s="174">
        <v>71510</v>
      </c>
      <c r="S35" s="174">
        <v>71550</v>
      </c>
    </row>
    <row r="36" spans="1:26" x14ac:dyDescent="0.25">
      <c r="A36" s="57"/>
      <c r="B36" s="720"/>
      <c r="C36" s="173" t="s">
        <v>61</v>
      </c>
      <c r="D36" s="175" t="s">
        <v>622</v>
      </c>
      <c r="E36" s="175"/>
      <c r="F36" s="175" t="s">
        <v>580</v>
      </c>
      <c r="G36" s="175" t="s">
        <v>628</v>
      </c>
      <c r="H36" s="175" t="s">
        <v>634</v>
      </c>
      <c r="I36" s="175"/>
      <c r="J36" s="175"/>
      <c r="K36" s="175"/>
      <c r="L36" s="175"/>
      <c r="M36" s="175" t="s">
        <v>636</v>
      </c>
      <c r="N36" s="175" t="s">
        <v>639</v>
      </c>
      <c r="O36" s="175" t="s">
        <v>641</v>
      </c>
      <c r="P36" s="175" t="s">
        <v>645</v>
      </c>
      <c r="Q36" s="175"/>
      <c r="R36" s="175" t="s">
        <v>652</v>
      </c>
      <c r="S36" s="175" t="s">
        <v>653</v>
      </c>
    </row>
    <row r="37" spans="1:26" x14ac:dyDescent="0.25">
      <c r="A37" s="57"/>
      <c r="B37" s="720"/>
      <c r="C37" s="173" t="s">
        <v>210</v>
      </c>
      <c r="D37" s="176">
        <v>5.5</v>
      </c>
      <c r="E37" s="176"/>
      <c r="F37" s="176">
        <v>5.5</v>
      </c>
      <c r="G37" s="176">
        <v>5.5</v>
      </c>
      <c r="H37" s="176">
        <v>5.5</v>
      </c>
      <c r="I37" s="176"/>
      <c r="J37" s="176"/>
      <c r="K37" s="176"/>
      <c r="L37" s="176"/>
      <c r="M37" s="176">
        <v>5.5</v>
      </c>
      <c r="N37" s="176">
        <v>5.5</v>
      </c>
      <c r="O37" s="176">
        <v>5.75</v>
      </c>
      <c r="P37" s="176">
        <v>5.75</v>
      </c>
      <c r="Q37" s="176"/>
      <c r="R37" s="176">
        <v>6</v>
      </c>
      <c r="S37" s="176">
        <v>6</v>
      </c>
    </row>
    <row r="38" spans="1:26" x14ac:dyDescent="0.25">
      <c r="B38" s="720"/>
      <c r="C38" s="173" t="s">
        <v>211</v>
      </c>
      <c r="D38" s="176">
        <v>6.25</v>
      </c>
      <c r="E38" s="176"/>
      <c r="F38" s="176">
        <v>6.25</v>
      </c>
      <c r="G38" s="176">
        <v>6</v>
      </c>
      <c r="H38" s="176">
        <v>5.75</v>
      </c>
      <c r="I38" s="176"/>
      <c r="J38" s="176"/>
      <c r="K38" s="176"/>
      <c r="L38" s="176"/>
      <c r="M38" s="176">
        <v>5.75</v>
      </c>
      <c r="N38" s="176">
        <v>5.75</v>
      </c>
      <c r="O38" s="176">
        <v>5.75</v>
      </c>
      <c r="P38" s="176">
        <v>6</v>
      </c>
      <c r="Q38" s="176"/>
      <c r="R38" s="176">
        <v>6</v>
      </c>
      <c r="S38" s="176">
        <v>6</v>
      </c>
    </row>
    <row r="39" spans="1:26" x14ac:dyDescent="0.25">
      <c r="B39" s="720"/>
      <c r="C39" s="173" t="s">
        <v>257</v>
      </c>
      <c r="D39" s="176">
        <v>3.5</v>
      </c>
      <c r="E39" s="176"/>
      <c r="F39" s="176">
        <v>3.5</v>
      </c>
      <c r="G39" s="176">
        <v>3.5</v>
      </c>
      <c r="H39" s="176">
        <v>3.75</v>
      </c>
      <c r="I39" s="176"/>
      <c r="J39" s="176"/>
      <c r="K39" s="176"/>
      <c r="L39" s="176"/>
      <c r="M39" s="176">
        <v>4</v>
      </c>
      <c r="N39" s="176">
        <v>4</v>
      </c>
      <c r="O39" s="176">
        <v>4</v>
      </c>
      <c r="P39" s="176">
        <v>4</v>
      </c>
      <c r="Q39" s="176"/>
      <c r="R39" s="176">
        <v>4</v>
      </c>
      <c r="S39" s="176">
        <v>4.25</v>
      </c>
    </row>
    <row r="40" spans="1:26" ht="15" customHeight="1" x14ac:dyDescent="0.25">
      <c r="C40" s="164" t="s">
        <v>438</v>
      </c>
      <c r="D40" s="288">
        <f>D34/D35</f>
        <v>8.0785043703463906</v>
      </c>
      <c r="E40" s="288" t="e">
        <f>E34/E35</f>
        <v>#DIV/0!</v>
      </c>
      <c r="F40" s="288">
        <f t="shared" ref="F40:S40" si="22">F34/F35</f>
        <v>8.0656054027978783</v>
      </c>
      <c r="G40" s="288">
        <f t="shared" si="22"/>
        <v>7.8052149619742357</v>
      </c>
      <c r="H40" s="288">
        <f t="shared" si="22"/>
        <v>7.7472679698322304</v>
      </c>
      <c r="I40" s="288" t="e">
        <f t="shared" si="22"/>
        <v>#DIV/0!</v>
      </c>
      <c r="J40" s="288" t="e">
        <f t="shared" si="22"/>
        <v>#DIV/0!</v>
      </c>
      <c r="K40" s="288" t="e">
        <f t="shared" si="22"/>
        <v>#DIV/0!</v>
      </c>
      <c r="L40" s="288" t="e">
        <f t="shared" si="22"/>
        <v>#DIV/0!</v>
      </c>
      <c r="M40" s="288">
        <f t="shared" si="22"/>
        <v>8.013886858646396</v>
      </c>
      <c r="N40" s="288">
        <f t="shared" si="22"/>
        <v>8.5525507966671537</v>
      </c>
      <c r="O40" s="288">
        <f t="shared" si="22"/>
        <v>8.5879636311156009</v>
      </c>
      <c r="P40" s="288">
        <f t="shared" si="22"/>
        <v>8.7122892954905637</v>
      </c>
      <c r="Q40" s="288" t="e">
        <f t="shared" si="22"/>
        <v>#DIV/0!</v>
      </c>
      <c r="R40" s="288">
        <f t="shared" si="22"/>
        <v>9.4031603971472517</v>
      </c>
      <c r="S40" s="288">
        <f t="shared" si="22"/>
        <v>9.3380852550663871</v>
      </c>
    </row>
    <row r="41" spans="1:26" ht="15" customHeight="1" x14ac:dyDescent="0.25">
      <c r="D41" s="9"/>
      <c r="E41" s="449"/>
      <c r="G41" s="714"/>
      <c r="H41" s="714"/>
      <c r="I41" s="714"/>
      <c r="J41" s="714"/>
    </row>
    <row r="42" spans="1:26" x14ac:dyDescent="0.25">
      <c r="C42" s="4" t="s">
        <v>485</v>
      </c>
      <c r="D42" s="9">
        <v>85845</v>
      </c>
      <c r="E42" s="341">
        <v>92875</v>
      </c>
      <c r="F42" s="246">
        <v>97870</v>
      </c>
      <c r="G42" s="450">
        <v>101200</v>
      </c>
      <c r="H42" s="450">
        <v>103420</v>
      </c>
      <c r="I42" s="450">
        <v>104900</v>
      </c>
      <c r="J42" s="450">
        <v>106010</v>
      </c>
      <c r="K42" s="9">
        <v>106750</v>
      </c>
      <c r="L42" s="9">
        <v>107490</v>
      </c>
      <c r="M42" s="9">
        <v>108045</v>
      </c>
      <c r="N42" s="9">
        <v>108600</v>
      </c>
      <c r="O42" s="9">
        <v>108970</v>
      </c>
      <c r="P42" s="9">
        <v>109339.96389076956</v>
      </c>
      <c r="Q42" s="9">
        <v>109709.57437104356</v>
      </c>
      <c r="R42" s="9">
        <v>110079.83290413764</v>
      </c>
      <c r="S42" s="9">
        <v>110450</v>
      </c>
    </row>
    <row r="43" spans="1:26" x14ac:dyDescent="0.25">
      <c r="E43">
        <f>(E42-D42)/D42</f>
        <v>8.1891781699574812E-2</v>
      </c>
      <c r="F43">
        <f t="shared" ref="F43:S43" si="23">(F42-E42)/E42</f>
        <v>5.3781965006729472E-2</v>
      </c>
      <c r="G43">
        <f t="shared" si="23"/>
        <v>3.4024726678246651E-2</v>
      </c>
      <c r="H43">
        <f t="shared" si="23"/>
        <v>2.1936758893280634E-2</v>
      </c>
      <c r="I43">
        <f t="shared" si="23"/>
        <v>1.4310578224714755E-2</v>
      </c>
      <c r="J43">
        <f t="shared" si="23"/>
        <v>1.0581506196377502E-2</v>
      </c>
      <c r="K43">
        <f t="shared" si="23"/>
        <v>6.9804735402320536E-3</v>
      </c>
      <c r="L43">
        <f t="shared" si="23"/>
        <v>6.9320843091334895E-3</v>
      </c>
      <c r="M43">
        <f t="shared" si="23"/>
        <v>5.1632710019536704E-3</v>
      </c>
      <c r="N43">
        <f t="shared" si="23"/>
        <v>5.136748576981813E-3</v>
      </c>
      <c r="O43">
        <f t="shared" si="23"/>
        <v>3.4069981583793739E-3</v>
      </c>
      <c r="P43">
        <f t="shared" si="23"/>
        <v>3.3950985662986378E-3</v>
      </c>
      <c r="Q43">
        <f t="shared" si="23"/>
        <v>3.3803786568215922E-3</v>
      </c>
      <c r="R43">
        <f t="shared" si="23"/>
        <v>3.3748971793641676E-3</v>
      </c>
      <c r="S43">
        <f t="shared" si="23"/>
        <v>3.3627149142269855E-3</v>
      </c>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09"/>
      <c r="H46" s="709"/>
      <c r="I46" s="709"/>
      <c r="J46" s="709"/>
      <c r="M46" s="383"/>
    </row>
    <row r="47" spans="1:26" x14ac:dyDescent="0.25">
      <c r="E47" s="106"/>
      <c r="G47" s="450"/>
      <c r="H47" s="450"/>
      <c r="I47" s="450"/>
      <c r="J47" s="450"/>
    </row>
    <row r="48" spans="1:26" x14ac:dyDescent="0.25">
      <c r="G48" s="709"/>
      <c r="H48" s="709"/>
      <c r="I48" s="709"/>
      <c r="J48" s="709"/>
      <c r="P48" s="383"/>
    </row>
    <row r="49" spans="7:10" ht="15" customHeight="1" x14ac:dyDescent="0.25">
      <c r="G49" s="709"/>
      <c r="H49" s="709"/>
      <c r="I49" s="709"/>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16" activePane="bottomRight" state="frozen"/>
      <selection pane="topRight" activeCell="J1" sqref="J1"/>
      <selection pane="bottomLeft" activeCell="A3" sqref="A3"/>
      <selection pane="bottomRight" activeCell="E23" sqref="E23:G25"/>
    </sheetView>
  </sheetViews>
  <sheetFormatPr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21" t="s">
        <v>620</v>
      </c>
      <c r="C2" s="722"/>
      <c r="D2" s="722"/>
      <c r="E2" s="722"/>
      <c r="F2" s="722"/>
      <c r="G2" s="723"/>
      <c r="I2" s="731" t="s">
        <v>621</v>
      </c>
      <c r="J2" s="731"/>
      <c r="K2" s="731"/>
      <c r="L2" s="731"/>
      <c r="M2" s="731"/>
      <c r="N2" s="731"/>
      <c r="O2" s="731"/>
      <c r="P2" s="731"/>
      <c r="Q2" s="731"/>
      <c r="R2" s="731"/>
      <c r="S2" s="731"/>
      <c r="T2" s="731"/>
    </row>
    <row r="3" spans="2:20" x14ac:dyDescent="0.25">
      <c r="B3" s="725" t="s">
        <v>102</v>
      </c>
      <c r="C3" s="726"/>
      <c r="D3" s="726"/>
      <c r="E3" s="726"/>
      <c r="F3" s="726"/>
      <c r="G3" s="727"/>
      <c r="I3" s="107" t="s">
        <v>103</v>
      </c>
      <c r="J3" s="48" t="s">
        <v>100</v>
      </c>
      <c r="K3" s="48" t="s">
        <v>88</v>
      </c>
      <c r="L3" s="48" t="s">
        <v>104</v>
      </c>
      <c r="M3" s="48" t="s">
        <v>105</v>
      </c>
      <c r="N3" s="48" t="s">
        <v>106</v>
      </c>
      <c r="O3" s="48" t="s">
        <v>107</v>
      </c>
      <c r="P3" s="48" t="s">
        <v>108</v>
      </c>
      <c r="Q3" s="108" t="s">
        <v>109</v>
      </c>
      <c r="R3" s="108" t="s">
        <v>110</v>
      </c>
      <c r="S3" s="108" t="s">
        <v>111</v>
      </c>
      <c r="T3" s="108" t="s">
        <v>112</v>
      </c>
    </row>
    <row r="4" spans="2:20" ht="18.75" x14ac:dyDescent="0.3">
      <c r="B4" s="728" t="s">
        <v>113</v>
      </c>
      <c r="C4" s="729"/>
      <c r="D4" s="109"/>
      <c r="E4" s="730" t="s">
        <v>114</v>
      </c>
      <c r="F4" s="729"/>
      <c r="G4" s="109"/>
      <c r="I4" s="374" t="s">
        <v>115</v>
      </c>
      <c r="J4" s="375" t="s">
        <v>539</v>
      </c>
      <c r="K4" s="374">
        <f>1052640+300</f>
        <v>1052940</v>
      </c>
      <c r="L4" s="374">
        <v>0</v>
      </c>
      <c r="M4" s="374">
        <v>0</v>
      </c>
      <c r="N4" s="374">
        <v>0</v>
      </c>
      <c r="O4" s="376">
        <f t="shared" ref="O4:O5" si="0">IF(M4=0,0,M4-K4)-N4</f>
        <v>0</v>
      </c>
      <c r="P4" s="376">
        <f t="shared" ref="P4:P5" si="1">IF(M4=0,K4,0)</f>
        <v>1052940</v>
      </c>
      <c r="Q4" s="377"/>
      <c r="R4" s="378"/>
      <c r="S4" s="378"/>
      <c r="T4" s="379"/>
    </row>
    <row r="5" spans="2:20" x14ac:dyDescent="0.25">
      <c r="B5" s="113"/>
      <c r="C5" s="114"/>
      <c r="D5" s="201"/>
      <c r="E5" s="113"/>
      <c r="F5" s="114"/>
      <c r="G5" s="115"/>
      <c r="I5" s="396" t="s">
        <v>491</v>
      </c>
      <c r="J5" s="397" t="s">
        <v>626</v>
      </c>
      <c r="K5" s="396">
        <v>0</v>
      </c>
      <c r="L5" s="396">
        <v>0</v>
      </c>
      <c r="M5" s="396">
        <v>11000</v>
      </c>
      <c r="N5" s="396">
        <f>M5*0.05</f>
        <v>550</v>
      </c>
      <c r="O5" s="398">
        <f t="shared" si="0"/>
        <v>10450</v>
      </c>
      <c r="P5" s="398">
        <f t="shared" si="1"/>
        <v>0</v>
      </c>
      <c r="Q5" s="399"/>
      <c r="R5" s="400"/>
      <c r="S5" s="400">
        <v>42197</v>
      </c>
      <c r="T5" s="401"/>
    </row>
    <row r="6" spans="2:20" x14ac:dyDescent="0.25">
      <c r="B6" s="116" t="s">
        <v>116</v>
      </c>
      <c r="C6" s="117">
        <f>SUM(C7:C9)</f>
        <v>4935685</v>
      </c>
      <c r="D6" s="140">
        <f>C6/$C$34</f>
        <v>0.23704025225199579</v>
      </c>
      <c r="E6" s="116" t="s">
        <v>117</v>
      </c>
      <c r="F6" s="117">
        <f ca="1">F7+F8+F9</f>
        <v>10929511.37116595</v>
      </c>
      <c r="G6" s="118">
        <f ca="1">F6/$F$34</f>
        <v>0.52489859713742526</v>
      </c>
      <c r="I6" s="396" t="s">
        <v>491</v>
      </c>
      <c r="J6" s="397" t="s">
        <v>635</v>
      </c>
      <c r="K6" s="396">
        <v>0</v>
      </c>
      <c r="L6" s="396">
        <v>0</v>
      </c>
      <c r="M6" s="396">
        <v>1000</v>
      </c>
      <c r="N6" s="396">
        <f>M6*0.05</f>
        <v>50</v>
      </c>
      <c r="O6" s="398">
        <f t="shared" ref="O6" si="2">IF(M6=0,0,M6-K6)-N6</f>
        <v>950</v>
      </c>
      <c r="P6" s="398">
        <f t="shared" ref="P6" si="3">IF(M6=0,K6,0)</f>
        <v>0</v>
      </c>
      <c r="Q6" s="399"/>
      <c r="R6" s="400"/>
      <c r="S6" s="400">
        <v>42216</v>
      </c>
      <c r="T6" s="401"/>
    </row>
    <row r="7" spans="2:20" x14ac:dyDescent="0.25">
      <c r="B7" s="119" t="s">
        <v>84</v>
      </c>
      <c r="C7" s="120">
        <f>EconomiaT47!C16+'A-P_T46'!C7</f>
        <v>2866885</v>
      </c>
      <c r="D7" s="202">
        <f>C7/$C$34</f>
        <v>0.13768446397561088</v>
      </c>
      <c r="E7" s="203" t="s">
        <v>118</v>
      </c>
      <c r="F7" s="204">
        <v>300000</v>
      </c>
      <c r="G7" s="121">
        <f ca="1">F7/$F$34</f>
        <v>1.4407741919429368E-2</v>
      </c>
      <c r="I7" s="396" t="s">
        <v>491</v>
      </c>
      <c r="J7" s="397" t="s">
        <v>637</v>
      </c>
      <c r="K7" s="396">
        <v>0</v>
      </c>
      <c r="L7" s="396">
        <v>0</v>
      </c>
      <c r="M7" s="396">
        <v>100000</v>
      </c>
      <c r="N7" s="396">
        <f>M7*0.05</f>
        <v>5000</v>
      </c>
      <c r="O7" s="398">
        <f t="shared" ref="O7" si="4">IF(M7=0,0,M7-K7)-N7</f>
        <v>95000</v>
      </c>
      <c r="P7" s="398">
        <f t="shared" ref="P7" si="5">IF(M7=0,K7,0)</f>
        <v>0</v>
      </c>
      <c r="Q7" s="399"/>
      <c r="R7" s="400"/>
      <c r="S7" s="400">
        <v>42235</v>
      </c>
      <c r="T7" s="401"/>
    </row>
    <row r="8" spans="2:20" x14ac:dyDescent="0.25">
      <c r="B8" s="119" t="s">
        <v>67</v>
      </c>
      <c r="C8" s="120">
        <f>'A-P_T46'!C8+'A-P_T46'!C9</f>
        <v>2068800</v>
      </c>
      <c r="D8" s="202">
        <f>C8/$C$34</f>
        <v>9.9355788276384915E-2</v>
      </c>
      <c r="E8" s="203" t="s">
        <v>261</v>
      </c>
      <c r="F8" s="204">
        <f>'A-P_T46'!F9+'A-P_T46'!F8</f>
        <v>7570713</v>
      </c>
      <c r="G8" s="121">
        <f ca="1">F8/$F$34</f>
        <v>0.36358959683356284</v>
      </c>
      <c r="I8" s="396" t="s">
        <v>491</v>
      </c>
      <c r="J8" s="397" t="s">
        <v>640</v>
      </c>
      <c r="K8" s="396">
        <v>0</v>
      </c>
      <c r="L8" s="396">
        <v>0</v>
      </c>
      <c r="M8" s="396">
        <v>2000</v>
      </c>
      <c r="N8" s="396">
        <f>M8*0.05</f>
        <v>100</v>
      </c>
      <c r="O8" s="398">
        <f t="shared" ref="O8" si="6">IF(M8=0,0,M8-K8)-N8</f>
        <v>1900</v>
      </c>
      <c r="P8" s="398">
        <f t="shared" ref="P8" si="7">IF(M8=0,K8,0)</f>
        <v>0</v>
      </c>
      <c r="Q8" s="399"/>
      <c r="R8" s="400"/>
      <c r="S8" s="400">
        <v>42265</v>
      </c>
      <c r="T8" s="401"/>
    </row>
    <row r="9" spans="2:20" x14ac:dyDescent="0.25">
      <c r="B9" s="122" t="s">
        <v>119</v>
      </c>
      <c r="C9" s="123">
        <v>0</v>
      </c>
      <c r="D9" s="202">
        <f>C9/$C$34</f>
        <v>0</v>
      </c>
      <c r="E9" s="203" t="s">
        <v>545</v>
      </c>
      <c r="F9" s="204">
        <f ca="1">'A-P_T46'!F11-EconomiaT46!C24+EconomiaT45!C6+262795</f>
        <v>3058798.3711659508</v>
      </c>
      <c r="G9" s="121">
        <f ca="1">F9/$F$34</f>
        <v>0.14690125838443313</v>
      </c>
    </row>
    <row r="10" spans="2:20" x14ac:dyDescent="0.25">
      <c r="B10" s="124"/>
      <c r="C10" s="125"/>
      <c r="D10" s="140"/>
      <c r="E10" s="205"/>
      <c r="F10" s="125"/>
      <c r="G10" s="118"/>
    </row>
    <row r="11" spans="2:20" x14ac:dyDescent="0.25">
      <c r="B11" s="116" t="s">
        <v>100</v>
      </c>
      <c r="C11" s="117">
        <f>SUM(C12:C15)</f>
        <v>1052940</v>
      </c>
      <c r="D11" s="140">
        <f>C11/$C$34</f>
        <v>5.0568292588813193E-2</v>
      </c>
      <c r="E11" s="116" t="s">
        <v>107</v>
      </c>
      <c r="F11" s="117">
        <f ca="1">SUM(F12:F17)+C9</f>
        <v>5786520.287178494</v>
      </c>
      <c r="G11" s="118">
        <f t="shared" ref="G11:G17" ca="1" si="8">F11/$F$34</f>
        <v>0.27790230303070018</v>
      </c>
    </row>
    <row r="12" spans="2:20" x14ac:dyDescent="0.25">
      <c r="B12" s="129" t="s">
        <v>121</v>
      </c>
      <c r="C12" s="130">
        <f>SUMIF(I4:I41,"S",$P$4:$P$41)</f>
        <v>0</v>
      </c>
      <c r="D12" s="202">
        <f>C12/$C$34</f>
        <v>0</v>
      </c>
      <c r="E12" s="49" t="s">
        <v>122</v>
      </c>
      <c r="F12" s="131">
        <f ca="1">SUMIF(I4:I96,"J",$O$4:$O$36)</f>
        <v>0</v>
      </c>
      <c r="G12" s="121">
        <f t="shared" ca="1" si="8"/>
        <v>0</v>
      </c>
    </row>
    <row r="13" spans="2:20" x14ac:dyDescent="0.25">
      <c r="B13" s="129" t="s">
        <v>100</v>
      </c>
      <c r="C13" s="130">
        <f>SUMIF(I4:I36,"J",$P$4:$P$36)</f>
        <v>1052940</v>
      </c>
      <c r="D13" s="202">
        <f>C13/$C$34</f>
        <v>5.0568292588813193E-2</v>
      </c>
      <c r="E13" s="49" t="s">
        <v>123</v>
      </c>
      <c r="F13" s="131">
        <f ca="1">SUMIF(I4:I65,"S",$O$4:$O$36)</f>
        <v>0</v>
      </c>
      <c r="G13" s="121">
        <f t="shared" ca="1" si="8"/>
        <v>0</v>
      </c>
    </row>
    <row r="14" spans="2:20" x14ac:dyDescent="0.25">
      <c r="B14" s="129" t="s">
        <v>99</v>
      </c>
      <c r="C14" s="130">
        <f>SUMIF(I4:I36,"E",$P$4:$P$36)</f>
        <v>0</v>
      </c>
      <c r="D14" s="202">
        <f>C14/$C$34</f>
        <v>0</v>
      </c>
      <c r="E14" s="49" t="s">
        <v>124</v>
      </c>
      <c r="F14" s="131">
        <f>SUMIF(I4:I16,"C",$O$4:$O$36)</f>
        <v>108300</v>
      </c>
      <c r="G14" s="121">
        <f t="shared" ca="1" si="8"/>
        <v>5.2011948329140018E-3</v>
      </c>
    </row>
    <row r="15" spans="2:20" x14ac:dyDescent="0.25">
      <c r="B15" s="129" t="s">
        <v>125</v>
      </c>
      <c r="C15" s="130">
        <f>SUMIF(I4:I36,"M",$P$4:$P$36)</f>
        <v>0</v>
      </c>
      <c r="D15" s="202">
        <f>C15/$C$34</f>
        <v>0</v>
      </c>
      <c r="E15" s="49" t="s">
        <v>126</v>
      </c>
      <c r="F15" s="131">
        <f>SUMIF(I4:I16,"E",$O$4:$O$36)</f>
        <v>0</v>
      </c>
      <c r="G15" s="121">
        <f t="shared" ca="1" si="8"/>
        <v>0</v>
      </c>
    </row>
    <row r="16" spans="2:20" x14ac:dyDescent="0.25">
      <c r="B16" s="132"/>
      <c r="C16" s="133"/>
      <c r="D16" s="140"/>
      <c r="E16" s="49" t="s">
        <v>127</v>
      </c>
      <c r="F16" s="131">
        <f>SUMIF(I4:I16,"M",$O$4:$O$36)</f>
        <v>0</v>
      </c>
      <c r="G16" s="121">
        <f t="shared" ca="1" si="8"/>
        <v>0</v>
      </c>
    </row>
    <row r="17" spans="2:7" x14ac:dyDescent="0.25">
      <c r="B17" s="116" t="s">
        <v>74</v>
      </c>
      <c r="C17" s="134">
        <f>C18+C19</f>
        <v>108300</v>
      </c>
      <c r="D17" s="140">
        <f>C17/$C$34</f>
        <v>5.2011948329140018E-3</v>
      </c>
      <c r="E17" s="135" t="s">
        <v>128</v>
      </c>
      <c r="F17" s="136">
        <f>C22-F27+EconomiaT47!C24-EconomiaT47!C5</f>
        <v>5678220.287178494</v>
      </c>
      <c r="G17" s="121">
        <f t="shared" ca="1" si="8"/>
        <v>0.27270110819778615</v>
      </c>
    </row>
    <row r="18" spans="2:7" x14ac:dyDescent="0.25">
      <c r="B18" s="129" t="s">
        <v>74</v>
      </c>
      <c r="C18" s="130">
        <f>SUM(M4:M15)</f>
        <v>114000</v>
      </c>
      <c r="D18" s="202">
        <f>C18/$C$34</f>
        <v>5.4749419293831595E-3</v>
      </c>
      <c r="E18" s="124"/>
      <c r="F18" s="125"/>
      <c r="G18" s="137"/>
    </row>
    <row r="19" spans="2:7" x14ac:dyDescent="0.25">
      <c r="B19" s="122" t="s">
        <v>76</v>
      </c>
      <c r="C19" s="123">
        <f>SUM(N4:N47)*-1</f>
        <v>-5700</v>
      </c>
      <c r="D19" s="202">
        <f>C19/$C$34</f>
        <v>-2.7374709646915799E-4</v>
      </c>
      <c r="E19" s="116" t="s">
        <v>129</v>
      </c>
      <c r="F19" s="134">
        <f>F20+F21</f>
        <v>0</v>
      </c>
      <c r="G19" s="118">
        <f ca="1">F19/$F$34</f>
        <v>0</v>
      </c>
    </row>
    <row r="20" spans="2:7" x14ac:dyDescent="0.25">
      <c r="B20" s="132"/>
      <c r="C20" s="133"/>
      <c r="D20" s="202"/>
      <c r="E20" s="206" t="s">
        <v>88</v>
      </c>
      <c r="F20" s="207">
        <f>EconomiaT47!C19</f>
        <v>0</v>
      </c>
      <c r="G20" s="121">
        <f ca="1">F20/$F$34</f>
        <v>0</v>
      </c>
    </row>
    <row r="21" spans="2:7" x14ac:dyDescent="0.25">
      <c r="B21" s="132"/>
      <c r="C21" s="133"/>
      <c r="D21" s="140"/>
      <c r="E21" s="122" t="s">
        <v>130</v>
      </c>
      <c r="F21" s="208">
        <f>SUM(L4:L96)*-1</f>
        <v>0</v>
      </c>
      <c r="G21" s="121">
        <f ca="1">F21/$F$34</f>
        <v>0</v>
      </c>
    </row>
    <row r="22" spans="2:7" x14ac:dyDescent="0.25">
      <c r="B22" s="116" t="s">
        <v>131</v>
      </c>
      <c r="C22" s="117">
        <f>SUM(C23:C27)</f>
        <v>6799009.6435892479</v>
      </c>
      <c r="D22" s="140">
        <f t="shared" ref="D22:D27" si="9">C22/$C$34</f>
        <v>0.32652792084181775</v>
      </c>
      <c r="E22" s="116"/>
      <c r="F22" s="117"/>
      <c r="G22" s="118"/>
    </row>
    <row r="23" spans="2:7" x14ac:dyDescent="0.25">
      <c r="B23" s="138" t="s">
        <v>69</v>
      </c>
      <c r="C23" s="139">
        <f>EconomiaT47!C11</f>
        <v>82440</v>
      </c>
      <c r="D23" s="202">
        <f t="shared" si="9"/>
        <v>3.9592474794591902E-3</v>
      </c>
      <c r="E23" s="116" t="s">
        <v>264</v>
      </c>
      <c r="F23" s="117">
        <f>SUM(F24:F25)</f>
        <v>184115</v>
      </c>
      <c r="G23" s="118">
        <f ca="1">F23/$F$34</f>
        <v>8.8422713449857922E-3</v>
      </c>
    </row>
    <row r="24" spans="2:7" x14ac:dyDescent="0.25">
      <c r="B24" s="138" t="s">
        <v>79</v>
      </c>
      <c r="C24" s="139">
        <f>EconomiaT47!C12</f>
        <v>25000</v>
      </c>
      <c r="D24" s="202">
        <f t="shared" si="9"/>
        <v>1.2006451599524473E-3</v>
      </c>
      <c r="E24" s="206" t="s">
        <v>84</v>
      </c>
      <c r="F24" s="209">
        <f>EconomiaT47!C16</f>
        <v>184115</v>
      </c>
      <c r="G24" s="121">
        <f ca="1">F24/$F$34</f>
        <v>8.8422713449857922E-3</v>
      </c>
    </row>
    <row r="25" spans="2:7" x14ac:dyDescent="0.25">
      <c r="B25" s="138" t="s">
        <v>71</v>
      </c>
      <c r="C25" s="139">
        <f>EconomiaT47!C6</f>
        <v>4582612</v>
      </c>
      <c r="D25" s="202">
        <f t="shared" si="9"/>
        <v>0.22008363670960016</v>
      </c>
      <c r="E25" s="206" t="s">
        <v>67</v>
      </c>
      <c r="F25" s="209">
        <f>EconomiaT47!C20</f>
        <v>0</v>
      </c>
      <c r="G25" s="121">
        <f ca="1">F25/$F$34</f>
        <v>0</v>
      </c>
    </row>
    <row r="26" spans="2:7" x14ac:dyDescent="0.25">
      <c r="B26" s="138" t="s">
        <v>72</v>
      </c>
      <c r="C26" s="139">
        <f>EconomiaT47!C7</f>
        <v>2087517.6435892477</v>
      </c>
      <c r="D26" s="202">
        <f t="shared" si="9"/>
        <v>0.10025471820363072</v>
      </c>
      <c r="E26" s="116"/>
      <c r="F26" s="117"/>
      <c r="G26" s="118"/>
    </row>
    <row r="27" spans="2:7" x14ac:dyDescent="0.25">
      <c r="B27" s="138" t="s">
        <v>76</v>
      </c>
      <c r="C27" s="139">
        <f>EconomiaT47!C10</f>
        <v>21440</v>
      </c>
      <c r="D27" s="202">
        <f t="shared" si="9"/>
        <v>1.0296732891752188E-3</v>
      </c>
      <c r="E27" s="116" t="s">
        <v>265</v>
      </c>
      <c r="F27" s="117">
        <f>SUM(F28:F33)</f>
        <v>3921992</v>
      </c>
      <c r="G27" s="118">
        <f t="shared" ref="G27:G33" ca="1" si="10">F27/$F$34</f>
        <v>0.18835682848688873</v>
      </c>
    </row>
    <row r="28" spans="2:7" x14ac:dyDescent="0.25">
      <c r="B28" s="116"/>
      <c r="C28" s="117"/>
      <c r="D28" s="140"/>
      <c r="E28" s="206" t="s">
        <v>132</v>
      </c>
      <c r="F28" s="209">
        <f>EconomiaT47!C14</f>
        <v>1070030</v>
      </c>
      <c r="G28" s="121">
        <f t="shared" ca="1" si="10"/>
        <v>5.1389053620156687E-2</v>
      </c>
    </row>
    <row r="29" spans="2:7" x14ac:dyDescent="0.25">
      <c r="B29" s="116" t="s">
        <v>133</v>
      </c>
      <c r="C29" s="117">
        <f>EconomiaT47!S24</f>
        <v>7926204.0147551969</v>
      </c>
      <c r="D29" s="140">
        <f>C29/$C$34</f>
        <v>0.38066233948445932</v>
      </c>
      <c r="E29" s="206" t="s">
        <v>82</v>
      </c>
      <c r="F29" s="209">
        <f>EconomiaT47!C15</f>
        <v>555962</v>
      </c>
      <c r="G29" s="121">
        <f t="shared" ca="1" si="10"/>
        <v>2.6700523376699301E-2</v>
      </c>
    </row>
    <row r="30" spans="2:7" x14ac:dyDescent="0.25">
      <c r="B30" s="116"/>
      <c r="C30" s="117"/>
      <c r="D30" s="140"/>
      <c r="E30" s="206" t="s">
        <v>85</v>
      </c>
      <c r="F30" s="209">
        <f>EconomiaT47!C17</f>
        <v>1920000</v>
      </c>
      <c r="G30" s="121">
        <f t="shared" ca="1" si="10"/>
        <v>9.220954828434795E-2</v>
      </c>
    </row>
    <row r="31" spans="2:7" x14ac:dyDescent="0.25">
      <c r="B31" s="116"/>
      <c r="C31" s="117"/>
      <c r="D31" s="140"/>
      <c r="E31" s="206" t="s">
        <v>86</v>
      </c>
      <c r="F31" s="209">
        <f>EconomiaT47!C18</f>
        <v>320000</v>
      </c>
      <c r="G31" s="121">
        <f t="shared" ca="1" si="10"/>
        <v>1.5368258047391324E-2</v>
      </c>
    </row>
    <row r="32" spans="2:7" x14ac:dyDescent="0.25">
      <c r="B32" s="116"/>
      <c r="C32" s="117"/>
      <c r="D32" s="140"/>
      <c r="E32" s="206" t="s">
        <v>89</v>
      </c>
      <c r="F32" s="209">
        <f>EconomiaT47!C21</f>
        <v>56000</v>
      </c>
      <c r="G32" s="121">
        <f t="shared" ca="1" si="10"/>
        <v>2.689445158293482E-3</v>
      </c>
    </row>
    <row r="33" spans="2:8" x14ac:dyDescent="0.25">
      <c r="B33" s="141"/>
      <c r="C33" s="142"/>
      <c r="D33" s="140"/>
      <c r="E33" s="206" t="s">
        <v>90</v>
      </c>
      <c r="F33" s="209">
        <f>EconomiaT47!C22</f>
        <v>0</v>
      </c>
      <c r="G33" s="121">
        <f t="shared" ca="1" si="10"/>
        <v>0</v>
      </c>
    </row>
    <row r="34" spans="2:8" ht="18.75" x14ac:dyDescent="0.3">
      <c r="B34" s="143" t="s">
        <v>27</v>
      </c>
      <c r="C34" s="144">
        <f>C22+C17+C11+C6+C29</f>
        <v>20822138.658344444</v>
      </c>
      <c r="D34" s="145">
        <f>C34/$C$34</f>
        <v>1</v>
      </c>
      <c r="E34" s="146" t="s">
        <v>27</v>
      </c>
      <c r="F34" s="147">
        <f ca="1">F27+F19+F11+F6+F23</f>
        <v>20822138.658344444</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30" priority="71" operator="lessThan">
      <formula>0</formula>
    </cfRule>
    <cfRule type="cellIs" dxfId="129" priority="72" operator="greaterThan">
      <formula>0</formula>
    </cfRule>
  </conditionalFormatting>
  <conditionalFormatting sqref="O4">
    <cfRule type="cellIs" dxfId="128" priority="69" operator="lessThan">
      <formula>0</formula>
    </cfRule>
    <cfRule type="cellIs" dxfId="127" priority="70" operator="greaterThan">
      <formula>0</formula>
    </cfRule>
  </conditionalFormatting>
  <conditionalFormatting sqref="T4">
    <cfRule type="cellIs" dxfId="126" priority="67" operator="lessThan">
      <formula>0</formula>
    </cfRule>
    <cfRule type="cellIs" dxfId="125" priority="68" operator="greaterThan">
      <formula>0</formula>
    </cfRule>
  </conditionalFormatting>
  <conditionalFormatting sqref="T4">
    <cfRule type="cellIs" dxfId="124" priority="65" operator="lessThan">
      <formula>0</formula>
    </cfRule>
    <cfRule type="cellIs" dxfId="123" priority="66" operator="greaterThan">
      <formula>0</formula>
    </cfRule>
  </conditionalFormatting>
  <conditionalFormatting sqref="O4 T4 Q4">
    <cfRule type="cellIs" dxfId="122" priority="63" operator="lessThan">
      <formula>0</formula>
    </cfRule>
    <cfRule type="cellIs" dxfId="121" priority="64" operator="greaterThan">
      <formula>0</formula>
    </cfRule>
  </conditionalFormatting>
  <conditionalFormatting sqref="T4">
    <cfRule type="cellIs" dxfId="120" priority="61" operator="lessThan">
      <formula>0</formula>
    </cfRule>
    <cfRule type="cellIs" dxfId="119" priority="62" operator="greaterThan">
      <formula>0</formula>
    </cfRule>
  </conditionalFormatting>
  <conditionalFormatting sqref="O5">
    <cfRule type="cellIs" dxfId="118" priority="39" operator="lessThan">
      <formula>0</formula>
    </cfRule>
    <cfRule type="cellIs" dxfId="117" priority="40" operator="greaterThan">
      <formula>0</formula>
    </cfRule>
  </conditionalFormatting>
  <conditionalFormatting sqref="T5">
    <cfRule type="cellIs" dxfId="116" priority="37" operator="lessThan">
      <formula>0</formula>
    </cfRule>
    <cfRule type="cellIs" dxfId="115" priority="38" operator="greaterThan">
      <formula>0</formula>
    </cfRule>
  </conditionalFormatting>
  <conditionalFormatting sqref="T5">
    <cfRule type="cellIs" dxfId="114" priority="35" operator="lessThan">
      <formula>0</formula>
    </cfRule>
    <cfRule type="cellIs" dxfId="113" priority="36" operator="greaterThan">
      <formula>0</formula>
    </cfRule>
  </conditionalFormatting>
  <conditionalFormatting sqref="O5 T5 Q5">
    <cfRule type="cellIs" dxfId="112" priority="33" operator="lessThan">
      <formula>0</formula>
    </cfRule>
    <cfRule type="cellIs" dxfId="111" priority="34" operator="greaterThan">
      <formula>0</formula>
    </cfRule>
  </conditionalFormatting>
  <conditionalFormatting sqref="T5">
    <cfRule type="cellIs" dxfId="110" priority="31" operator="lessThan">
      <formula>0</formula>
    </cfRule>
    <cfRule type="cellIs" dxfId="109" priority="32" operator="greaterThan">
      <formula>0</formula>
    </cfRule>
  </conditionalFormatting>
  <conditionalFormatting sqref="O6">
    <cfRule type="cellIs" dxfId="108" priority="29" operator="lessThan">
      <formula>0</formula>
    </cfRule>
    <cfRule type="cellIs" dxfId="107" priority="30" operator="greaterThan">
      <formula>0</formula>
    </cfRule>
  </conditionalFormatting>
  <conditionalFormatting sqref="T6">
    <cfRule type="cellIs" dxfId="106" priority="27" operator="lessThan">
      <formula>0</formula>
    </cfRule>
    <cfRule type="cellIs" dxfId="105" priority="28" operator="greaterThan">
      <formula>0</formula>
    </cfRule>
  </conditionalFormatting>
  <conditionalFormatting sqref="T6">
    <cfRule type="cellIs" dxfId="104" priority="25" operator="lessThan">
      <formula>0</formula>
    </cfRule>
    <cfRule type="cellIs" dxfId="103" priority="26" operator="greaterThan">
      <formula>0</formula>
    </cfRule>
  </conditionalFormatting>
  <conditionalFormatting sqref="O6 T6 Q6">
    <cfRule type="cellIs" dxfId="102" priority="23" operator="lessThan">
      <formula>0</formula>
    </cfRule>
    <cfRule type="cellIs" dxfId="101" priority="24" operator="greaterThan">
      <formula>0</formula>
    </cfRule>
  </conditionalFormatting>
  <conditionalFormatting sqref="T6">
    <cfRule type="cellIs" dxfId="100" priority="21" operator="lessThan">
      <formula>0</formula>
    </cfRule>
    <cfRule type="cellIs" dxfId="99" priority="22" operator="greaterThan">
      <formula>0</formula>
    </cfRule>
  </conditionalFormatting>
  <conditionalFormatting sqref="O7">
    <cfRule type="cellIs" dxfId="98" priority="19" operator="lessThan">
      <formula>0</formula>
    </cfRule>
    <cfRule type="cellIs" dxfId="97" priority="20" operator="greaterThan">
      <formula>0</formula>
    </cfRule>
  </conditionalFormatting>
  <conditionalFormatting sqref="T7">
    <cfRule type="cellIs" dxfId="96" priority="17" operator="lessThan">
      <formula>0</formula>
    </cfRule>
    <cfRule type="cellIs" dxfId="95" priority="18" operator="greaterThan">
      <formula>0</formula>
    </cfRule>
  </conditionalFormatting>
  <conditionalFormatting sqref="T7">
    <cfRule type="cellIs" dxfId="94" priority="15" operator="lessThan">
      <formula>0</formula>
    </cfRule>
    <cfRule type="cellIs" dxfId="93" priority="16" operator="greaterThan">
      <formula>0</formula>
    </cfRule>
  </conditionalFormatting>
  <conditionalFormatting sqref="O7 T7 Q7">
    <cfRule type="cellIs" dxfId="92" priority="13" operator="lessThan">
      <formula>0</formula>
    </cfRule>
    <cfRule type="cellIs" dxfId="91" priority="14" operator="greaterThan">
      <formula>0</formula>
    </cfRule>
  </conditionalFormatting>
  <conditionalFormatting sqref="T7">
    <cfRule type="cellIs" dxfId="90" priority="11" operator="lessThan">
      <formula>0</formula>
    </cfRule>
    <cfRule type="cellIs" dxfId="89" priority="12" operator="greaterThan">
      <formula>0</formula>
    </cfRule>
  </conditionalFormatting>
  <conditionalFormatting sqref="O8">
    <cfRule type="cellIs" dxfId="88" priority="9" operator="lessThan">
      <formula>0</formula>
    </cfRule>
    <cfRule type="cellIs" dxfId="87" priority="10" operator="greaterThan">
      <formula>0</formula>
    </cfRule>
  </conditionalFormatting>
  <conditionalFormatting sqref="T8">
    <cfRule type="cellIs" dxfId="86" priority="7" operator="lessThan">
      <formula>0</formula>
    </cfRule>
    <cfRule type="cellIs" dxfId="85" priority="8" operator="greaterThan">
      <formula>0</formula>
    </cfRule>
  </conditionalFormatting>
  <conditionalFormatting sqref="T8">
    <cfRule type="cellIs" dxfId="84" priority="5" operator="lessThan">
      <formula>0</formula>
    </cfRule>
    <cfRule type="cellIs" dxfId="83" priority="6" operator="greaterThan">
      <formula>0</formula>
    </cfRule>
  </conditionalFormatting>
  <conditionalFormatting sqref="O8 T8 Q8">
    <cfRule type="cellIs" dxfId="82" priority="3" operator="lessThan">
      <formula>0</formula>
    </cfRule>
    <cfRule type="cellIs" dxfId="81" priority="4" operator="greaterThan">
      <formula>0</formula>
    </cfRule>
  </conditionalFormatting>
  <conditionalFormatting sqref="T8">
    <cfRule type="cellIs" dxfId="80" priority="1" operator="lessThan">
      <formula>0</formula>
    </cfRule>
    <cfRule type="cellIs" dxfId="79" priority="2" operator="greaterThan">
      <formula>0</formula>
    </cfRule>
  </conditionalFormatting>
  <pageMargins left="0.7" right="0.7" top="0.75" bottom="0.75" header="0.3" footer="0.3"/>
  <pageSetup paperSize="9" orientation="portrait" r:id="rId1"/>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1"/>
  <sheetViews>
    <sheetView zoomScale="80" zoomScaleNormal="80" workbookViewId="0">
      <pane xSplit="3" ySplit="4" topLeftCell="D5" activePane="bottomRight" state="frozen"/>
      <selection pane="topRight" activeCell="D1" sqref="D1"/>
      <selection pane="bottomLeft" activeCell="A5" sqref="A5"/>
      <selection pane="bottomRight" activeCell="Q2" sqref="Q2"/>
    </sheetView>
  </sheetViews>
  <sheetFormatPr defaultColWidth="11.42578125" defaultRowHeight="15" x14ac:dyDescent="0.25"/>
  <cols>
    <col min="1" max="1" width="23" style="4" bestFit="1" customWidth="1"/>
    <col min="2" max="2" width="16" style="4" customWidth="1"/>
    <col min="3" max="3" width="18.28515625" style="4" bestFit="1" customWidth="1"/>
    <col min="4" max="4" width="16.7109375" style="464"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EconomiaT47!S25</f>
        <v>42300</v>
      </c>
      <c r="E2" s="55">
        <f t="shared" ref="E2:S2" si="0">D2+7</f>
        <v>42307</v>
      </c>
      <c r="F2" s="55">
        <f t="shared" si="0"/>
        <v>42314</v>
      </c>
      <c r="G2" s="55">
        <f t="shared" si="0"/>
        <v>42321</v>
      </c>
      <c r="H2" s="55">
        <f t="shared" si="0"/>
        <v>42328</v>
      </c>
      <c r="I2" s="55">
        <f t="shared" si="0"/>
        <v>42335</v>
      </c>
      <c r="J2" s="55">
        <f t="shared" si="0"/>
        <v>42342</v>
      </c>
      <c r="K2" s="55">
        <f t="shared" si="0"/>
        <v>42349</v>
      </c>
      <c r="L2" s="55">
        <f t="shared" si="0"/>
        <v>42356</v>
      </c>
      <c r="M2" s="55">
        <f t="shared" si="0"/>
        <v>42363</v>
      </c>
      <c r="N2" s="55">
        <f t="shared" si="0"/>
        <v>42370</v>
      </c>
      <c r="O2" s="55">
        <f t="shared" si="0"/>
        <v>42377</v>
      </c>
      <c r="P2" s="55">
        <f t="shared" si="0"/>
        <v>42384</v>
      </c>
      <c r="Q2" s="55">
        <f t="shared" si="0"/>
        <v>42391</v>
      </c>
      <c r="R2" s="55">
        <f t="shared" si="0"/>
        <v>42398</v>
      </c>
      <c r="S2" s="55">
        <f t="shared" si="0"/>
        <v>42405</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5" t="s">
        <v>40</v>
      </c>
      <c r="Q3" s="364" t="s">
        <v>41</v>
      </c>
      <c r="R3" s="364" t="s">
        <v>42</v>
      </c>
      <c r="S3" s="364" t="s">
        <v>43</v>
      </c>
    </row>
    <row r="4" spans="1:26" s="59" customFormat="1" x14ac:dyDescent="0.25">
      <c r="A4" s="57"/>
      <c r="B4" s="60"/>
      <c r="C4" s="60" t="s">
        <v>69</v>
      </c>
      <c r="D4" s="61">
        <v>2688</v>
      </c>
      <c r="E4" s="61">
        <f t="shared" ref="E4:S4" si="1">D4+(D11/30)</f>
        <v>2692</v>
      </c>
      <c r="F4" s="61">
        <f t="shared" si="1"/>
        <v>2694</v>
      </c>
      <c r="G4" s="61">
        <f t="shared" si="1"/>
        <v>2697</v>
      </c>
      <c r="H4" s="61">
        <f t="shared" si="1"/>
        <v>2697</v>
      </c>
      <c r="I4" s="61">
        <f t="shared" si="1"/>
        <v>2697</v>
      </c>
      <c r="J4" s="61">
        <v>2691</v>
      </c>
      <c r="K4" s="61">
        <f t="shared" si="1"/>
        <v>2695</v>
      </c>
      <c r="L4" s="61">
        <f t="shared" si="1"/>
        <v>2705</v>
      </c>
      <c r="M4" s="61">
        <f t="shared" si="1"/>
        <v>2707</v>
      </c>
      <c r="N4" s="61">
        <f t="shared" si="1"/>
        <v>2715</v>
      </c>
      <c r="O4" s="61">
        <f t="shared" si="1"/>
        <v>2725</v>
      </c>
      <c r="P4" s="212">
        <f t="shared" si="1"/>
        <v>2735</v>
      </c>
      <c r="Q4" s="61">
        <f t="shared" si="1"/>
        <v>2737</v>
      </c>
      <c r="R4" s="61">
        <f t="shared" si="1"/>
        <v>2737</v>
      </c>
      <c r="S4" s="61">
        <f t="shared" si="1"/>
        <v>2743</v>
      </c>
    </row>
    <row r="5" spans="1:26" s="66" customFormat="1" ht="18.75" x14ac:dyDescent="0.3">
      <c r="A5" s="62" t="s">
        <v>70</v>
      </c>
      <c r="B5" s="62"/>
      <c r="C5" s="63">
        <f>EconomiaT47!C24</f>
        <v>7926204.0147551969</v>
      </c>
      <c r="D5" s="64">
        <f>C5</f>
        <v>7926204.0147551969</v>
      </c>
      <c r="E5" s="64">
        <f t="shared" ref="E5:Q5" si="2">D24</f>
        <v>5761279.0147551969</v>
      </c>
      <c r="F5" s="64">
        <f t="shared" si="2"/>
        <v>5765151.0147551969</v>
      </c>
      <c r="G5" s="64">
        <f t="shared" si="2"/>
        <v>6616153.0147551969</v>
      </c>
      <c r="H5" s="64">
        <f t="shared" si="2"/>
        <v>6564321.0147551969</v>
      </c>
      <c r="I5" s="64">
        <f t="shared" si="2"/>
        <v>6861287.0147551969</v>
      </c>
      <c r="J5" s="64">
        <f t="shared" si="2"/>
        <v>6853828.0147551969</v>
      </c>
      <c r="K5" s="64">
        <f t="shared" si="2"/>
        <v>7152795.0147551969</v>
      </c>
      <c r="L5" s="64">
        <f t="shared" si="2"/>
        <v>7625985.0147551969</v>
      </c>
      <c r="M5" s="64">
        <f t="shared" si="2"/>
        <v>7620691.0147551969</v>
      </c>
      <c r="N5" s="64">
        <f t="shared" si="2"/>
        <v>7610995.0147551969</v>
      </c>
      <c r="O5" s="64">
        <f t="shared" si="2"/>
        <v>8050800.0147551969</v>
      </c>
      <c r="P5" s="65">
        <f t="shared" si="2"/>
        <v>8048243.0147551969</v>
      </c>
      <c r="Q5" s="64">
        <f t="shared" si="2"/>
        <v>8528919.0147551969</v>
      </c>
      <c r="R5" s="64">
        <f>Q24</f>
        <v>8533988.0147551969</v>
      </c>
      <c r="S5" s="64">
        <f>R24</f>
        <v>9044719.0147551969</v>
      </c>
    </row>
    <row r="6" spans="1:26" x14ac:dyDescent="0.25">
      <c r="A6" s="67" t="s">
        <v>71</v>
      </c>
      <c r="B6" s="67" t="s">
        <v>71</v>
      </c>
      <c r="C6" s="68">
        <f t="shared" ref="C6:C23" si="3">SUM(D6:S6)</f>
        <v>3813690</v>
      </c>
      <c r="D6" s="69">
        <v>34356</v>
      </c>
      <c r="E6" s="69">
        <v>109848</v>
      </c>
      <c r="F6" s="69">
        <v>464563</v>
      </c>
      <c r="G6" s="69">
        <v>24254</v>
      </c>
      <c r="H6" s="69">
        <v>367992</v>
      </c>
      <c r="I6" s="69">
        <v>61922</v>
      </c>
      <c r="J6" s="69">
        <v>366748</v>
      </c>
      <c r="K6" s="69">
        <v>539986</v>
      </c>
      <c r="L6" s="69">
        <v>11949</v>
      </c>
      <c r="M6" s="463">
        <v>8310</v>
      </c>
      <c r="N6" s="463">
        <v>461286</v>
      </c>
      <c r="O6" s="463">
        <v>19549</v>
      </c>
      <c r="P6" s="70">
        <f>480679+20603</f>
        <v>501282</v>
      </c>
      <c r="Q6" s="69">
        <v>20795</v>
      </c>
      <c r="R6" s="69">
        <f>19738+513169</f>
        <v>532907</v>
      </c>
      <c r="S6" s="69">
        <v>287943</v>
      </c>
      <c r="Y6" s="67" t="s">
        <v>71</v>
      </c>
      <c r="Z6" s="71">
        <f>C6/$C$13</f>
        <v>0.52848823311357396</v>
      </c>
    </row>
    <row r="7" spans="1:26" x14ac:dyDescent="0.25">
      <c r="A7" s="67" t="s">
        <v>72</v>
      </c>
      <c r="B7" s="67" t="s">
        <v>72</v>
      </c>
      <c r="C7" s="68">
        <f t="shared" si="3"/>
        <v>2830725</v>
      </c>
      <c r="D7" s="72">
        <v>108785</v>
      </c>
      <c r="E7" s="72">
        <v>141530</v>
      </c>
      <c r="F7" s="72">
        <v>162435</v>
      </c>
      <c r="G7" s="72">
        <v>174460</v>
      </c>
      <c r="H7" s="72">
        <v>180380</v>
      </c>
      <c r="I7" s="72">
        <v>183525</v>
      </c>
      <c r="J7" s="72">
        <v>185005</v>
      </c>
      <c r="K7" s="72">
        <v>185930</v>
      </c>
      <c r="L7" s="72">
        <v>186900</v>
      </c>
      <c r="M7" s="457">
        <v>187500</v>
      </c>
      <c r="N7" s="558">
        <v>187965</v>
      </c>
      <c r="O7" s="558">
        <v>188520</v>
      </c>
      <c r="P7" s="70">
        <v>189260</v>
      </c>
      <c r="Q7" s="72">
        <v>189400</v>
      </c>
      <c r="R7" s="72">
        <v>189500</v>
      </c>
      <c r="S7" s="72">
        <v>189630</v>
      </c>
      <c r="Y7" s="67" t="s">
        <v>72</v>
      </c>
      <c r="Z7" s="71">
        <f t="shared" ref="Z7:Z12" si="4">C7/$C$13</f>
        <v>0.39227227532400943</v>
      </c>
    </row>
    <row r="8" spans="1:26" x14ac:dyDescent="0.25">
      <c r="A8" s="67" t="s">
        <v>73</v>
      </c>
      <c r="B8" s="67" t="s">
        <v>74</v>
      </c>
      <c r="C8" s="68">
        <f t="shared" si="3"/>
        <v>0</v>
      </c>
      <c r="D8" s="69">
        <v>0</v>
      </c>
      <c r="E8" s="69">
        <v>0</v>
      </c>
      <c r="F8" s="69">
        <v>0</v>
      </c>
      <c r="G8" s="69"/>
      <c r="H8" s="69">
        <v>0</v>
      </c>
      <c r="I8" s="69">
        <v>0</v>
      </c>
      <c r="J8" s="69">
        <v>0</v>
      </c>
      <c r="K8" s="69">
        <v>0</v>
      </c>
      <c r="L8" s="69"/>
      <c r="M8" s="456">
        <v>0</v>
      </c>
      <c r="N8" s="463">
        <v>0</v>
      </c>
      <c r="O8" s="463">
        <v>0</v>
      </c>
      <c r="P8" s="70">
        <v>0</v>
      </c>
      <c r="Q8" s="69"/>
      <c r="R8" s="69">
        <v>0</v>
      </c>
      <c r="S8" s="69">
        <v>0</v>
      </c>
      <c r="Y8" s="67" t="s">
        <v>74</v>
      </c>
      <c r="Z8" s="71">
        <f t="shared" si="4"/>
        <v>0</v>
      </c>
    </row>
    <row r="9" spans="1:26" x14ac:dyDescent="0.25">
      <c r="A9" s="67"/>
      <c r="B9" s="67" t="s">
        <v>75</v>
      </c>
      <c r="C9" s="68">
        <f t="shared" si="3"/>
        <v>476900</v>
      </c>
      <c r="D9" s="69">
        <v>0</v>
      </c>
      <c r="E9" s="69">
        <v>0</v>
      </c>
      <c r="F9" s="69">
        <v>475000</v>
      </c>
      <c r="G9" s="69"/>
      <c r="H9" s="69">
        <v>950</v>
      </c>
      <c r="I9" s="69">
        <v>0</v>
      </c>
      <c r="J9" s="69">
        <v>0</v>
      </c>
      <c r="K9" s="69">
        <v>0</v>
      </c>
      <c r="L9" s="69"/>
      <c r="M9" s="456">
        <v>0</v>
      </c>
      <c r="N9" s="463">
        <v>0</v>
      </c>
      <c r="O9" s="463">
        <v>0</v>
      </c>
      <c r="P9" s="70">
        <v>0</v>
      </c>
      <c r="Q9" s="69"/>
      <c r="R9" s="69">
        <v>950</v>
      </c>
      <c r="S9" s="69">
        <v>0</v>
      </c>
      <c r="Y9" s="67" t="s">
        <v>75</v>
      </c>
      <c r="Z9" s="71">
        <f t="shared" si="4"/>
        <v>6.6087185474399707E-2</v>
      </c>
    </row>
    <row r="10" spans="1:26" x14ac:dyDescent="0.25">
      <c r="A10" s="67" t="s">
        <v>76</v>
      </c>
      <c r="B10" s="67" t="s">
        <v>76</v>
      </c>
      <c r="C10" s="68">
        <f t="shared" si="3"/>
        <v>10640</v>
      </c>
      <c r="D10" s="72">
        <v>0</v>
      </c>
      <c r="E10" s="72">
        <v>520</v>
      </c>
      <c r="F10" s="72">
        <v>0</v>
      </c>
      <c r="G10" s="72"/>
      <c r="H10" s="72">
        <v>0</v>
      </c>
      <c r="I10" s="72">
        <v>0</v>
      </c>
      <c r="J10" s="72">
        <v>0</v>
      </c>
      <c r="K10" s="72">
        <v>0</v>
      </c>
      <c r="L10" s="72"/>
      <c r="M10" s="457">
        <v>0</v>
      </c>
      <c r="N10" s="558">
        <v>0</v>
      </c>
      <c r="O10" s="558">
        <v>0</v>
      </c>
      <c r="P10" s="70">
        <v>0</v>
      </c>
      <c r="Q10" s="72">
        <v>10000</v>
      </c>
      <c r="R10" s="72">
        <v>120</v>
      </c>
      <c r="S10" s="72">
        <v>0</v>
      </c>
      <c r="Y10" s="67" t="s">
        <v>76</v>
      </c>
      <c r="Z10" s="71">
        <f t="shared" si="4"/>
        <v>1.4744551340901927E-3</v>
      </c>
    </row>
    <row r="11" spans="1:26" x14ac:dyDescent="0.25">
      <c r="A11" s="715" t="s">
        <v>77</v>
      </c>
      <c r="B11" s="67" t="s">
        <v>78</v>
      </c>
      <c r="C11" s="68">
        <f t="shared" si="3"/>
        <v>84270</v>
      </c>
      <c r="D11" s="72">
        <v>120</v>
      </c>
      <c r="E11" s="72">
        <v>60</v>
      </c>
      <c r="F11" s="72">
        <v>90</v>
      </c>
      <c r="G11" s="72">
        <v>0</v>
      </c>
      <c r="H11" s="72">
        <v>0</v>
      </c>
      <c r="I11" s="72">
        <v>0</v>
      </c>
      <c r="J11" s="72">
        <v>120</v>
      </c>
      <c r="K11" s="72">
        <v>300</v>
      </c>
      <c r="L11" s="72">
        <v>60</v>
      </c>
      <c r="M11" s="558">
        <v>240</v>
      </c>
      <c r="N11" s="558">
        <v>300</v>
      </c>
      <c r="O11" s="558">
        <v>300</v>
      </c>
      <c r="P11" s="70">
        <v>60</v>
      </c>
      <c r="Q11" s="72">
        <v>0</v>
      </c>
      <c r="R11" s="72">
        <v>180</v>
      </c>
      <c r="S11" s="72">
        <v>82440</v>
      </c>
      <c r="Y11" s="67" t="s">
        <v>78</v>
      </c>
      <c r="Z11" s="71">
        <f t="shared" si="4"/>
        <v>1.1677850953926741E-2</v>
      </c>
    </row>
    <row r="12" spans="1:26" x14ac:dyDescent="0.25">
      <c r="A12" s="716"/>
      <c r="B12" s="67" t="s">
        <v>79</v>
      </c>
      <c r="C12" s="68">
        <f t="shared" si="3"/>
        <v>0</v>
      </c>
      <c r="D12" s="72">
        <v>0</v>
      </c>
      <c r="E12" s="72">
        <v>0</v>
      </c>
      <c r="F12" s="72">
        <v>0</v>
      </c>
      <c r="G12" s="72"/>
      <c r="H12" s="72">
        <v>0</v>
      </c>
      <c r="I12" s="72">
        <v>0</v>
      </c>
      <c r="J12" s="72">
        <v>0</v>
      </c>
      <c r="K12" s="72">
        <v>0</v>
      </c>
      <c r="L12" s="72"/>
      <c r="M12" s="457">
        <v>0</v>
      </c>
      <c r="N12" s="558">
        <v>0</v>
      </c>
      <c r="O12" s="558">
        <v>0</v>
      </c>
      <c r="P12" s="70">
        <v>0</v>
      </c>
      <c r="Q12" s="72"/>
      <c r="R12" s="72">
        <v>0</v>
      </c>
      <c r="S12" s="72">
        <v>0</v>
      </c>
      <c r="Y12" s="67" t="s">
        <v>79</v>
      </c>
      <c r="Z12" s="71">
        <f t="shared" si="4"/>
        <v>0</v>
      </c>
    </row>
    <row r="13" spans="1:26" s="78" customFormat="1" ht="18.75" x14ac:dyDescent="0.3">
      <c r="A13" s="73" t="s">
        <v>80</v>
      </c>
      <c r="B13" s="74"/>
      <c r="C13" s="75">
        <f t="shared" si="3"/>
        <v>7216225</v>
      </c>
      <c r="D13" s="76">
        <f t="shared" ref="D13:H13" si="5">SUM(D6:D12)</f>
        <v>143261</v>
      </c>
      <c r="E13" s="76">
        <f t="shared" si="5"/>
        <v>251958</v>
      </c>
      <c r="F13" s="76">
        <f>F12+F11+F10+F9+F8+F7+F6</f>
        <v>1102088</v>
      </c>
      <c r="G13" s="76">
        <f t="shared" si="5"/>
        <v>198714</v>
      </c>
      <c r="H13" s="76">
        <f t="shared" si="5"/>
        <v>549322</v>
      </c>
      <c r="I13" s="76">
        <f t="shared" ref="I13:S13" si="6">SUM(I6:I12)</f>
        <v>245447</v>
      </c>
      <c r="J13" s="76">
        <f t="shared" si="6"/>
        <v>551873</v>
      </c>
      <c r="K13" s="76">
        <f t="shared" si="6"/>
        <v>726216</v>
      </c>
      <c r="L13" s="76">
        <f t="shared" si="6"/>
        <v>198909</v>
      </c>
      <c r="M13" s="76">
        <f t="shared" si="6"/>
        <v>196050</v>
      </c>
      <c r="N13" s="76">
        <f t="shared" si="6"/>
        <v>649551</v>
      </c>
      <c r="O13" s="76">
        <f t="shared" si="6"/>
        <v>208369</v>
      </c>
      <c r="P13" s="77">
        <f t="shared" si="6"/>
        <v>690602</v>
      </c>
      <c r="Q13" s="76">
        <f t="shared" si="6"/>
        <v>220195</v>
      </c>
      <c r="R13" s="76">
        <f t="shared" si="6"/>
        <v>723657</v>
      </c>
      <c r="S13" s="76">
        <f t="shared" si="6"/>
        <v>560013</v>
      </c>
      <c r="Z13" s="79">
        <f>SUM(Z6:Z12)</f>
        <v>1</v>
      </c>
    </row>
    <row r="14" spans="1:26" ht="18.75" x14ac:dyDescent="0.3">
      <c r="A14" s="80" t="s">
        <v>81</v>
      </c>
      <c r="B14" s="81" t="str">
        <f>A14</f>
        <v>Sueldos</v>
      </c>
      <c r="C14" s="82">
        <f t="shared" si="3"/>
        <v>1266317</v>
      </c>
      <c r="D14" s="83">
        <v>72610</v>
      </c>
      <c r="E14" s="83">
        <v>72310</v>
      </c>
      <c r="F14" s="83">
        <f t="shared" ref="F14:R14" si="7">E14</f>
        <v>72310</v>
      </c>
      <c r="G14" s="83">
        <v>73770</v>
      </c>
      <c r="H14" s="83">
        <v>76580</v>
      </c>
      <c r="I14" s="83">
        <v>77130</v>
      </c>
      <c r="J14" s="83">
        <f t="shared" si="7"/>
        <v>77130</v>
      </c>
      <c r="K14" s="83">
        <v>77250</v>
      </c>
      <c r="L14" s="83">
        <f>79500+1647</f>
        <v>81147</v>
      </c>
      <c r="M14" s="459">
        <v>82690</v>
      </c>
      <c r="N14" s="462">
        <v>82690</v>
      </c>
      <c r="O14" s="462">
        <v>83870</v>
      </c>
      <c r="P14" s="70">
        <f t="shared" si="7"/>
        <v>83870</v>
      </c>
      <c r="Q14" s="83">
        <f t="shared" si="7"/>
        <v>83870</v>
      </c>
      <c r="R14" s="83">
        <f t="shared" si="7"/>
        <v>83870</v>
      </c>
      <c r="S14" s="83">
        <v>85220</v>
      </c>
      <c r="Y14" s="717">
        <f>C13</f>
        <v>7216225</v>
      </c>
      <c r="Z14" s="718"/>
    </row>
    <row r="15" spans="1:26" x14ac:dyDescent="0.25">
      <c r="A15" s="80" t="s">
        <v>82</v>
      </c>
      <c r="B15" s="81" t="str">
        <f>A15</f>
        <v xml:space="preserve">Mantenimiento </v>
      </c>
      <c r="C15" s="82">
        <f t="shared" si="3"/>
        <v>572416</v>
      </c>
      <c r="D15" s="83">
        <v>35776</v>
      </c>
      <c r="E15" s="83">
        <f>D15</f>
        <v>35776</v>
      </c>
      <c r="F15" s="83">
        <f t="shared" ref="F15:S15" si="8">E15</f>
        <v>35776</v>
      </c>
      <c r="G15" s="83">
        <f t="shared" si="8"/>
        <v>35776</v>
      </c>
      <c r="H15" s="83">
        <f t="shared" si="8"/>
        <v>35776</v>
      </c>
      <c r="I15" s="83">
        <f t="shared" si="8"/>
        <v>35776</v>
      </c>
      <c r="J15" s="83">
        <f t="shared" si="8"/>
        <v>35776</v>
      </c>
      <c r="K15" s="83">
        <f t="shared" si="8"/>
        <v>35776</v>
      </c>
      <c r="L15" s="83">
        <f t="shared" si="8"/>
        <v>35776</v>
      </c>
      <c r="M15" s="462">
        <f t="shared" si="8"/>
        <v>35776</v>
      </c>
      <c r="N15" s="462">
        <f t="shared" si="8"/>
        <v>35776</v>
      </c>
      <c r="O15" s="462">
        <f t="shared" si="8"/>
        <v>35776</v>
      </c>
      <c r="P15" s="70">
        <f t="shared" si="8"/>
        <v>35776</v>
      </c>
      <c r="Q15" s="83">
        <f t="shared" si="8"/>
        <v>35776</v>
      </c>
      <c r="R15" s="83">
        <f t="shared" si="8"/>
        <v>35776</v>
      </c>
      <c r="S15" s="83">
        <f t="shared" si="8"/>
        <v>35776</v>
      </c>
    </row>
    <row r="16" spans="1:26" ht="20.25" customHeight="1" x14ac:dyDescent="0.25">
      <c r="A16" s="80" t="s">
        <v>83</v>
      </c>
      <c r="B16" s="81" t="s">
        <v>84</v>
      </c>
      <c r="C16" s="82">
        <f t="shared" si="3"/>
        <v>0</v>
      </c>
      <c r="D16" s="83">
        <v>0</v>
      </c>
      <c r="E16" s="83">
        <f t="shared" ref="E16:S22" si="9">D16</f>
        <v>0</v>
      </c>
      <c r="F16" s="83">
        <f t="shared" si="9"/>
        <v>0</v>
      </c>
      <c r="G16" s="83">
        <f t="shared" si="9"/>
        <v>0</v>
      </c>
      <c r="H16" s="83">
        <f t="shared" si="9"/>
        <v>0</v>
      </c>
      <c r="I16" s="83">
        <f t="shared" si="9"/>
        <v>0</v>
      </c>
      <c r="J16" s="83">
        <f t="shared" si="9"/>
        <v>0</v>
      </c>
      <c r="K16" s="83">
        <f t="shared" si="9"/>
        <v>0</v>
      </c>
      <c r="L16" s="83">
        <f t="shared" si="9"/>
        <v>0</v>
      </c>
      <c r="M16" s="462">
        <f t="shared" si="9"/>
        <v>0</v>
      </c>
      <c r="N16" s="462">
        <f t="shared" si="9"/>
        <v>0</v>
      </c>
      <c r="O16" s="462">
        <f t="shared" si="9"/>
        <v>0</v>
      </c>
      <c r="P16" s="70">
        <f t="shared" si="9"/>
        <v>0</v>
      </c>
      <c r="Q16" s="83">
        <f t="shared" si="9"/>
        <v>0</v>
      </c>
      <c r="R16" s="83">
        <f t="shared" si="9"/>
        <v>0</v>
      </c>
      <c r="S16" s="83">
        <f t="shared" si="9"/>
        <v>0</v>
      </c>
    </row>
    <row r="17" spans="1:26" x14ac:dyDescent="0.25">
      <c r="A17" s="80" t="s">
        <v>85</v>
      </c>
      <c r="B17" s="81" t="str">
        <f>A17</f>
        <v>Empleados</v>
      </c>
      <c r="C17" s="82">
        <f t="shared" si="3"/>
        <v>1482240</v>
      </c>
      <c r="D17" s="83">
        <v>120000</v>
      </c>
      <c r="E17" s="83">
        <f t="shared" si="9"/>
        <v>120000</v>
      </c>
      <c r="F17" s="83">
        <f t="shared" si="9"/>
        <v>120000</v>
      </c>
      <c r="G17" s="83">
        <f t="shared" si="9"/>
        <v>120000</v>
      </c>
      <c r="H17" s="83">
        <f t="shared" si="9"/>
        <v>120000</v>
      </c>
      <c r="I17" s="83">
        <f t="shared" si="9"/>
        <v>120000</v>
      </c>
      <c r="J17" s="83">
        <f t="shared" si="9"/>
        <v>120000</v>
      </c>
      <c r="K17" s="83">
        <f t="shared" si="9"/>
        <v>120000</v>
      </c>
      <c r="L17" s="83">
        <f>24000*4*0.68</f>
        <v>65280.000000000007</v>
      </c>
      <c r="M17" s="462">
        <f t="shared" si="9"/>
        <v>65280.000000000007</v>
      </c>
      <c r="N17" s="462">
        <f t="shared" si="9"/>
        <v>65280.000000000007</v>
      </c>
      <c r="O17" s="462">
        <f t="shared" si="9"/>
        <v>65280.000000000007</v>
      </c>
      <c r="P17" s="70">
        <f t="shared" si="9"/>
        <v>65280.000000000007</v>
      </c>
      <c r="Q17" s="83">
        <f t="shared" si="9"/>
        <v>65280.000000000007</v>
      </c>
      <c r="R17" s="83">
        <f t="shared" si="9"/>
        <v>65280.000000000007</v>
      </c>
      <c r="S17" s="83">
        <f t="shared" si="9"/>
        <v>65280.000000000007</v>
      </c>
    </row>
    <row r="18" spans="1:26" x14ac:dyDescent="0.25">
      <c r="A18" s="80" t="s">
        <v>86</v>
      </c>
      <c r="B18" s="81" t="str">
        <f>A18</f>
        <v>Juveniles</v>
      </c>
      <c r="C18" s="82">
        <f t="shared" si="3"/>
        <v>320000</v>
      </c>
      <c r="D18" s="83">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462">
        <f t="shared" si="9"/>
        <v>20000</v>
      </c>
      <c r="N18" s="462">
        <f t="shared" si="9"/>
        <v>20000</v>
      </c>
      <c r="O18" s="462">
        <f t="shared" si="9"/>
        <v>20000</v>
      </c>
      <c r="P18" s="70">
        <f t="shared" si="9"/>
        <v>20000</v>
      </c>
      <c r="Q18" s="83">
        <f t="shared" si="9"/>
        <v>20000</v>
      </c>
      <c r="R18" s="83">
        <f t="shared" si="9"/>
        <v>20000</v>
      </c>
      <c r="S18" s="83">
        <f t="shared" si="9"/>
        <v>20000</v>
      </c>
    </row>
    <row r="19" spans="1:26" x14ac:dyDescent="0.25">
      <c r="A19" s="80" t="s">
        <v>87</v>
      </c>
      <c r="B19" s="81" t="s">
        <v>88</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459">
        <f t="shared" si="9"/>
        <v>0</v>
      </c>
      <c r="N19" s="462">
        <f t="shared" si="9"/>
        <v>0</v>
      </c>
      <c r="O19" s="462">
        <f t="shared" si="9"/>
        <v>0</v>
      </c>
      <c r="P19" s="70">
        <f t="shared" si="9"/>
        <v>0</v>
      </c>
      <c r="Q19" s="83">
        <f t="shared" si="9"/>
        <v>0</v>
      </c>
      <c r="R19" s="83">
        <f t="shared" si="9"/>
        <v>0</v>
      </c>
      <c r="S19" s="83">
        <f t="shared" si="9"/>
        <v>0</v>
      </c>
    </row>
    <row r="20" spans="1:26" x14ac:dyDescent="0.25">
      <c r="A20" s="84" t="s">
        <v>77</v>
      </c>
      <c r="B20" s="81" t="s">
        <v>67</v>
      </c>
      <c r="C20" s="82">
        <f t="shared" si="3"/>
        <v>2059800</v>
      </c>
      <c r="D20" s="83">
        <v>2059800</v>
      </c>
      <c r="E20" s="83">
        <v>0</v>
      </c>
      <c r="F20" s="83">
        <f t="shared" si="9"/>
        <v>0</v>
      </c>
      <c r="G20" s="83">
        <f t="shared" si="9"/>
        <v>0</v>
      </c>
      <c r="H20" s="83">
        <f t="shared" si="9"/>
        <v>0</v>
      </c>
      <c r="I20" s="83">
        <f t="shared" si="9"/>
        <v>0</v>
      </c>
      <c r="J20" s="83">
        <f t="shared" si="9"/>
        <v>0</v>
      </c>
      <c r="K20" s="83">
        <f t="shared" si="9"/>
        <v>0</v>
      </c>
      <c r="L20" s="83">
        <f t="shared" si="9"/>
        <v>0</v>
      </c>
      <c r="M20" s="459">
        <f t="shared" si="9"/>
        <v>0</v>
      </c>
      <c r="N20" s="462">
        <f t="shared" si="9"/>
        <v>0</v>
      </c>
      <c r="O20" s="462">
        <f t="shared" si="9"/>
        <v>0</v>
      </c>
      <c r="P20" s="70">
        <f t="shared" si="9"/>
        <v>0</v>
      </c>
      <c r="Q20" s="83">
        <f t="shared" si="9"/>
        <v>0</v>
      </c>
      <c r="R20" s="83">
        <f t="shared" si="9"/>
        <v>0</v>
      </c>
      <c r="S20" s="83">
        <f t="shared" si="9"/>
        <v>0</v>
      </c>
    </row>
    <row r="21" spans="1:26" x14ac:dyDescent="0.25">
      <c r="A21" s="84"/>
      <c r="B21" s="81" t="s">
        <v>89</v>
      </c>
      <c r="C21" s="82">
        <f t="shared" si="3"/>
        <v>55200</v>
      </c>
      <c r="D21" s="83">
        <v>0</v>
      </c>
      <c r="E21" s="83">
        <f t="shared" si="9"/>
        <v>0</v>
      </c>
      <c r="F21" s="83">
        <v>3000</v>
      </c>
      <c r="G21" s="83">
        <v>1000</v>
      </c>
      <c r="H21" s="83">
        <v>0</v>
      </c>
      <c r="I21" s="83">
        <f t="shared" si="9"/>
        <v>0</v>
      </c>
      <c r="J21" s="83">
        <f t="shared" si="9"/>
        <v>0</v>
      </c>
      <c r="K21" s="83">
        <f t="shared" si="9"/>
        <v>0</v>
      </c>
      <c r="L21" s="83">
        <v>2000</v>
      </c>
      <c r="M21" s="459">
        <f t="shared" si="9"/>
        <v>2000</v>
      </c>
      <c r="N21" s="462">
        <v>6000</v>
      </c>
      <c r="O21" s="462">
        <v>6000</v>
      </c>
      <c r="P21" s="70">
        <v>5000</v>
      </c>
      <c r="Q21" s="83">
        <f>6000+4200</f>
        <v>10200</v>
      </c>
      <c r="R21" s="83">
        <v>8000</v>
      </c>
      <c r="S21" s="83">
        <v>12000</v>
      </c>
    </row>
    <row r="22" spans="1:26" x14ac:dyDescent="0.25">
      <c r="A22" s="80" t="s">
        <v>90</v>
      </c>
      <c r="B22" s="81" t="str">
        <f>A22</f>
        <v>Intereses</v>
      </c>
      <c r="C22" s="82">
        <f t="shared" si="3"/>
        <v>0</v>
      </c>
      <c r="D22" s="83">
        <v>0</v>
      </c>
      <c r="E22" s="83">
        <f t="shared" si="9"/>
        <v>0</v>
      </c>
      <c r="F22" s="83">
        <f t="shared" si="9"/>
        <v>0</v>
      </c>
      <c r="G22" s="83">
        <f t="shared" si="9"/>
        <v>0</v>
      </c>
      <c r="H22" s="83">
        <f t="shared" si="9"/>
        <v>0</v>
      </c>
      <c r="I22" s="83">
        <f t="shared" si="9"/>
        <v>0</v>
      </c>
      <c r="J22" s="83">
        <f t="shared" si="9"/>
        <v>0</v>
      </c>
      <c r="K22" s="83">
        <f t="shared" si="9"/>
        <v>0</v>
      </c>
      <c r="L22" s="83">
        <f t="shared" si="9"/>
        <v>0</v>
      </c>
      <c r="M22" s="459">
        <f t="shared" si="9"/>
        <v>0</v>
      </c>
      <c r="N22" s="462">
        <f t="shared" si="9"/>
        <v>0</v>
      </c>
      <c r="O22" s="462">
        <f t="shared" si="9"/>
        <v>0</v>
      </c>
      <c r="P22" s="70">
        <f t="shared" si="9"/>
        <v>0</v>
      </c>
      <c r="Q22" s="83">
        <f t="shared" si="9"/>
        <v>0</v>
      </c>
      <c r="R22" s="83">
        <f t="shared" si="9"/>
        <v>0</v>
      </c>
      <c r="S22" s="83">
        <f t="shared" si="9"/>
        <v>0</v>
      </c>
    </row>
    <row r="23" spans="1:26" s="90" customFormat="1" ht="18.75" x14ac:dyDescent="0.3">
      <c r="A23" s="85" t="s">
        <v>91</v>
      </c>
      <c r="B23" s="86"/>
      <c r="C23" s="87">
        <f t="shared" si="3"/>
        <v>5755973</v>
      </c>
      <c r="D23" s="88">
        <f t="shared" ref="D23:S23" si="10">SUM(D14:D22)</f>
        <v>2308186</v>
      </c>
      <c r="E23" s="88">
        <f t="shared" si="10"/>
        <v>248086</v>
      </c>
      <c r="F23" s="88">
        <f t="shared" si="10"/>
        <v>251086</v>
      </c>
      <c r="G23" s="88">
        <f t="shared" si="10"/>
        <v>250546</v>
      </c>
      <c r="H23" s="88">
        <f t="shared" si="10"/>
        <v>252356</v>
      </c>
      <c r="I23" s="88">
        <f t="shared" si="10"/>
        <v>252906</v>
      </c>
      <c r="J23" s="88">
        <f t="shared" si="10"/>
        <v>252906</v>
      </c>
      <c r="K23" s="88">
        <f t="shared" si="10"/>
        <v>253026</v>
      </c>
      <c r="L23" s="88">
        <f t="shared" si="10"/>
        <v>204203</v>
      </c>
      <c r="M23" s="88">
        <f t="shared" si="10"/>
        <v>205746</v>
      </c>
      <c r="N23" s="88">
        <f t="shared" si="10"/>
        <v>209746</v>
      </c>
      <c r="O23" s="88">
        <f t="shared" si="10"/>
        <v>210926</v>
      </c>
      <c r="P23" s="89">
        <f t="shared" si="10"/>
        <v>209926</v>
      </c>
      <c r="Q23" s="88">
        <f t="shared" si="10"/>
        <v>215126</v>
      </c>
      <c r="R23" s="88">
        <f t="shared" si="10"/>
        <v>212926</v>
      </c>
      <c r="S23" s="88">
        <f t="shared" si="10"/>
        <v>218276</v>
      </c>
      <c r="Y23" s="81" t="s">
        <v>81</v>
      </c>
      <c r="Z23" s="91">
        <f>C14/$C$23</f>
        <v>0.22000051077376492</v>
      </c>
    </row>
    <row r="24" spans="1:26" s="66" customFormat="1" ht="18.75" x14ac:dyDescent="0.3">
      <c r="A24" s="92" t="s">
        <v>92</v>
      </c>
      <c r="B24" s="92"/>
      <c r="C24" s="64">
        <f>C5+C13-C23</f>
        <v>9386456.0147551969</v>
      </c>
      <c r="D24" s="64">
        <f t="shared" ref="D24:S24" si="11">D5+D13-D23</f>
        <v>5761279.0147551969</v>
      </c>
      <c r="E24" s="64">
        <f t="shared" si="11"/>
        <v>5765151.0147551969</v>
      </c>
      <c r="F24" s="64">
        <f t="shared" si="11"/>
        <v>6616153.0147551969</v>
      </c>
      <c r="G24" s="64">
        <f t="shared" si="11"/>
        <v>6564321.0147551969</v>
      </c>
      <c r="H24" s="64">
        <f t="shared" si="11"/>
        <v>6861287.0147551969</v>
      </c>
      <c r="I24" s="64">
        <f t="shared" si="11"/>
        <v>6853828.0147551969</v>
      </c>
      <c r="J24" s="64">
        <f t="shared" si="11"/>
        <v>7152795.0147551969</v>
      </c>
      <c r="K24" s="64">
        <f t="shared" si="11"/>
        <v>7625985.0147551969</v>
      </c>
      <c r="L24" s="64">
        <f t="shared" si="11"/>
        <v>7620691.0147551969</v>
      </c>
      <c r="M24" s="64">
        <f t="shared" si="11"/>
        <v>7610995.0147551969</v>
      </c>
      <c r="N24" s="64">
        <f t="shared" si="11"/>
        <v>8050800.0147551969</v>
      </c>
      <c r="O24" s="64">
        <f t="shared" si="11"/>
        <v>8048243.0147551969</v>
      </c>
      <c r="P24" s="65">
        <f t="shared" si="11"/>
        <v>8528919.0147551969</v>
      </c>
      <c r="Q24" s="64">
        <f t="shared" si="11"/>
        <v>8533988.0147551969</v>
      </c>
      <c r="R24" s="64">
        <f t="shared" si="11"/>
        <v>9044719.0147551969</v>
      </c>
      <c r="S24" s="64">
        <f t="shared" si="11"/>
        <v>9386456.0147551969</v>
      </c>
      <c r="Y24" s="81" t="s">
        <v>82</v>
      </c>
      <c r="Z24" s="91">
        <f t="shared" ref="Z24:Z31" si="12">C15/$C$23</f>
        <v>9.9447304565188202E-2</v>
      </c>
    </row>
    <row r="25" spans="1:26" s="53" customFormat="1" x14ac:dyDescent="0.25">
      <c r="A25" s="93"/>
      <c r="B25" s="93"/>
      <c r="C25" s="93"/>
      <c r="D25" s="94">
        <f>D2+7</f>
        <v>42307</v>
      </c>
      <c r="E25" s="94">
        <f t="shared" ref="E25:S25" si="13">D25+7</f>
        <v>42314</v>
      </c>
      <c r="F25" s="94">
        <f t="shared" si="13"/>
        <v>42321</v>
      </c>
      <c r="G25" s="94">
        <f t="shared" si="13"/>
        <v>42328</v>
      </c>
      <c r="H25" s="94">
        <f t="shared" si="13"/>
        <v>42335</v>
      </c>
      <c r="I25" s="94">
        <f t="shared" si="13"/>
        <v>42342</v>
      </c>
      <c r="J25" s="94">
        <f t="shared" si="13"/>
        <v>42349</v>
      </c>
      <c r="K25" s="94">
        <f t="shared" si="13"/>
        <v>42356</v>
      </c>
      <c r="L25" s="94">
        <f t="shared" si="13"/>
        <v>42363</v>
      </c>
      <c r="M25" s="94">
        <f t="shared" si="13"/>
        <v>42370</v>
      </c>
      <c r="N25" s="94">
        <f t="shared" si="13"/>
        <v>42377</v>
      </c>
      <c r="O25" s="94">
        <f t="shared" si="13"/>
        <v>42384</v>
      </c>
      <c r="P25" s="94">
        <f t="shared" si="13"/>
        <v>42391</v>
      </c>
      <c r="Q25" s="94">
        <f t="shared" si="13"/>
        <v>42398</v>
      </c>
      <c r="R25" s="94">
        <f t="shared" si="13"/>
        <v>42405</v>
      </c>
      <c r="S25" s="94">
        <f t="shared" si="13"/>
        <v>42412</v>
      </c>
      <c r="Y25" s="81" t="s">
        <v>84</v>
      </c>
      <c r="Z25" s="91">
        <f t="shared" si="12"/>
        <v>0</v>
      </c>
    </row>
    <row r="26" spans="1:26" s="53" customFormat="1" x14ac:dyDescent="0.25">
      <c r="A26" s="719" t="s">
        <v>93</v>
      </c>
      <c r="B26" s="719"/>
      <c r="C26" s="96">
        <f>C6+C7+C11</f>
        <v>6728685</v>
      </c>
      <c r="D26" s="96">
        <f t="shared" ref="D26:S26" si="14">D6+D7+D11</f>
        <v>143261</v>
      </c>
      <c r="E26" s="96">
        <f t="shared" si="14"/>
        <v>251438</v>
      </c>
      <c r="F26" s="96">
        <f t="shared" si="14"/>
        <v>627088</v>
      </c>
      <c r="G26" s="96">
        <f t="shared" si="14"/>
        <v>198714</v>
      </c>
      <c r="H26" s="96">
        <f t="shared" si="14"/>
        <v>548372</v>
      </c>
      <c r="I26" s="96">
        <f t="shared" si="14"/>
        <v>245447</v>
      </c>
      <c r="J26" s="96">
        <f t="shared" si="14"/>
        <v>551873</v>
      </c>
      <c r="K26" s="96">
        <f t="shared" si="14"/>
        <v>726216</v>
      </c>
      <c r="L26" s="96">
        <f t="shared" si="14"/>
        <v>198909</v>
      </c>
      <c r="M26" s="96">
        <f t="shared" si="14"/>
        <v>196050</v>
      </c>
      <c r="N26" s="96">
        <f t="shared" si="14"/>
        <v>649551</v>
      </c>
      <c r="O26" s="96">
        <f t="shared" si="14"/>
        <v>208369</v>
      </c>
      <c r="P26" s="96">
        <f t="shared" si="14"/>
        <v>690602</v>
      </c>
      <c r="Q26" s="96">
        <f t="shared" si="14"/>
        <v>210195</v>
      </c>
      <c r="R26" s="96">
        <f>R6+R7+R11</f>
        <v>722587</v>
      </c>
      <c r="S26" s="96">
        <f t="shared" si="14"/>
        <v>560013</v>
      </c>
      <c r="T26" s="97"/>
      <c r="Y26" s="81" t="s">
        <v>85</v>
      </c>
      <c r="Z26" s="91">
        <f t="shared" si="12"/>
        <v>0.25751336915583167</v>
      </c>
    </row>
    <row r="27" spans="1:26" s="53" customFormat="1" x14ac:dyDescent="0.25">
      <c r="A27" s="710" t="s">
        <v>94</v>
      </c>
      <c r="B27" s="710"/>
      <c r="C27" s="98">
        <f>C14+C15+C17+C18+C21</f>
        <v>3696173</v>
      </c>
      <c r="D27" s="98">
        <f t="shared" ref="D27:S27" si="15">D14+D15+D17+D18+D21</f>
        <v>248386</v>
      </c>
      <c r="E27" s="98">
        <f t="shared" si="15"/>
        <v>248086</v>
      </c>
      <c r="F27" s="98">
        <f t="shared" si="15"/>
        <v>251086</v>
      </c>
      <c r="G27" s="98">
        <f t="shared" si="15"/>
        <v>250546</v>
      </c>
      <c r="H27" s="98">
        <f t="shared" si="15"/>
        <v>252356</v>
      </c>
      <c r="I27" s="98">
        <f t="shared" si="15"/>
        <v>252906</v>
      </c>
      <c r="J27" s="98">
        <f t="shared" si="15"/>
        <v>252906</v>
      </c>
      <c r="K27" s="98">
        <f t="shared" si="15"/>
        <v>253026</v>
      </c>
      <c r="L27" s="98">
        <f t="shared" si="15"/>
        <v>204203</v>
      </c>
      <c r="M27" s="98">
        <f t="shared" si="15"/>
        <v>205746</v>
      </c>
      <c r="N27" s="98">
        <f t="shared" si="15"/>
        <v>209746</v>
      </c>
      <c r="O27" s="98">
        <f t="shared" si="15"/>
        <v>210926</v>
      </c>
      <c r="P27" s="98">
        <f t="shared" si="15"/>
        <v>209926</v>
      </c>
      <c r="Q27" s="98">
        <f t="shared" si="15"/>
        <v>215126</v>
      </c>
      <c r="R27" s="98">
        <f>R14+R15+R17+R18+R21</f>
        <v>212926</v>
      </c>
      <c r="S27" s="98">
        <f t="shared" si="15"/>
        <v>218276</v>
      </c>
      <c r="T27" s="99"/>
      <c r="Y27" s="81" t="s">
        <v>86</v>
      </c>
      <c r="Z27" s="91">
        <f t="shared" si="12"/>
        <v>5.5594423392882487E-2</v>
      </c>
    </row>
    <row r="28" spans="1:26" x14ac:dyDescent="0.25">
      <c r="A28" s="711" t="s">
        <v>95</v>
      </c>
      <c r="B28" s="711"/>
      <c r="C28" s="100">
        <f>C26-C27</f>
        <v>3032512</v>
      </c>
      <c r="D28" s="100">
        <f t="shared" ref="D28:S28" si="16">D26-D27</f>
        <v>-105125</v>
      </c>
      <c r="E28" s="100">
        <f t="shared" si="16"/>
        <v>3352</v>
      </c>
      <c r="F28" s="100">
        <f t="shared" si="16"/>
        <v>376002</v>
      </c>
      <c r="G28" s="100">
        <f t="shared" si="16"/>
        <v>-51832</v>
      </c>
      <c r="H28" s="100">
        <f t="shared" si="16"/>
        <v>296016</v>
      </c>
      <c r="I28" s="100">
        <f t="shared" si="16"/>
        <v>-7459</v>
      </c>
      <c r="J28" s="100">
        <f t="shared" si="16"/>
        <v>298967</v>
      </c>
      <c r="K28" s="100">
        <f t="shared" si="16"/>
        <v>473190</v>
      </c>
      <c r="L28" s="100">
        <f t="shared" si="16"/>
        <v>-5294</v>
      </c>
      <c r="M28" s="100">
        <f t="shared" si="16"/>
        <v>-9696</v>
      </c>
      <c r="N28" s="100">
        <f t="shared" si="16"/>
        <v>439805</v>
      </c>
      <c r="O28" s="100">
        <f t="shared" si="16"/>
        <v>-2557</v>
      </c>
      <c r="P28" s="100">
        <f t="shared" si="16"/>
        <v>480676</v>
      </c>
      <c r="Q28" s="100">
        <f t="shared" si="16"/>
        <v>-4931</v>
      </c>
      <c r="R28" s="100">
        <f>R26-R27</f>
        <v>509661</v>
      </c>
      <c r="S28" s="100">
        <f t="shared" si="16"/>
        <v>341737</v>
      </c>
      <c r="T28" s="101"/>
      <c r="Y28" s="81" t="s">
        <v>88</v>
      </c>
      <c r="Z28" s="91">
        <f t="shared" si="12"/>
        <v>0</v>
      </c>
    </row>
    <row r="29" spans="1:26" x14ac:dyDescent="0.25">
      <c r="A29" s="719" t="s">
        <v>96</v>
      </c>
      <c r="B29" s="719"/>
      <c r="C29" s="96">
        <f>C8+C9+C10+C12</f>
        <v>487540</v>
      </c>
      <c r="D29" s="96">
        <f t="shared" ref="D29:S29" si="17">D8+D9+D10+D12</f>
        <v>0</v>
      </c>
      <c r="E29" s="96">
        <f t="shared" si="17"/>
        <v>520</v>
      </c>
      <c r="F29" s="96">
        <f t="shared" si="17"/>
        <v>475000</v>
      </c>
      <c r="G29" s="96">
        <f t="shared" si="17"/>
        <v>0</v>
      </c>
      <c r="H29" s="96">
        <f t="shared" si="17"/>
        <v>950</v>
      </c>
      <c r="I29" s="96">
        <f t="shared" si="17"/>
        <v>0</v>
      </c>
      <c r="J29" s="96">
        <f t="shared" si="17"/>
        <v>0</v>
      </c>
      <c r="K29" s="96">
        <f t="shared" si="17"/>
        <v>0</v>
      </c>
      <c r="L29" s="96">
        <f t="shared" si="17"/>
        <v>0</v>
      </c>
      <c r="M29" s="96">
        <f t="shared" si="17"/>
        <v>0</v>
      </c>
      <c r="N29" s="96">
        <f t="shared" si="17"/>
        <v>0</v>
      </c>
      <c r="O29" s="96">
        <f t="shared" si="17"/>
        <v>0</v>
      </c>
      <c r="P29" s="96">
        <f t="shared" si="17"/>
        <v>0</v>
      </c>
      <c r="Q29" s="96">
        <f t="shared" si="17"/>
        <v>10000</v>
      </c>
      <c r="R29" s="96">
        <f>R8+R9+R10+R12</f>
        <v>1070</v>
      </c>
      <c r="S29" s="96">
        <f t="shared" si="17"/>
        <v>0</v>
      </c>
      <c r="T29" s="101"/>
      <c r="Y29" s="81" t="s">
        <v>67</v>
      </c>
      <c r="Z29" s="91">
        <f t="shared" si="12"/>
        <v>0.35785435407706045</v>
      </c>
    </row>
    <row r="30" spans="1:26" s="59" customFormat="1" x14ac:dyDescent="0.25">
      <c r="A30" s="710" t="s">
        <v>97</v>
      </c>
      <c r="B30" s="710"/>
      <c r="C30" s="98">
        <f>C16+C19+C20+C22</f>
        <v>2059800</v>
      </c>
      <c r="D30" s="98">
        <f t="shared" ref="D30:S30" si="18">D16+D19+D20+D22</f>
        <v>2059800</v>
      </c>
      <c r="E30" s="98">
        <f t="shared" si="18"/>
        <v>0</v>
      </c>
      <c r="F30" s="98">
        <f t="shared" si="18"/>
        <v>0</v>
      </c>
      <c r="G30" s="98">
        <f t="shared" si="18"/>
        <v>0</v>
      </c>
      <c r="H30" s="98">
        <f t="shared" si="18"/>
        <v>0</v>
      </c>
      <c r="I30" s="98">
        <f t="shared" si="18"/>
        <v>0</v>
      </c>
      <c r="J30" s="98">
        <f t="shared" si="18"/>
        <v>0</v>
      </c>
      <c r="K30" s="98">
        <f t="shared" si="18"/>
        <v>0</v>
      </c>
      <c r="L30" s="98">
        <f t="shared" si="18"/>
        <v>0</v>
      </c>
      <c r="M30" s="98">
        <f t="shared" si="18"/>
        <v>0</v>
      </c>
      <c r="N30" s="98">
        <f t="shared" si="18"/>
        <v>0</v>
      </c>
      <c r="O30" s="98">
        <f t="shared" si="18"/>
        <v>0</v>
      </c>
      <c r="P30" s="98">
        <f t="shared" si="18"/>
        <v>0</v>
      </c>
      <c r="Q30" s="98">
        <f t="shared" si="18"/>
        <v>0</v>
      </c>
      <c r="R30" s="98">
        <f>R16+R19+R20+R22</f>
        <v>0</v>
      </c>
      <c r="S30" s="98">
        <f t="shared" si="18"/>
        <v>0</v>
      </c>
      <c r="Y30" s="81" t="s">
        <v>89</v>
      </c>
      <c r="Z30" s="91">
        <f t="shared" si="12"/>
        <v>9.59003803527223E-3</v>
      </c>
    </row>
    <row r="31" spans="1:26" s="59" customFormat="1" x14ac:dyDescent="0.25">
      <c r="A31" s="711" t="s">
        <v>98</v>
      </c>
      <c r="B31" s="711"/>
      <c r="C31" s="100">
        <f>C29-C30</f>
        <v>-1572260</v>
      </c>
      <c r="D31" s="100">
        <f t="shared" ref="D31:S31" si="19">D29-D30</f>
        <v>-2059800</v>
      </c>
      <c r="E31" s="100">
        <f t="shared" si="19"/>
        <v>520</v>
      </c>
      <c r="F31" s="100">
        <f t="shared" si="19"/>
        <v>475000</v>
      </c>
      <c r="G31" s="100">
        <f t="shared" si="19"/>
        <v>0</v>
      </c>
      <c r="H31" s="100">
        <f t="shared" si="19"/>
        <v>950</v>
      </c>
      <c r="I31" s="100">
        <f t="shared" si="19"/>
        <v>0</v>
      </c>
      <c r="J31" s="100">
        <f t="shared" si="19"/>
        <v>0</v>
      </c>
      <c r="K31" s="100">
        <f t="shared" si="19"/>
        <v>0</v>
      </c>
      <c r="L31" s="100">
        <f t="shared" si="19"/>
        <v>0</v>
      </c>
      <c r="M31" s="100">
        <f t="shared" si="19"/>
        <v>0</v>
      </c>
      <c r="N31" s="100">
        <f t="shared" si="19"/>
        <v>0</v>
      </c>
      <c r="O31" s="100">
        <f t="shared" si="19"/>
        <v>0</v>
      </c>
      <c r="P31" s="100">
        <f t="shared" si="19"/>
        <v>0</v>
      </c>
      <c r="Q31" s="100">
        <f t="shared" si="19"/>
        <v>10000</v>
      </c>
      <c r="R31" s="100">
        <f>R29-R30</f>
        <v>1070</v>
      </c>
      <c r="S31" s="100">
        <f t="shared" si="19"/>
        <v>0</v>
      </c>
      <c r="Y31" s="81" t="s">
        <v>90</v>
      </c>
      <c r="Z31" s="91">
        <f t="shared" si="12"/>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21</v>
      </c>
      <c r="E33" s="174">
        <v>21</v>
      </c>
      <c r="F33" s="174">
        <v>21</v>
      </c>
      <c r="G33" s="174">
        <v>21</v>
      </c>
      <c r="H33" s="174">
        <v>21</v>
      </c>
      <c r="I33" s="174">
        <v>21</v>
      </c>
      <c r="J33" s="174">
        <v>21</v>
      </c>
      <c r="K33" s="174">
        <v>21</v>
      </c>
      <c r="L33" s="174">
        <v>21</v>
      </c>
      <c r="M33" s="174"/>
      <c r="N33" s="174"/>
      <c r="O33" s="174">
        <v>21</v>
      </c>
      <c r="P33" s="174">
        <v>21</v>
      </c>
      <c r="Q33" s="174"/>
      <c r="R33" s="174"/>
      <c r="S33" s="174"/>
      <c r="Z33" s="369"/>
    </row>
    <row r="34" spans="1:26" s="59" customFormat="1" ht="18.75" x14ac:dyDescent="0.3">
      <c r="A34" s="57"/>
      <c r="B34" s="720" t="s">
        <v>437</v>
      </c>
      <c r="C34" s="173" t="s">
        <v>181</v>
      </c>
      <c r="D34" s="174">
        <v>673620</v>
      </c>
      <c r="E34" s="174">
        <v>698670</v>
      </c>
      <c r="F34" s="174">
        <v>728380</v>
      </c>
      <c r="G34" s="174">
        <v>752930</v>
      </c>
      <c r="H34" s="174">
        <v>761180</v>
      </c>
      <c r="I34" s="174">
        <v>727290</v>
      </c>
      <c r="J34" s="174">
        <v>711460</v>
      </c>
      <c r="K34" s="174">
        <v>726460</v>
      </c>
      <c r="L34" s="174">
        <v>768240</v>
      </c>
      <c r="M34" s="174"/>
      <c r="N34" s="174"/>
      <c r="O34" s="174">
        <v>784050</v>
      </c>
      <c r="P34" s="174">
        <v>812370</v>
      </c>
      <c r="Q34" s="174"/>
      <c r="R34" s="174"/>
      <c r="S34" s="174"/>
      <c r="Y34" s="712">
        <f>C23</f>
        <v>5755973</v>
      </c>
      <c r="Z34" s="713"/>
    </row>
    <row r="35" spans="1:26" x14ac:dyDescent="0.25">
      <c r="A35" s="57"/>
      <c r="B35" s="720"/>
      <c r="C35" s="173" t="s">
        <v>104</v>
      </c>
      <c r="D35" s="174">
        <v>72010</v>
      </c>
      <c r="E35" s="174">
        <v>72010</v>
      </c>
      <c r="F35" s="174">
        <v>72010</v>
      </c>
      <c r="G35" s="174">
        <v>73470</v>
      </c>
      <c r="H35" s="174">
        <v>75730</v>
      </c>
      <c r="I35" s="174">
        <v>76830</v>
      </c>
      <c r="J35" s="174">
        <v>76830</v>
      </c>
      <c r="K35" s="174">
        <v>76950</v>
      </c>
      <c r="L35" s="174">
        <v>80510</v>
      </c>
      <c r="M35" s="174"/>
      <c r="N35" s="174"/>
      <c r="O35" s="174">
        <v>83570</v>
      </c>
      <c r="P35" s="174">
        <v>83730</v>
      </c>
      <c r="Q35" s="174"/>
      <c r="R35" s="174"/>
      <c r="S35" s="174"/>
    </row>
    <row r="36" spans="1:26" x14ac:dyDescent="0.25">
      <c r="A36" s="57"/>
      <c r="B36" s="720"/>
      <c r="C36" s="173" t="s">
        <v>663</v>
      </c>
      <c r="D36" s="174">
        <v>584220</v>
      </c>
      <c r="E36" s="174">
        <v>607650</v>
      </c>
      <c r="F36" s="174">
        <v>635930</v>
      </c>
      <c r="G36" s="174">
        <v>660070</v>
      </c>
      <c r="H36" s="174">
        <v>672550</v>
      </c>
      <c r="I36" s="174">
        <v>638100</v>
      </c>
      <c r="J36" s="174">
        <v>622650</v>
      </c>
      <c r="K36" s="174">
        <v>637630</v>
      </c>
      <c r="L36" s="174">
        <v>678930</v>
      </c>
      <c r="M36" s="174"/>
      <c r="N36" s="174"/>
      <c r="O36" s="174">
        <v>689960</v>
      </c>
      <c r="P36" s="174">
        <v>716490</v>
      </c>
      <c r="Q36" s="174"/>
      <c r="R36" s="174"/>
      <c r="S36" s="174"/>
    </row>
    <row r="37" spans="1:26" x14ac:dyDescent="0.25">
      <c r="A37" s="57"/>
      <c r="B37" s="720"/>
      <c r="C37" s="173" t="s">
        <v>664</v>
      </c>
      <c r="D37" s="174">
        <v>58710</v>
      </c>
      <c r="E37" s="174">
        <v>58710</v>
      </c>
      <c r="F37" s="174">
        <v>57610</v>
      </c>
      <c r="G37" s="174">
        <v>60170</v>
      </c>
      <c r="H37" s="174">
        <v>62570</v>
      </c>
      <c r="I37" s="174">
        <v>63670</v>
      </c>
      <c r="J37" s="174">
        <v>63670</v>
      </c>
      <c r="K37" s="174">
        <v>63670</v>
      </c>
      <c r="L37" s="174">
        <v>67170</v>
      </c>
      <c r="M37" s="174"/>
      <c r="N37" s="174"/>
      <c r="O37" s="174">
        <v>65690</v>
      </c>
      <c r="P37" s="174">
        <v>65690</v>
      </c>
      <c r="Q37" s="174"/>
      <c r="R37" s="174"/>
      <c r="S37" s="174"/>
    </row>
    <row r="38" spans="1:26" x14ac:dyDescent="0.25">
      <c r="A38" s="57"/>
      <c r="B38" s="720"/>
      <c r="C38" s="173" t="s">
        <v>665</v>
      </c>
      <c r="D38" s="175" t="s">
        <v>669</v>
      </c>
      <c r="E38" s="175" t="s">
        <v>678</v>
      </c>
      <c r="F38" s="175" t="s">
        <v>706</v>
      </c>
      <c r="G38" s="175" t="s">
        <v>707</v>
      </c>
      <c r="H38" s="175" t="s">
        <v>712</v>
      </c>
      <c r="I38" s="175" t="s">
        <v>714</v>
      </c>
      <c r="J38" s="175" t="s">
        <v>737</v>
      </c>
      <c r="K38" s="175" t="s">
        <v>738</v>
      </c>
      <c r="L38" s="175" t="s">
        <v>653</v>
      </c>
      <c r="M38" s="175"/>
      <c r="N38" s="175"/>
      <c r="O38" s="175" t="s">
        <v>767</v>
      </c>
      <c r="P38" s="175" t="s">
        <v>768</v>
      </c>
      <c r="Q38" s="175"/>
      <c r="R38" s="175"/>
      <c r="S38" s="175"/>
    </row>
    <row r="39" spans="1:26" x14ac:dyDescent="0.25">
      <c r="A39" s="57"/>
      <c r="B39" s="720"/>
      <c r="C39" s="173" t="s">
        <v>666</v>
      </c>
      <c r="D39" s="176">
        <v>6.5</v>
      </c>
      <c r="E39" s="176">
        <v>6.75</v>
      </c>
      <c r="F39" s="176">
        <v>6.75</v>
      </c>
      <c r="G39" s="176">
        <v>6.75</v>
      </c>
      <c r="H39" s="176">
        <v>7</v>
      </c>
      <c r="I39" s="176">
        <v>7</v>
      </c>
      <c r="J39" s="176">
        <v>7</v>
      </c>
      <c r="K39" s="176">
        <v>7</v>
      </c>
      <c r="L39" s="176">
        <v>7</v>
      </c>
      <c r="M39" s="176"/>
      <c r="N39" s="176"/>
      <c r="O39" s="176">
        <v>7</v>
      </c>
      <c r="P39" s="176">
        <v>7</v>
      </c>
      <c r="Q39" s="176"/>
      <c r="R39" s="176"/>
      <c r="S39" s="176"/>
    </row>
    <row r="40" spans="1:26" x14ac:dyDescent="0.25">
      <c r="B40" s="720"/>
      <c r="C40" s="173" t="s">
        <v>667</v>
      </c>
      <c r="D40" s="176">
        <v>6.25</v>
      </c>
      <c r="E40" s="176">
        <v>6.25</v>
      </c>
      <c r="F40" s="176">
        <v>6.5</v>
      </c>
      <c r="G40" s="176">
        <v>6.25</v>
      </c>
      <c r="H40" s="176">
        <v>6.25</v>
      </c>
      <c r="I40" s="176">
        <v>6.25</v>
      </c>
      <c r="J40" s="176">
        <v>6</v>
      </c>
      <c r="K40" s="176">
        <v>6.25</v>
      </c>
      <c r="L40" s="176">
        <v>6.25</v>
      </c>
      <c r="M40" s="176"/>
      <c r="N40" s="176"/>
      <c r="O40" s="176">
        <v>6</v>
      </c>
      <c r="P40" s="176">
        <v>6</v>
      </c>
      <c r="Q40" s="176"/>
      <c r="R40" s="176"/>
      <c r="S40" s="176"/>
    </row>
    <row r="41" spans="1:26" x14ac:dyDescent="0.25">
      <c r="B41" s="720"/>
      <c r="C41" s="173" t="s">
        <v>668</v>
      </c>
      <c r="D41" s="176">
        <v>4.5</v>
      </c>
      <c r="E41" s="176">
        <v>4.5</v>
      </c>
      <c r="F41" s="176">
        <v>4.75</v>
      </c>
      <c r="G41" s="176">
        <v>4.75</v>
      </c>
      <c r="H41" s="176">
        <v>4.75</v>
      </c>
      <c r="I41" s="176">
        <v>5</v>
      </c>
      <c r="J41" s="176">
        <v>5</v>
      </c>
      <c r="K41" s="176">
        <v>5</v>
      </c>
      <c r="L41" s="176">
        <v>4.75</v>
      </c>
      <c r="M41" s="176"/>
      <c r="N41" s="176"/>
      <c r="O41" s="176">
        <v>4.75</v>
      </c>
      <c r="P41" s="176">
        <v>4.75</v>
      </c>
      <c r="Q41" s="176"/>
      <c r="R41" s="176"/>
      <c r="S41" s="176"/>
    </row>
    <row r="42" spans="1:26" ht="15" customHeight="1" x14ac:dyDescent="0.25">
      <c r="C42" s="164" t="s">
        <v>438</v>
      </c>
      <c r="D42" s="288">
        <f>D34/D35</f>
        <v>9.354534092487155</v>
      </c>
      <c r="E42" s="288">
        <f>E34/E35</f>
        <v>9.702402444104985</v>
      </c>
      <c r="F42" s="288">
        <f t="shared" ref="F42:S42" si="20">F34/F35</f>
        <v>10.114984029995833</v>
      </c>
      <c r="G42" s="288">
        <f t="shared" si="20"/>
        <v>10.248128487818157</v>
      </c>
      <c r="H42" s="288">
        <f t="shared" si="20"/>
        <v>10.051234649412386</v>
      </c>
      <c r="I42" s="288">
        <f t="shared" si="20"/>
        <v>9.4662241311987501</v>
      </c>
      <c r="J42" s="288">
        <f t="shared" si="20"/>
        <v>9.2601848236365996</v>
      </c>
      <c r="K42" s="288">
        <f t="shared" si="20"/>
        <v>9.4406757634827816</v>
      </c>
      <c r="L42" s="288">
        <f t="shared" si="20"/>
        <v>9.5421686746987948</v>
      </c>
      <c r="M42" s="288" t="e">
        <f t="shared" si="20"/>
        <v>#DIV/0!</v>
      </c>
      <c r="N42" s="288" t="e">
        <f t="shared" si="20"/>
        <v>#DIV/0!</v>
      </c>
      <c r="O42" s="288">
        <f t="shared" si="20"/>
        <v>9.3819552470982401</v>
      </c>
      <c r="P42" s="288">
        <f t="shared" si="20"/>
        <v>9.7022572554639908</v>
      </c>
      <c r="Q42" s="288" t="e">
        <f t="shared" si="20"/>
        <v>#DIV/0!</v>
      </c>
      <c r="R42" s="288" t="e">
        <f t="shared" si="20"/>
        <v>#DIV/0!</v>
      </c>
      <c r="S42" s="288" t="e">
        <f t="shared" si="20"/>
        <v>#DIV/0!</v>
      </c>
    </row>
    <row r="43" spans="1:26" ht="15" customHeight="1" x14ac:dyDescent="0.25">
      <c r="D43" s="9"/>
      <c r="E43" s="464"/>
      <c r="G43" s="714"/>
      <c r="H43" s="714"/>
      <c r="I43" s="714"/>
      <c r="J43" s="714"/>
    </row>
    <row r="44" spans="1:26" x14ac:dyDescent="0.25">
      <c r="C44" s="4" t="s">
        <v>485</v>
      </c>
      <c r="D44" s="9">
        <v>85845</v>
      </c>
      <c r="E44" s="341">
        <v>92875</v>
      </c>
      <c r="F44" s="246">
        <v>97870</v>
      </c>
      <c r="G44" s="465">
        <v>101200</v>
      </c>
      <c r="H44" s="465">
        <v>103420</v>
      </c>
      <c r="I44" s="465">
        <v>104900</v>
      </c>
      <c r="J44" s="465">
        <v>106010</v>
      </c>
      <c r="K44" s="9">
        <v>106750</v>
      </c>
      <c r="L44" s="9">
        <v>107490</v>
      </c>
      <c r="M44" s="9">
        <v>108045</v>
      </c>
      <c r="N44" s="9">
        <v>108600</v>
      </c>
      <c r="O44" s="9">
        <v>108970</v>
      </c>
      <c r="P44" s="9">
        <v>109339.96389076956</v>
      </c>
      <c r="Q44" s="9">
        <v>109709.57437104356</v>
      </c>
      <c r="R44" s="9">
        <v>110079.83290413764</v>
      </c>
      <c r="S44" s="9">
        <v>110450</v>
      </c>
    </row>
    <row r="45" spans="1:26" x14ac:dyDescent="0.25">
      <c r="E45">
        <f>(E44-D44)/D44</f>
        <v>8.1891781699574812E-2</v>
      </c>
      <c r="F45">
        <f t="shared" ref="F45:S45" si="21">(F44-E44)/E44</f>
        <v>5.3781965006729472E-2</v>
      </c>
      <c r="G45">
        <f t="shared" si="21"/>
        <v>3.4024726678246651E-2</v>
      </c>
      <c r="H45">
        <f t="shared" si="21"/>
        <v>2.1936758893280634E-2</v>
      </c>
      <c r="I45">
        <f t="shared" si="21"/>
        <v>1.4310578224714755E-2</v>
      </c>
      <c r="J45">
        <f t="shared" si="21"/>
        <v>1.0581506196377502E-2</v>
      </c>
      <c r="K45">
        <f t="shared" si="21"/>
        <v>6.9804735402320536E-3</v>
      </c>
      <c r="L45">
        <f t="shared" si="21"/>
        <v>6.9320843091334895E-3</v>
      </c>
      <c r="M45">
        <f t="shared" si="21"/>
        <v>5.1632710019536704E-3</v>
      </c>
      <c r="N45">
        <f t="shared" si="21"/>
        <v>5.136748576981813E-3</v>
      </c>
      <c r="O45">
        <f t="shared" si="21"/>
        <v>3.4069981583793739E-3</v>
      </c>
      <c r="P45">
        <f t="shared" si="21"/>
        <v>3.3950985662986378E-3</v>
      </c>
      <c r="Q45">
        <f t="shared" si="21"/>
        <v>3.3803786568215922E-3</v>
      </c>
      <c r="R45">
        <f t="shared" si="21"/>
        <v>3.3748971793641676E-3</v>
      </c>
      <c r="S45">
        <f t="shared" si="21"/>
        <v>3.3627149142269855E-3</v>
      </c>
    </row>
    <row r="46" spans="1:26" x14ac:dyDescent="0.25">
      <c r="E46" s="390"/>
      <c r="F46" s="390"/>
      <c r="G46" s="390"/>
      <c r="H46" s="390"/>
      <c r="I46" s="390"/>
      <c r="J46" s="390"/>
      <c r="K46" s="390"/>
      <c r="L46" s="390"/>
      <c r="M46" s="390"/>
      <c r="N46" s="390"/>
      <c r="O46" s="390"/>
      <c r="P46" s="390"/>
    </row>
    <row r="47" spans="1:26" x14ac:dyDescent="0.25">
      <c r="D47" s="370"/>
      <c r="G47" s="52"/>
      <c r="H47" s="52"/>
      <c r="I47" s="52"/>
      <c r="J47" s="52"/>
      <c r="K47" s="52"/>
      <c r="L47" s="52"/>
      <c r="M47" s="52"/>
      <c r="N47" s="52"/>
      <c r="O47" s="52"/>
      <c r="P47" s="52"/>
      <c r="Q47" s="52"/>
      <c r="R47" s="52"/>
      <c r="S47" s="52"/>
    </row>
    <row r="48" spans="1:26" x14ac:dyDescent="0.25">
      <c r="G48" s="709"/>
      <c r="H48" s="709"/>
      <c r="I48" s="709"/>
      <c r="J48" s="709"/>
      <c r="M48" s="383"/>
    </row>
    <row r="49" spans="5:16" x14ac:dyDescent="0.25">
      <c r="E49" s="106"/>
      <c r="G49" s="465"/>
      <c r="H49" s="465"/>
      <c r="I49" s="465"/>
      <c r="J49" s="465"/>
    </row>
    <row r="50" spans="5:16" x14ac:dyDescent="0.25">
      <c r="G50" s="709"/>
      <c r="H50" s="709"/>
      <c r="I50" s="709"/>
      <c r="J50" s="709"/>
      <c r="P50" s="383"/>
    </row>
    <row r="51" spans="5:16" ht="15" customHeight="1" x14ac:dyDescent="0.25">
      <c r="G51" s="709"/>
      <c r="H51" s="709"/>
      <c r="I51" s="709"/>
      <c r="J51" s="105"/>
    </row>
  </sheetData>
  <mergeCells count="15">
    <mergeCell ref="G48:J48"/>
    <mergeCell ref="G50:J50"/>
    <mergeCell ref="G51:I51"/>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5"/>
  <sheetViews>
    <sheetView topLeftCell="A13" workbookViewId="0">
      <selection activeCell="A26" sqref="A26"/>
    </sheetView>
  </sheetViews>
  <sheetFormatPr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6.14062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6" width="12"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21" t="s">
        <v>654</v>
      </c>
      <c r="C2" s="722"/>
      <c r="D2" s="722"/>
      <c r="E2" s="722"/>
      <c r="F2" s="722"/>
      <c r="G2" s="723"/>
      <c r="I2" s="732" t="s">
        <v>655</v>
      </c>
      <c r="J2" s="733"/>
      <c r="K2" s="733"/>
      <c r="L2" s="733"/>
      <c r="M2" s="733"/>
      <c r="N2" s="733"/>
      <c r="O2" s="733"/>
      <c r="P2" s="733"/>
      <c r="Q2" s="733"/>
      <c r="R2" s="733"/>
      <c r="S2" s="734"/>
    </row>
    <row r="3" spans="2:19" x14ac:dyDescent="0.25">
      <c r="B3" s="725" t="s">
        <v>102</v>
      </c>
      <c r="C3" s="726"/>
      <c r="D3" s="726"/>
      <c r="E3" s="726"/>
      <c r="F3" s="726"/>
      <c r="G3" s="727"/>
      <c r="I3" s="107" t="s">
        <v>103</v>
      </c>
      <c r="J3" s="48" t="s">
        <v>100</v>
      </c>
      <c r="K3" s="48" t="s">
        <v>88</v>
      </c>
      <c r="L3" s="48" t="s">
        <v>104</v>
      </c>
      <c r="M3" s="48" t="s">
        <v>105</v>
      </c>
      <c r="N3" s="48" t="s">
        <v>106</v>
      </c>
      <c r="O3" s="48" t="s">
        <v>107</v>
      </c>
      <c r="P3" s="48" t="s">
        <v>108</v>
      </c>
      <c r="Q3" s="467" t="s">
        <v>109</v>
      </c>
      <c r="R3" s="108" t="s">
        <v>110</v>
      </c>
      <c r="S3" s="108" t="s">
        <v>111</v>
      </c>
    </row>
    <row r="4" spans="2:19" ht="18.75" x14ac:dyDescent="0.3">
      <c r="B4" s="735" t="s">
        <v>113</v>
      </c>
      <c r="C4" s="736"/>
      <c r="D4" s="109"/>
      <c r="E4" s="737" t="s">
        <v>114</v>
      </c>
      <c r="F4" s="738"/>
      <c r="G4" s="109"/>
      <c r="I4" s="396" t="s">
        <v>115</v>
      </c>
      <c r="J4" s="397" t="s">
        <v>539</v>
      </c>
      <c r="K4" s="396">
        <f>1052640+300</f>
        <v>1052940</v>
      </c>
      <c r="L4" s="396">
        <v>0</v>
      </c>
      <c r="M4" s="396">
        <v>0</v>
      </c>
      <c r="N4" s="396">
        <v>0</v>
      </c>
      <c r="O4" s="398">
        <v>-1052940</v>
      </c>
      <c r="P4" s="398">
        <v>0</v>
      </c>
      <c r="Q4" s="399"/>
      <c r="R4" s="400"/>
      <c r="S4" s="400">
        <v>42305</v>
      </c>
    </row>
    <row r="5" spans="2:19" x14ac:dyDescent="0.25">
      <c r="B5" s="113"/>
      <c r="C5" s="114"/>
      <c r="D5" s="201"/>
      <c r="E5" s="113"/>
      <c r="F5" s="114"/>
      <c r="G5" s="115"/>
      <c r="I5" s="396" t="s">
        <v>491</v>
      </c>
      <c r="J5" s="397" t="s">
        <v>708</v>
      </c>
      <c r="K5" s="396">
        <v>0</v>
      </c>
      <c r="L5" s="396">
        <v>0</v>
      </c>
      <c r="M5" s="396">
        <v>500000</v>
      </c>
      <c r="N5" s="396">
        <f>M5*0.05</f>
        <v>25000</v>
      </c>
      <c r="O5" s="398">
        <f t="shared" ref="O5" si="0">IF(M5=0,0,M5-K5)-N5</f>
        <v>475000</v>
      </c>
      <c r="P5" s="398">
        <f t="shared" ref="P5" si="1">IF(M5=0,K5,0)</f>
        <v>0</v>
      </c>
      <c r="Q5" s="399"/>
      <c r="R5" s="400"/>
      <c r="S5" s="400">
        <v>42322</v>
      </c>
    </row>
    <row r="6" spans="2:19" x14ac:dyDescent="0.25">
      <c r="B6" s="116" t="s">
        <v>116</v>
      </c>
      <c r="C6" s="117">
        <f>SUM(C7:C9)</f>
        <v>4926685</v>
      </c>
      <c r="D6" s="140">
        <f>C6/C30</f>
        <v>0.24548592411094017</v>
      </c>
      <c r="E6" s="116" t="s">
        <v>117</v>
      </c>
      <c r="F6" s="117">
        <f ca="1">F7+F8+F9</f>
        <v>13914829.014755197</v>
      </c>
      <c r="G6" s="118">
        <f ca="1">F6/$F$30</f>
        <v>0.69334545633278821</v>
      </c>
      <c r="I6" s="396" t="s">
        <v>491</v>
      </c>
      <c r="J6" s="397" t="s">
        <v>548</v>
      </c>
      <c r="K6" s="396">
        <v>0</v>
      </c>
      <c r="L6" s="396">
        <v>0</v>
      </c>
      <c r="M6" s="396">
        <v>1000</v>
      </c>
      <c r="N6" s="396">
        <f>M6*0.05</f>
        <v>50</v>
      </c>
      <c r="O6" s="398">
        <f t="shared" ref="O6" si="2">IF(M6=0,0,M6-K6)-N6</f>
        <v>950</v>
      </c>
      <c r="P6" s="398">
        <f t="shared" ref="P6" si="3">IF(M6=0,K6,0)</f>
        <v>0</v>
      </c>
      <c r="Q6" s="399"/>
      <c r="R6" s="400"/>
      <c r="S6" s="400">
        <v>42330</v>
      </c>
    </row>
    <row r="7" spans="2:19" x14ac:dyDescent="0.25">
      <c r="B7" s="119" t="s">
        <v>84</v>
      </c>
      <c r="C7" s="120">
        <f>'A-P_T47'!C7+EconomiaT48!C16</f>
        <v>2866885</v>
      </c>
      <c r="D7" s="202">
        <f>C7/C30</f>
        <v>0.14285060107248437</v>
      </c>
      <c r="E7" s="203" t="s">
        <v>118</v>
      </c>
      <c r="F7" s="204">
        <v>300000</v>
      </c>
      <c r="G7" s="121">
        <f ca="1">F7/$F$30</f>
        <v>1.4948343000066384E-2</v>
      </c>
      <c r="I7" s="396" t="s">
        <v>491</v>
      </c>
      <c r="J7" s="397" t="s">
        <v>769</v>
      </c>
      <c r="K7" s="396">
        <v>0</v>
      </c>
      <c r="L7" s="396">
        <v>0</v>
      </c>
      <c r="M7" s="396">
        <v>1000</v>
      </c>
      <c r="N7" s="396">
        <f>M7*0.05</f>
        <v>50</v>
      </c>
      <c r="O7" s="398">
        <f t="shared" ref="O7" si="4">IF(M7=0,0,M7-K7)-N7</f>
        <v>950</v>
      </c>
      <c r="P7" s="398">
        <f t="shared" ref="P7" si="5">IF(M7=0,K7,0)</f>
        <v>0</v>
      </c>
      <c r="Q7" s="399"/>
      <c r="R7" s="400"/>
      <c r="S7" s="400">
        <v>42404</v>
      </c>
    </row>
    <row r="8" spans="2:19" x14ac:dyDescent="0.25">
      <c r="B8" s="119" t="s">
        <v>67</v>
      </c>
      <c r="C8" s="120">
        <f>'A-P_T47'!C8+EconomiaT48!C20</f>
        <v>4128600</v>
      </c>
      <c r="D8" s="202">
        <f>C8/C30</f>
        <v>0.20571909636691357</v>
      </c>
      <c r="E8" s="203" t="s">
        <v>261</v>
      </c>
      <c r="F8" s="204">
        <f ca="1">'A-P_T47'!F9+'A-P_T47'!F8</f>
        <v>10629511.37116595</v>
      </c>
      <c r="G8" s="121">
        <f ca="1">F8/$F$30</f>
        <v>0.52964527299764852</v>
      </c>
      <c r="I8" s="470"/>
      <c r="J8" s="470"/>
      <c r="K8" s="470"/>
      <c r="L8" s="470"/>
      <c r="M8" s="470"/>
      <c r="N8" s="470"/>
      <c r="O8" s="470"/>
      <c r="P8" s="470"/>
      <c r="Q8" s="470"/>
      <c r="R8" s="470"/>
      <c r="S8" s="470"/>
    </row>
    <row r="9" spans="2:19" x14ac:dyDescent="0.25">
      <c r="B9" s="122" t="s">
        <v>119</v>
      </c>
      <c r="C9" s="123">
        <v>-2068800</v>
      </c>
      <c r="D9" s="202">
        <f>C9/C30</f>
        <v>-0.10308377332845778</v>
      </c>
      <c r="E9" s="203" t="s">
        <v>656</v>
      </c>
      <c r="F9" s="204">
        <f ca="1">'A-P_T47'!F11-EconomiaT47!C24+EconomiaT47!C5</f>
        <v>2985317.643589247</v>
      </c>
      <c r="G9" s="121">
        <f ca="1">F9/$F$30</f>
        <v>0.1487518403350733</v>
      </c>
      <c r="I9" s="470"/>
      <c r="J9" s="470"/>
      <c r="K9" s="470"/>
      <c r="L9" s="470"/>
      <c r="M9" s="470"/>
      <c r="N9" s="470"/>
      <c r="O9" s="470"/>
      <c r="P9" s="470"/>
      <c r="Q9" s="470"/>
      <c r="R9" s="470"/>
      <c r="S9" s="470"/>
    </row>
    <row r="10" spans="2:19" x14ac:dyDescent="0.25">
      <c r="B10" s="124"/>
      <c r="C10" s="125"/>
      <c r="D10" s="140"/>
      <c r="E10" s="205"/>
      <c r="F10" s="125"/>
      <c r="G10" s="118"/>
      <c r="I10" s="470"/>
      <c r="J10" s="470"/>
      <c r="K10" s="470"/>
      <c r="L10" s="470"/>
      <c r="M10" s="470"/>
      <c r="N10" s="470"/>
      <c r="O10" s="470"/>
      <c r="P10" s="470"/>
      <c r="Q10" s="470"/>
      <c r="R10" s="470"/>
      <c r="S10" s="470"/>
    </row>
    <row r="11" spans="2:19" x14ac:dyDescent="0.25">
      <c r="B11" s="116" t="s">
        <v>100</v>
      </c>
      <c r="C11" s="117">
        <f>SUM(C12:C15)</f>
        <v>0</v>
      </c>
      <c r="D11" s="140">
        <f>C11/C30</f>
        <v>0</v>
      </c>
      <c r="E11" s="116" t="s">
        <v>657</v>
      </c>
      <c r="F11" s="117">
        <f>SUM(F12:F17)+C9</f>
        <v>2458112</v>
      </c>
      <c r="G11" s="118">
        <f t="shared" ref="G11:G17" ca="1" si="6">F11/$F$30</f>
        <v>0.12248233769526393</v>
      </c>
      <c r="I11" s="470"/>
      <c r="J11" s="470"/>
      <c r="K11" s="470"/>
      <c r="L11" s="470"/>
      <c r="M11" s="470"/>
      <c r="N11" s="470"/>
      <c r="O11" s="470"/>
      <c r="P11" s="470"/>
      <c r="Q11" s="470"/>
      <c r="R11" s="470"/>
      <c r="S11" s="470"/>
    </row>
    <row r="12" spans="2:19" x14ac:dyDescent="0.25">
      <c r="B12" s="129" t="s">
        <v>121</v>
      </c>
      <c r="C12" s="130">
        <f>SUMIF(I4:I516,"S",$P$4:$P$516)</f>
        <v>0</v>
      </c>
      <c r="D12" s="202">
        <f>C12/C30</f>
        <v>0</v>
      </c>
      <c r="E12" s="49" t="s">
        <v>122</v>
      </c>
      <c r="F12" s="131">
        <f>SUMIF(I4:I516,"J",$O$4:$O$516)</f>
        <v>-1052940</v>
      </c>
      <c r="G12" s="121">
        <f t="shared" ca="1" si="6"/>
        <v>-5.2465694261632993E-2</v>
      </c>
      <c r="I12" s="470"/>
      <c r="J12" s="470"/>
      <c r="K12" s="470"/>
      <c r="L12" s="470"/>
      <c r="M12" s="470"/>
      <c r="N12" s="470"/>
      <c r="O12" s="470"/>
      <c r="P12" s="470"/>
      <c r="Q12" s="470"/>
      <c r="R12" s="470"/>
      <c r="S12" s="470"/>
    </row>
    <row r="13" spans="2:19" x14ac:dyDescent="0.25">
      <c r="B13" s="129" t="s">
        <v>100</v>
      </c>
      <c r="C13" s="130">
        <f>SUMIF(I4:I516,"J",$P$4:$P$516)</f>
        <v>0</v>
      </c>
      <c r="D13" s="202">
        <f>C13/C30</f>
        <v>0</v>
      </c>
      <c r="E13" s="49" t="s">
        <v>123</v>
      </c>
      <c r="F13" s="131">
        <f>SUMIF(I4:I516,"S",$O$4:$O$516)</f>
        <v>0</v>
      </c>
      <c r="G13" s="121">
        <f t="shared" ca="1" si="6"/>
        <v>0</v>
      </c>
      <c r="I13" s="470"/>
      <c r="J13" s="470"/>
      <c r="K13" s="470"/>
      <c r="L13" s="470"/>
      <c r="M13" s="470"/>
      <c r="N13" s="470"/>
      <c r="O13" s="470"/>
      <c r="P13" s="470"/>
      <c r="Q13" s="470"/>
      <c r="R13" s="470"/>
      <c r="S13" s="470"/>
    </row>
    <row r="14" spans="2:19" x14ac:dyDescent="0.25">
      <c r="B14" s="129" t="s">
        <v>99</v>
      </c>
      <c r="C14" s="130">
        <f>SUMIF(I4:I516,"E",$P$4:$P$516)</f>
        <v>0</v>
      </c>
      <c r="D14" s="202">
        <f>C14/C30</f>
        <v>0</v>
      </c>
      <c r="E14" s="49" t="s">
        <v>124</v>
      </c>
      <c r="F14" s="131">
        <f>SUMIF(I4:I516,"C",$O$4:$O$516)</f>
        <v>476900</v>
      </c>
      <c r="G14" s="121">
        <f t="shared" ca="1" si="6"/>
        <v>2.3762882589105527E-2</v>
      </c>
      <c r="I14" s="470"/>
      <c r="J14" s="470"/>
      <c r="K14" s="470"/>
      <c r="L14" s="470"/>
      <c r="M14" s="470"/>
      <c r="N14" s="470"/>
      <c r="O14" s="470"/>
      <c r="P14" s="470"/>
      <c r="Q14" s="470"/>
      <c r="R14" s="470"/>
      <c r="S14" s="470"/>
    </row>
    <row r="15" spans="2:19" x14ac:dyDescent="0.25">
      <c r="B15" s="129" t="s">
        <v>125</v>
      </c>
      <c r="C15" s="130">
        <f>SUMIF(I4:I516,"M",$P$4:$P$516)</f>
        <v>0</v>
      </c>
      <c r="D15" s="202">
        <f>C15/C30</f>
        <v>0</v>
      </c>
      <c r="E15" s="49" t="s">
        <v>126</v>
      </c>
      <c r="F15" s="131">
        <f>SUMIF(I4:I516,"E",$O$4:$O$516)</f>
        <v>0</v>
      </c>
      <c r="G15" s="121">
        <f t="shared" ca="1" si="6"/>
        <v>0</v>
      </c>
      <c r="I15" s="470"/>
      <c r="J15" s="470"/>
      <c r="K15" s="470"/>
      <c r="L15" s="470"/>
      <c r="M15" s="470"/>
      <c r="N15" s="470"/>
      <c r="O15" s="470"/>
      <c r="P15" s="470"/>
      <c r="Q15" s="470"/>
      <c r="R15" s="470"/>
      <c r="S15" s="470"/>
    </row>
    <row r="16" spans="2:19" x14ac:dyDescent="0.25">
      <c r="B16" s="132"/>
      <c r="C16" s="133"/>
      <c r="D16" s="140"/>
      <c r="E16" s="49" t="s">
        <v>127</v>
      </c>
      <c r="F16" s="131">
        <f>SUMIF(I4:I516,"M",$O$4:$O$516)</f>
        <v>0</v>
      </c>
      <c r="G16" s="121">
        <f t="shared" ca="1" si="6"/>
        <v>0</v>
      </c>
      <c r="I16" s="470"/>
      <c r="J16" s="470"/>
      <c r="K16" s="470"/>
      <c r="L16" s="470"/>
      <c r="M16" s="470"/>
      <c r="N16" s="470"/>
      <c r="O16" s="470"/>
      <c r="P16" s="470"/>
      <c r="Q16" s="470"/>
      <c r="R16" s="470"/>
      <c r="S16" s="470"/>
    </row>
    <row r="17" spans="2:11" x14ac:dyDescent="0.25">
      <c r="B17" s="116" t="s">
        <v>74</v>
      </c>
      <c r="C17" s="134">
        <f>C18+C19</f>
        <v>476900</v>
      </c>
      <c r="D17" s="140">
        <f>C17/C30</f>
        <v>2.3762882589105527E-2</v>
      </c>
      <c r="E17" s="135" t="s">
        <v>658</v>
      </c>
      <c r="F17" s="136">
        <f>C23-F23+EconomiaT48!C20</f>
        <v>5102952</v>
      </c>
      <c r="G17" s="121">
        <f t="shared" ca="1" si="6"/>
        <v>0.25426892269624918</v>
      </c>
      <c r="K17" s="106"/>
    </row>
    <row r="18" spans="2:11" x14ac:dyDescent="0.25">
      <c r="B18" s="129" t="s">
        <v>74</v>
      </c>
      <c r="C18" s="130">
        <f>SUM(M4:M516)</f>
        <v>502000</v>
      </c>
      <c r="D18" s="202">
        <f>C18/C30</f>
        <v>2.5013560620111081E-2</v>
      </c>
      <c r="E18" s="124"/>
      <c r="F18" s="125"/>
      <c r="G18" s="137"/>
    </row>
    <row r="19" spans="2:11" x14ac:dyDescent="0.25">
      <c r="B19" s="122" t="s">
        <v>76</v>
      </c>
      <c r="C19" s="123">
        <f>SUM(N4:N516)*-1</f>
        <v>-25100</v>
      </c>
      <c r="D19" s="202">
        <f>C19/C30</f>
        <v>-1.2506780310055541E-3</v>
      </c>
      <c r="E19" s="116" t="s">
        <v>129</v>
      </c>
      <c r="F19" s="134">
        <f>F20+F21</f>
        <v>0</v>
      </c>
      <c r="G19" s="118">
        <f ca="1">F19/$F$30</f>
        <v>0</v>
      </c>
    </row>
    <row r="20" spans="2:11" x14ac:dyDescent="0.25">
      <c r="B20" s="132"/>
      <c r="C20" s="133"/>
      <c r="D20" s="202"/>
      <c r="E20" s="206" t="s">
        <v>88</v>
      </c>
      <c r="F20" s="207">
        <f>EconomiaT48!C19</f>
        <v>0</v>
      </c>
      <c r="G20" s="121">
        <f ca="1">F20/$F$30</f>
        <v>0</v>
      </c>
    </row>
    <row r="21" spans="2:11" x14ac:dyDescent="0.25">
      <c r="B21" s="116" t="s">
        <v>659</v>
      </c>
      <c r="C21" s="117">
        <f>EconomiaT48!C5</f>
        <v>7926204.0147551969</v>
      </c>
      <c r="D21" s="140">
        <f>C21/C30</f>
        <v>0.39494538767021303</v>
      </c>
      <c r="E21" s="122" t="s">
        <v>130</v>
      </c>
      <c r="F21" s="208">
        <f>SUM(L4:L516)*-1</f>
        <v>0</v>
      </c>
      <c r="G21" s="121">
        <f ca="1">F21/$F$30</f>
        <v>0</v>
      </c>
    </row>
    <row r="22" spans="2:11" x14ac:dyDescent="0.25">
      <c r="B22" s="116"/>
      <c r="C22" s="117"/>
      <c r="D22" s="140"/>
      <c r="E22" s="132"/>
      <c r="F22" s="468"/>
      <c r="G22" s="469"/>
    </row>
    <row r="23" spans="2:11" x14ac:dyDescent="0.25">
      <c r="B23" s="116" t="s">
        <v>131</v>
      </c>
      <c r="C23" s="117">
        <f>SUM(C24:C28)</f>
        <v>6739325</v>
      </c>
      <c r="D23" s="140">
        <f>C23/C30</f>
        <v>0.33580580562974127</v>
      </c>
      <c r="E23" s="116" t="s">
        <v>265</v>
      </c>
      <c r="F23" s="117">
        <f>SUM(F24:F29)</f>
        <v>3696173</v>
      </c>
      <c r="G23" s="118">
        <f t="shared" ref="G23:G29" ca="1" si="7">F23/$F$30</f>
        <v>0.18417220597194789</v>
      </c>
    </row>
    <row r="24" spans="2:11" x14ac:dyDescent="0.25">
      <c r="B24" s="138" t="s">
        <v>69</v>
      </c>
      <c r="C24" s="139">
        <f>EconomiaT48!C11</f>
        <v>84270</v>
      </c>
      <c r="D24" s="202">
        <f>C24/C30</f>
        <v>4.1989895487186471E-3</v>
      </c>
      <c r="E24" s="206" t="s">
        <v>132</v>
      </c>
      <c r="F24" s="209">
        <f>EconomiaT48!C14</f>
        <v>1266317</v>
      </c>
      <c r="G24" s="121">
        <f t="shared" ca="1" si="7"/>
        <v>6.3097802876050213E-2</v>
      </c>
    </row>
    <row r="25" spans="2:11" x14ac:dyDescent="0.25">
      <c r="B25" s="138" t="s">
        <v>79</v>
      </c>
      <c r="C25" s="139">
        <f>EconomiaT48!C12</f>
        <v>0</v>
      </c>
      <c r="D25" s="202">
        <f>C25/C30</f>
        <v>0</v>
      </c>
      <c r="E25" s="206" t="s">
        <v>82</v>
      </c>
      <c r="F25" s="209">
        <f>EconomiaT48!C15</f>
        <v>572416</v>
      </c>
      <c r="G25" s="121">
        <f t="shared" ca="1" si="7"/>
        <v>2.8522235689086663E-2</v>
      </c>
    </row>
    <row r="26" spans="2:11" x14ac:dyDescent="0.25">
      <c r="B26" s="138" t="s">
        <v>71</v>
      </c>
      <c r="C26" s="139">
        <f>EconomiaT48!C6</f>
        <v>3813690</v>
      </c>
      <c r="D26" s="202">
        <f>C26/C30</f>
        <v>0.19002782071974389</v>
      </c>
      <c r="E26" s="206" t="s">
        <v>85</v>
      </c>
      <c r="F26" s="209">
        <f>EconomiaT48!C17</f>
        <v>1482240</v>
      </c>
      <c r="G26" s="121">
        <f t="shared" ca="1" si="7"/>
        <v>7.385677309472799E-2</v>
      </c>
    </row>
    <row r="27" spans="2:11" x14ac:dyDescent="0.25">
      <c r="B27" s="138" t="s">
        <v>72</v>
      </c>
      <c r="C27" s="139">
        <f>EconomiaT48!C7</f>
        <v>2830725</v>
      </c>
      <c r="D27" s="202">
        <f>C27/C30</f>
        <v>0.14104882746287636</v>
      </c>
      <c r="E27" s="206" t="s">
        <v>86</v>
      </c>
      <c r="F27" s="209">
        <f>EconomiaT48!C18</f>
        <v>320000</v>
      </c>
      <c r="G27" s="121">
        <f t="shared" ca="1" si="7"/>
        <v>1.5944899200070809E-2</v>
      </c>
    </row>
    <row r="28" spans="2:11" x14ac:dyDescent="0.25">
      <c r="B28" s="138" t="s">
        <v>76</v>
      </c>
      <c r="C28" s="139">
        <f>EconomiaT48!C10</f>
        <v>10640</v>
      </c>
      <c r="D28" s="202">
        <f>C28/C30</f>
        <v>5.3016789840235436E-4</v>
      </c>
      <c r="E28" s="206" t="s">
        <v>89</v>
      </c>
      <c r="F28" s="209">
        <f>EconomiaT48!C21</f>
        <v>55200</v>
      </c>
      <c r="G28" s="121">
        <f t="shared" ca="1" si="7"/>
        <v>2.7504951120122145E-3</v>
      </c>
    </row>
    <row r="29" spans="2:11" x14ac:dyDescent="0.25">
      <c r="B29" s="116"/>
      <c r="C29" s="117"/>
      <c r="D29" s="140"/>
      <c r="E29" s="471" t="s">
        <v>90</v>
      </c>
      <c r="F29" s="472">
        <f>EconomiaT48!C22</f>
        <v>0</v>
      </c>
      <c r="G29" s="473">
        <f t="shared" ca="1" si="7"/>
        <v>0</v>
      </c>
    </row>
    <row r="30" spans="2:11" ht="18.75" x14ac:dyDescent="0.3">
      <c r="B30" s="146" t="s">
        <v>27</v>
      </c>
      <c r="C30" s="147">
        <f>C23+C21+C17+C11+C6</f>
        <v>20069114.014755197</v>
      </c>
      <c r="D30" s="474">
        <f>C30/C30</f>
        <v>1</v>
      </c>
      <c r="E30" s="146" t="s">
        <v>27</v>
      </c>
      <c r="F30" s="147">
        <f ca="1">F23+F19+F11+F6</f>
        <v>20069114.014755197</v>
      </c>
      <c r="G30" s="145">
        <f ca="1">F30/$F$30</f>
        <v>1</v>
      </c>
      <c r="J30" s="106"/>
    </row>
    <row r="31" spans="2:11" x14ac:dyDescent="0.25">
      <c r="C31" s="106"/>
      <c r="D31" s="475"/>
      <c r="E31" s="476" t="s">
        <v>604</v>
      </c>
      <c r="F31" s="477">
        <f ca="1">F30-C30</f>
        <v>0</v>
      </c>
      <c r="G31" s="106"/>
    </row>
    <row r="32" spans="2:11" x14ac:dyDescent="0.25">
      <c r="C32" s="106"/>
      <c r="D32" s="106"/>
      <c r="F32" s="106"/>
      <c r="G32" s="106"/>
      <c r="H32" s="106"/>
    </row>
    <row r="33" spans="2:7" ht="15.75" x14ac:dyDescent="0.25">
      <c r="B33" s="478" t="s">
        <v>660</v>
      </c>
      <c r="C33" s="479">
        <f>EconomiaT48!C24</f>
        <v>9386456.0147551969</v>
      </c>
      <c r="D33" s="106"/>
      <c r="E33" s="4" t="s">
        <v>661</v>
      </c>
      <c r="F33" s="100">
        <f>C23-F23</f>
        <v>3043152</v>
      </c>
      <c r="G33" s="100"/>
    </row>
    <row r="34" spans="2:7" x14ac:dyDescent="0.25">
      <c r="C34" s="100">
        <f>C33-C21</f>
        <v>1460252</v>
      </c>
      <c r="D34" s="106"/>
      <c r="F34" s="106"/>
      <c r="G34" s="106"/>
    </row>
    <row r="35" spans="2:7" x14ac:dyDescent="0.25">
      <c r="C35" s="106"/>
      <c r="D35" s="106"/>
      <c r="F35" s="106"/>
      <c r="G35" s="106"/>
    </row>
  </sheetData>
  <mergeCells count="5">
    <mergeCell ref="B2:G2"/>
    <mergeCell ref="I2:S2"/>
    <mergeCell ref="B3:G3"/>
    <mergeCell ref="B4:C4"/>
    <mergeCell ref="E4:F4"/>
  </mergeCells>
  <conditionalFormatting sqref="F12:F17">
    <cfRule type="cellIs" dxfId="78" priority="164" operator="lessThan">
      <formula>0</formula>
    </cfRule>
    <cfRule type="cellIs" dxfId="77" priority="165" operator="greaterThan">
      <formula>0</formula>
    </cfRule>
  </conditionalFormatting>
  <conditionalFormatting sqref="F33">
    <cfRule type="cellIs" dxfId="76" priority="51" operator="lessThan">
      <formula>0</formula>
    </cfRule>
  </conditionalFormatting>
  <conditionalFormatting sqref="C34">
    <cfRule type="cellIs" dxfId="75" priority="29" operator="greaterThan">
      <formula>0</formula>
    </cfRule>
    <cfRule type="cellIs" dxfId="74" priority="50" operator="lessThan">
      <formula>0</formula>
    </cfRule>
  </conditionalFormatting>
  <conditionalFormatting sqref="O4">
    <cfRule type="cellIs" dxfId="73" priority="27" operator="lessThan">
      <formula>0</formula>
    </cfRule>
    <cfRule type="cellIs" dxfId="72" priority="28" operator="greaterThan">
      <formula>0</formula>
    </cfRule>
  </conditionalFormatting>
  <conditionalFormatting sqref="O4 Q4">
    <cfRule type="cellIs" dxfId="71" priority="21" operator="lessThan">
      <formula>0</formula>
    </cfRule>
    <cfRule type="cellIs" dxfId="70" priority="22" operator="greaterThan">
      <formula>0</formula>
    </cfRule>
  </conditionalFormatting>
  <conditionalFormatting sqref="O5">
    <cfRule type="cellIs" dxfId="69" priority="17" operator="lessThan">
      <formula>0</formula>
    </cfRule>
    <cfRule type="cellIs" dxfId="68" priority="18" operator="greaterThan">
      <formula>0</formula>
    </cfRule>
  </conditionalFormatting>
  <conditionalFormatting sqref="O5 Q5">
    <cfRule type="cellIs" dxfId="67" priority="11" operator="lessThan">
      <formula>0</formula>
    </cfRule>
    <cfRule type="cellIs" dxfId="66" priority="12" operator="greaterThan">
      <formula>0</formula>
    </cfRule>
  </conditionalFormatting>
  <conditionalFormatting sqref="O6">
    <cfRule type="cellIs" dxfId="65" priority="7" operator="lessThan">
      <formula>0</formula>
    </cfRule>
    <cfRule type="cellIs" dxfId="64" priority="8" operator="greaterThan">
      <formula>0</formula>
    </cfRule>
  </conditionalFormatting>
  <conditionalFormatting sqref="O6 Q6">
    <cfRule type="cellIs" dxfId="63" priority="5" operator="lessThan">
      <formula>0</formula>
    </cfRule>
    <cfRule type="cellIs" dxfId="62" priority="6" operator="greaterThan">
      <formula>0</formula>
    </cfRule>
  </conditionalFormatting>
  <conditionalFormatting sqref="O7">
    <cfRule type="cellIs" dxfId="61" priority="3" operator="lessThan">
      <formula>0</formula>
    </cfRule>
    <cfRule type="cellIs" dxfId="60" priority="4" operator="greaterThan">
      <formula>0</formula>
    </cfRule>
  </conditionalFormatting>
  <conditionalFormatting sqref="O7 Q7">
    <cfRule type="cellIs" dxfId="59" priority="1" operator="lessThan">
      <formula>0</formula>
    </cfRule>
    <cfRule type="cellIs" dxfId="58" priority="2" operator="greaterThan">
      <formula>0</formula>
    </cfRule>
  </conditionalFormatting>
  <pageMargins left="0.7" right="0.7" top="0.75" bottom="0.75" header="0.3" footer="0.3"/>
  <legacy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2" sqref="D2"/>
    </sheetView>
  </sheetViews>
  <sheetFormatPr defaultColWidth="11.42578125" defaultRowHeight="15" x14ac:dyDescent="0.25"/>
  <cols>
    <col min="1" max="1" width="23" style="4" bestFit="1" customWidth="1"/>
    <col min="2" max="2" width="16" style="4" customWidth="1"/>
    <col min="3" max="3" width="18.28515625" style="4" bestFit="1" customWidth="1"/>
    <col min="4" max="4" width="16.7109375" style="559"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EconomiaT48!S25</f>
        <v>42412</v>
      </c>
      <c r="E2" s="55">
        <f t="shared" ref="E2:S2" si="0">D2+7</f>
        <v>42419</v>
      </c>
      <c r="F2" s="55">
        <f t="shared" si="0"/>
        <v>42426</v>
      </c>
      <c r="G2" s="55">
        <f t="shared" si="0"/>
        <v>42433</v>
      </c>
      <c r="H2" s="55">
        <f t="shared" si="0"/>
        <v>42440</v>
      </c>
      <c r="I2" s="55">
        <f t="shared" si="0"/>
        <v>42447</v>
      </c>
      <c r="J2" s="55">
        <f t="shared" si="0"/>
        <v>42454</v>
      </c>
      <c r="K2" s="55">
        <f t="shared" si="0"/>
        <v>42461</v>
      </c>
      <c r="L2" s="55">
        <f t="shared" si="0"/>
        <v>42468</v>
      </c>
      <c r="M2" s="55">
        <f t="shared" si="0"/>
        <v>42475</v>
      </c>
      <c r="N2" s="55">
        <f t="shared" si="0"/>
        <v>42482</v>
      </c>
      <c r="O2" s="55">
        <f t="shared" si="0"/>
        <v>42489</v>
      </c>
      <c r="P2" s="55">
        <f t="shared" si="0"/>
        <v>42496</v>
      </c>
      <c r="Q2" s="55">
        <f t="shared" si="0"/>
        <v>42503</v>
      </c>
      <c r="R2" s="55">
        <f t="shared" si="0"/>
        <v>42510</v>
      </c>
      <c r="S2" s="55">
        <f t="shared" si="0"/>
        <v>42517</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2688</v>
      </c>
      <c r="E4" s="61">
        <f t="shared" ref="E4:S4" si="1">D4+(D11/30)</f>
        <v>2695</v>
      </c>
      <c r="F4" s="61">
        <f t="shared" si="1"/>
        <v>2705</v>
      </c>
      <c r="G4" s="61">
        <f t="shared" si="1"/>
        <v>2715</v>
      </c>
      <c r="H4" s="61">
        <f t="shared" si="1"/>
        <v>2724</v>
      </c>
      <c r="I4" s="61">
        <f t="shared" si="1"/>
        <v>2732</v>
      </c>
      <c r="J4" s="61">
        <v>2691</v>
      </c>
      <c r="K4" s="61">
        <f t="shared" si="1"/>
        <v>2691</v>
      </c>
      <c r="L4" s="61">
        <f t="shared" si="1"/>
        <v>2693</v>
      </c>
      <c r="M4" s="61">
        <f t="shared" si="1"/>
        <v>2697</v>
      </c>
      <c r="N4" s="61">
        <f t="shared" si="1"/>
        <v>2701</v>
      </c>
      <c r="O4" s="61">
        <f t="shared" si="1"/>
        <v>2709</v>
      </c>
      <c r="P4" s="61">
        <f t="shared" si="1"/>
        <v>2717</v>
      </c>
      <c r="Q4" s="61">
        <f t="shared" si="1"/>
        <v>2725</v>
      </c>
      <c r="R4" s="61">
        <f t="shared" si="1"/>
        <v>2727</v>
      </c>
      <c r="S4" s="212">
        <f t="shared" si="1"/>
        <v>2735</v>
      </c>
    </row>
    <row r="5" spans="1:26" s="66" customFormat="1" ht="18.75" x14ac:dyDescent="0.3">
      <c r="A5" s="62" t="s">
        <v>70</v>
      </c>
      <c r="B5" s="62"/>
      <c r="C5" s="63">
        <f>EconomiaT48!C24</f>
        <v>9386456.0147551969</v>
      </c>
      <c r="D5" s="64">
        <f>C5</f>
        <v>9386456.0147551969</v>
      </c>
      <c r="E5" s="64">
        <f t="shared" ref="E5:Q5" si="2">D24</f>
        <v>9371895.0147551969</v>
      </c>
      <c r="F5" s="64">
        <f t="shared" si="2"/>
        <v>9359634.0147551969</v>
      </c>
      <c r="G5" s="64">
        <f t="shared" si="2"/>
        <v>9982050.0147551969</v>
      </c>
      <c r="H5" s="64">
        <f t="shared" si="2"/>
        <v>10186052.014755197</v>
      </c>
      <c r="I5" s="64">
        <f t="shared" si="2"/>
        <v>10489709.014755197</v>
      </c>
      <c r="J5" s="64">
        <f t="shared" si="2"/>
        <v>10795350.014755197</v>
      </c>
      <c r="K5" s="64">
        <f t="shared" si="2"/>
        <v>11832520.014755197</v>
      </c>
      <c r="L5" s="64">
        <f t="shared" si="2"/>
        <v>539920.01475519687</v>
      </c>
      <c r="M5" s="64">
        <f t="shared" si="2"/>
        <v>487776.01475519687</v>
      </c>
      <c r="N5" s="64">
        <f t="shared" si="2"/>
        <v>421444.01475519687</v>
      </c>
      <c r="O5" s="64">
        <f t="shared" si="2"/>
        <v>966984.01475519687</v>
      </c>
      <c r="P5" s="64">
        <f t="shared" si="2"/>
        <v>902190.01475519687</v>
      </c>
      <c r="Q5" s="64">
        <f t="shared" si="2"/>
        <v>1446661.0147551969</v>
      </c>
      <c r="R5" s="64">
        <f>Q24</f>
        <v>1609580.0147551969</v>
      </c>
      <c r="S5" s="65">
        <f>R24</f>
        <v>2084588.0147551969</v>
      </c>
    </row>
    <row r="6" spans="1:26" x14ac:dyDescent="0.25">
      <c r="A6" s="67" t="s">
        <v>71</v>
      </c>
      <c r="B6" s="67" t="s">
        <v>71</v>
      </c>
      <c r="C6" s="68">
        <f t="shared" ref="C6:C23" si="3">SUM(D6:S6)</f>
        <v>5131192</v>
      </c>
      <c r="D6" s="69">
        <v>34650</v>
      </c>
      <c r="E6" s="69">
        <v>34650</v>
      </c>
      <c r="F6" s="69">
        <f>548210+105927</f>
        <v>654137</v>
      </c>
      <c r="G6" s="69">
        <v>176840</v>
      </c>
      <c r="H6" s="69">
        <f>495849+203995</f>
        <v>699844</v>
      </c>
      <c r="I6" s="69">
        <v>327517</v>
      </c>
      <c r="J6" s="69">
        <v>877381</v>
      </c>
      <c r="K6" s="69">
        <f>381818</f>
        <v>381818</v>
      </c>
      <c r="L6" s="69">
        <v>17243</v>
      </c>
      <c r="M6" s="463">
        <v>21921</v>
      </c>
      <c r="N6" s="463">
        <v>633023</v>
      </c>
      <c r="O6" s="463">
        <v>19414</v>
      </c>
      <c r="P6" s="463">
        <f>609647+15477</f>
        <v>625124</v>
      </c>
      <c r="Q6" s="463">
        <v>18667</v>
      </c>
      <c r="R6" s="463">
        <v>566916</v>
      </c>
      <c r="S6" s="70">
        <v>42047</v>
      </c>
      <c r="Y6" s="67" t="s">
        <v>71</v>
      </c>
      <c r="Z6" s="71">
        <f>C6/$C$13</f>
        <v>0.52962031535536958</v>
      </c>
    </row>
    <row r="7" spans="1:26" x14ac:dyDescent="0.25">
      <c r="A7" s="67" t="s">
        <v>72</v>
      </c>
      <c r="B7" s="67" t="s">
        <v>72</v>
      </c>
      <c r="C7" s="68">
        <f t="shared" si="3"/>
        <v>2970900</v>
      </c>
      <c r="D7" s="72">
        <v>134315</v>
      </c>
      <c r="E7" s="72">
        <v>159845</v>
      </c>
      <c r="F7" s="72">
        <v>175015</v>
      </c>
      <c r="G7" s="72">
        <v>183525</v>
      </c>
      <c r="H7" s="72">
        <f>188150</f>
        <v>188150</v>
      </c>
      <c r="I7" s="72">
        <v>190740</v>
      </c>
      <c r="J7" s="72">
        <v>192035</v>
      </c>
      <c r="K7" s="72">
        <v>192405</v>
      </c>
      <c r="L7" s="72">
        <v>192775</v>
      </c>
      <c r="M7" s="558">
        <v>193050</v>
      </c>
      <c r="N7" s="72">
        <v>193700</v>
      </c>
      <c r="O7" s="72">
        <v>194255</v>
      </c>
      <c r="P7" s="72">
        <v>194810</v>
      </c>
      <c r="Q7" s="72">
        <v>195180</v>
      </c>
      <c r="R7" s="72">
        <v>195365</v>
      </c>
      <c r="S7" s="70">
        <v>195735</v>
      </c>
      <c r="Y7" s="67" t="s">
        <v>72</v>
      </c>
      <c r="Z7" s="71">
        <f t="shared" ref="Z7:Z12" si="4">C7/$C$13</f>
        <v>0.30664395229982966</v>
      </c>
    </row>
    <row r="8" spans="1:26" x14ac:dyDescent="0.25">
      <c r="A8" s="67" t="s">
        <v>73</v>
      </c>
      <c r="B8" s="67" t="s">
        <v>74</v>
      </c>
      <c r="C8" s="68">
        <f t="shared" si="3"/>
        <v>0</v>
      </c>
      <c r="D8" s="69">
        <v>0</v>
      </c>
      <c r="E8" s="69">
        <v>0</v>
      </c>
      <c r="F8" s="69">
        <v>0</v>
      </c>
      <c r="G8" s="69">
        <v>0</v>
      </c>
      <c r="H8" s="69">
        <v>0</v>
      </c>
      <c r="I8" s="69">
        <v>0</v>
      </c>
      <c r="J8" s="69">
        <v>0</v>
      </c>
      <c r="K8" s="69">
        <v>0</v>
      </c>
      <c r="L8" s="69">
        <v>0</v>
      </c>
      <c r="M8" s="456">
        <v>0</v>
      </c>
      <c r="N8" s="69">
        <v>0</v>
      </c>
      <c r="O8" s="69">
        <v>0</v>
      </c>
      <c r="P8" s="69">
        <v>0</v>
      </c>
      <c r="Q8" s="69">
        <v>0</v>
      </c>
      <c r="R8" s="69">
        <v>0</v>
      </c>
      <c r="S8" s="70">
        <v>0</v>
      </c>
      <c r="Y8" s="67" t="s">
        <v>74</v>
      </c>
      <c r="Z8" s="71">
        <f t="shared" si="4"/>
        <v>0</v>
      </c>
    </row>
    <row r="9" spans="1:26" x14ac:dyDescent="0.25">
      <c r="A9" s="67"/>
      <c r="B9" s="67" t="s">
        <v>75</v>
      </c>
      <c r="C9" s="68">
        <f t="shared" si="3"/>
        <v>272556</v>
      </c>
      <c r="D9" s="69">
        <v>0</v>
      </c>
      <c r="E9" s="69">
        <v>0</v>
      </c>
      <c r="F9" s="69">
        <v>0</v>
      </c>
      <c r="G9" s="69">
        <v>0</v>
      </c>
      <c r="H9" s="69">
        <v>0</v>
      </c>
      <c r="I9" s="69">
        <v>0</v>
      </c>
      <c r="J9" s="69">
        <v>0</v>
      </c>
      <c r="K9" s="69">
        <v>67830</v>
      </c>
      <c r="L9" s="69">
        <v>12351</v>
      </c>
      <c r="M9" s="456">
        <v>0</v>
      </c>
      <c r="N9" s="69">
        <v>0</v>
      </c>
      <c r="O9" s="69">
        <v>0</v>
      </c>
      <c r="P9" s="69">
        <v>0</v>
      </c>
      <c r="Q9" s="69">
        <v>192375</v>
      </c>
      <c r="R9" s="69">
        <v>0</v>
      </c>
      <c r="S9" s="70">
        <v>0</v>
      </c>
      <c r="Y9" s="67" t="s">
        <v>75</v>
      </c>
      <c r="Z9" s="71">
        <f t="shared" si="4"/>
        <v>2.8132097702054049E-2</v>
      </c>
    </row>
    <row r="10" spans="1:26" x14ac:dyDescent="0.25">
      <c r="A10" s="67" t="s">
        <v>76</v>
      </c>
      <c r="B10" s="67" t="s">
        <v>76</v>
      </c>
      <c r="C10" s="68">
        <f t="shared" si="3"/>
        <v>120557</v>
      </c>
      <c r="D10" s="72">
        <v>26320</v>
      </c>
      <c r="E10" s="72">
        <v>0</v>
      </c>
      <c r="F10" s="72">
        <v>20</v>
      </c>
      <c r="G10" s="72">
        <v>52163</v>
      </c>
      <c r="H10" s="72">
        <v>3034</v>
      </c>
      <c r="I10" s="72">
        <v>0</v>
      </c>
      <c r="J10" s="72">
        <v>0</v>
      </c>
      <c r="K10" s="72">
        <v>0</v>
      </c>
      <c r="L10" s="72">
        <v>0</v>
      </c>
      <c r="M10" s="457">
        <v>0</v>
      </c>
      <c r="N10" s="72">
        <v>0</v>
      </c>
      <c r="O10" s="72">
        <v>0</v>
      </c>
      <c r="P10" s="72">
        <v>0</v>
      </c>
      <c r="Q10" s="72">
        <v>39020</v>
      </c>
      <c r="R10" s="72">
        <v>0</v>
      </c>
      <c r="S10" s="70">
        <v>0</v>
      </c>
      <c r="Y10" s="67" t="s">
        <v>76</v>
      </c>
      <c r="Z10" s="71">
        <f t="shared" si="4"/>
        <v>1.2443392560305147E-2</v>
      </c>
    </row>
    <row r="11" spans="1:26" x14ac:dyDescent="0.25">
      <c r="A11" s="715" t="s">
        <v>77</v>
      </c>
      <c r="B11" s="67" t="s">
        <v>78</v>
      </c>
      <c r="C11" s="68">
        <f t="shared" si="3"/>
        <v>88230</v>
      </c>
      <c r="D11" s="72">
        <v>210</v>
      </c>
      <c r="E11" s="72">
        <v>300</v>
      </c>
      <c r="F11" s="72">
        <v>300</v>
      </c>
      <c r="G11" s="72">
        <v>270</v>
      </c>
      <c r="H11" s="72">
        <v>240</v>
      </c>
      <c r="I11" s="72">
        <v>120</v>
      </c>
      <c r="J11" s="72">
        <v>0</v>
      </c>
      <c r="K11" s="72">
        <v>60</v>
      </c>
      <c r="L11" s="72">
        <v>120</v>
      </c>
      <c r="M11" s="558">
        <v>120</v>
      </c>
      <c r="N11" s="72">
        <v>240</v>
      </c>
      <c r="O11" s="72">
        <v>240</v>
      </c>
      <c r="P11" s="72">
        <v>240</v>
      </c>
      <c r="Q11" s="72">
        <v>60</v>
      </c>
      <c r="R11" s="72">
        <v>240</v>
      </c>
      <c r="S11" s="70">
        <f>85230+240</f>
        <v>85470</v>
      </c>
      <c r="Y11" s="67" t="s">
        <v>78</v>
      </c>
      <c r="Z11" s="71">
        <f t="shared" si="4"/>
        <v>9.1067339565161966E-3</v>
      </c>
    </row>
    <row r="12" spans="1:26" x14ac:dyDescent="0.25">
      <c r="A12" s="716"/>
      <c r="B12" s="67" t="s">
        <v>79</v>
      </c>
      <c r="C12" s="68">
        <f t="shared" si="3"/>
        <v>1105000</v>
      </c>
      <c r="D12" s="72">
        <v>0</v>
      </c>
      <c r="E12" s="72">
        <v>0</v>
      </c>
      <c r="F12" s="72">
        <v>0</v>
      </c>
      <c r="G12" s="72">
        <v>0</v>
      </c>
      <c r="H12" s="72">
        <v>0</v>
      </c>
      <c r="I12" s="72">
        <v>0</v>
      </c>
      <c r="J12" s="72">
        <v>180000</v>
      </c>
      <c r="K12" s="72">
        <v>0</v>
      </c>
      <c r="L12" s="72">
        <v>0</v>
      </c>
      <c r="M12" s="457">
        <v>0</v>
      </c>
      <c r="N12" s="72">
        <v>0</v>
      </c>
      <c r="O12" s="72">
        <v>0</v>
      </c>
      <c r="P12" s="72">
        <v>0</v>
      </c>
      <c r="Q12" s="72">
        <v>0</v>
      </c>
      <c r="R12" s="72">
        <v>0</v>
      </c>
      <c r="S12" s="70">
        <v>925000</v>
      </c>
      <c r="Y12" s="67" t="s">
        <v>79</v>
      </c>
      <c r="Z12" s="71">
        <f t="shared" si="4"/>
        <v>0.11405350812592539</v>
      </c>
    </row>
    <row r="13" spans="1:26" s="78" customFormat="1" ht="18.75" x14ac:dyDescent="0.3">
      <c r="A13" s="73" t="s">
        <v>80</v>
      </c>
      <c r="B13" s="74"/>
      <c r="C13" s="75">
        <f t="shared" si="3"/>
        <v>9688435</v>
      </c>
      <c r="D13" s="76">
        <f t="shared" ref="D13:H13" si="5">SUM(D6:D12)</f>
        <v>195495</v>
      </c>
      <c r="E13" s="76">
        <f t="shared" si="5"/>
        <v>194795</v>
      </c>
      <c r="F13" s="76">
        <f>F12+F11+F10+F9+F8+F7+F6</f>
        <v>829472</v>
      </c>
      <c r="G13" s="76">
        <f t="shared" si="5"/>
        <v>412798</v>
      </c>
      <c r="H13" s="76">
        <f t="shared" si="5"/>
        <v>891268</v>
      </c>
      <c r="I13" s="76">
        <f t="shared" ref="I13:S13" si="6">SUM(I6:I12)</f>
        <v>518377</v>
      </c>
      <c r="J13" s="76">
        <f t="shared" si="6"/>
        <v>1249416</v>
      </c>
      <c r="K13" s="76">
        <f t="shared" si="6"/>
        <v>642113</v>
      </c>
      <c r="L13" s="76">
        <f t="shared" si="6"/>
        <v>222489</v>
      </c>
      <c r="M13" s="76">
        <f t="shared" si="6"/>
        <v>215091</v>
      </c>
      <c r="N13" s="76">
        <f t="shared" si="6"/>
        <v>826963</v>
      </c>
      <c r="O13" s="76">
        <f t="shared" si="6"/>
        <v>213909</v>
      </c>
      <c r="P13" s="76">
        <f t="shared" si="6"/>
        <v>820174</v>
      </c>
      <c r="Q13" s="76">
        <f t="shared" si="6"/>
        <v>445302</v>
      </c>
      <c r="R13" s="76">
        <f t="shared" si="6"/>
        <v>762521</v>
      </c>
      <c r="S13" s="77">
        <f t="shared" si="6"/>
        <v>1248252</v>
      </c>
      <c r="Z13" s="79">
        <f>SUM(Z6:Z12)</f>
        <v>1</v>
      </c>
    </row>
    <row r="14" spans="1:26" ht="18.75" x14ac:dyDescent="0.3">
      <c r="A14" s="80" t="s">
        <v>81</v>
      </c>
      <c r="B14" s="81" t="str">
        <f>A14</f>
        <v>Sueldos</v>
      </c>
      <c r="C14" s="82">
        <f t="shared" si="3"/>
        <v>1893144</v>
      </c>
      <c r="D14" s="83">
        <v>86000</v>
      </c>
      <c r="E14" s="83">
        <v>86000</v>
      </c>
      <c r="F14" s="83">
        <v>86000</v>
      </c>
      <c r="G14" s="83">
        <v>87740</v>
      </c>
      <c r="H14" s="83">
        <v>89070</v>
      </c>
      <c r="I14" s="83">
        <v>89680</v>
      </c>
      <c r="J14" s="83">
        <v>90190</v>
      </c>
      <c r="K14" s="83">
        <v>90780</v>
      </c>
      <c r="L14" s="83">
        <f>144216-400</f>
        <v>143816</v>
      </c>
      <c r="M14" s="462">
        <v>147606</v>
      </c>
      <c r="N14" s="83">
        <v>147606</v>
      </c>
      <c r="O14" s="83">
        <v>147886</v>
      </c>
      <c r="P14" s="83">
        <f t="shared" ref="M14:S15" si="7">O14</f>
        <v>147886</v>
      </c>
      <c r="Q14" s="83">
        <v>148566</v>
      </c>
      <c r="R14" s="83">
        <v>150696</v>
      </c>
      <c r="S14" s="70">
        <v>153622</v>
      </c>
      <c r="Y14" s="717">
        <f>C13</f>
        <v>9688435</v>
      </c>
      <c r="Z14" s="718"/>
    </row>
    <row r="15" spans="1:26" x14ac:dyDescent="0.25">
      <c r="A15" s="80" t="s">
        <v>82</v>
      </c>
      <c r="B15" s="81" t="str">
        <f>A15</f>
        <v xml:space="preserve">Mantenimiento </v>
      </c>
      <c r="C15" s="82">
        <f t="shared" si="3"/>
        <v>606265</v>
      </c>
      <c r="D15" s="83">
        <v>35776</v>
      </c>
      <c r="E15" s="83">
        <v>35776</v>
      </c>
      <c r="F15" s="83">
        <v>35776</v>
      </c>
      <c r="G15" s="83">
        <v>35776</v>
      </c>
      <c r="H15" s="83">
        <v>35776</v>
      </c>
      <c r="I15" s="83">
        <v>35776</v>
      </c>
      <c r="J15" s="83">
        <v>35776</v>
      </c>
      <c r="K15" s="83">
        <v>39537</v>
      </c>
      <c r="L15" s="83">
        <f>K15</f>
        <v>39537</v>
      </c>
      <c r="M15" s="462">
        <f t="shared" si="7"/>
        <v>39537</v>
      </c>
      <c r="N15" s="83">
        <f t="shared" si="7"/>
        <v>39537</v>
      </c>
      <c r="O15" s="83">
        <f t="shared" si="7"/>
        <v>39537</v>
      </c>
      <c r="P15" s="83">
        <f t="shared" si="7"/>
        <v>39537</v>
      </c>
      <c r="Q15" s="83">
        <f t="shared" si="7"/>
        <v>39537</v>
      </c>
      <c r="R15" s="83">
        <f t="shared" si="7"/>
        <v>39537</v>
      </c>
      <c r="S15" s="70">
        <f t="shared" si="7"/>
        <v>39537</v>
      </c>
    </row>
    <row r="16" spans="1:26" ht="20.25" customHeight="1" x14ac:dyDescent="0.25">
      <c r="A16" s="80" t="s">
        <v>83</v>
      </c>
      <c r="B16" s="81" t="s">
        <v>84</v>
      </c>
      <c r="C16" s="82">
        <f t="shared" si="3"/>
        <v>374485</v>
      </c>
      <c r="D16" s="83">
        <v>0</v>
      </c>
      <c r="E16" s="83">
        <v>0</v>
      </c>
      <c r="F16" s="83">
        <v>0</v>
      </c>
      <c r="G16" s="83">
        <v>0</v>
      </c>
      <c r="H16" s="83">
        <v>374485</v>
      </c>
      <c r="I16" s="83">
        <v>0</v>
      </c>
      <c r="J16" s="83">
        <v>0</v>
      </c>
      <c r="K16" s="83">
        <v>0</v>
      </c>
      <c r="L16" s="83">
        <v>0</v>
      </c>
      <c r="M16" s="462">
        <v>0</v>
      </c>
      <c r="N16" s="83">
        <v>0</v>
      </c>
      <c r="O16" s="83">
        <v>0</v>
      </c>
      <c r="P16" s="83">
        <v>0</v>
      </c>
      <c r="Q16" s="83">
        <v>0</v>
      </c>
      <c r="R16" s="83">
        <v>0</v>
      </c>
      <c r="S16" s="70">
        <v>0</v>
      </c>
    </row>
    <row r="17" spans="1:26" x14ac:dyDescent="0.25">
      <c r="A17" s="80" t="s">
        <v>85</v>
      </c>
      <c r="B17" s="81" t="str">
        <f>A17</f>
        <v>Empleados</v>
      </c>
      <c r="C17" s="82">
        <f t="shared" si="3"/>
        <v>1044480</v>
      </c>
      <c r="D17" s="83">
        <v>65280</v>
      </c>
      <c r="E17" s="83">
        <v>65280</v>
      </c>
      <c r="F17" s="83">
        <v>65280</v>
      </c>
      <c r="G17" s="83">
        <v>65280</v>
      </c>
      <c r="H17" s="83">
        <v>65280</v>
      </c>
      <c r="I17" s="83">
        <v>65280</v>
      </c>
      <c r="J17" s="83">
        <v>65280</v>
      </c>
      <c r="K17" s="83">
        <v>65280</v>
      </c>
      <c r="L17" s="83">
        <v>65280</v>
      </c>
      <c r="M17" s="462">
        <v>65280</v>
      </c>
      <c r="N17" s="83">
        <v>65280</v>
      </c>
      <c r="O17" s="83">
        <v>65280</v>
      </c>
      <c r="P17" s="83">
        <v>65280</v>
      </c>
      <c r="Q17" s="83">
        <v>65280</v>
      </c>
      <c r="R17" s="83">
        <v>65280</v>
      </c>
      <c r="S17" s="70">
        <v>65280</v>
      </c>
    </row>
    <row r="18" spans="1:26" x14ac:dyDescent="0.25">
      <c r="A18" s="80" t="s">
        <v>86</v>
      </c>
      <c r="B18" s="81" t="str">
        <f>A18</f>
        <v>Juveniles</v>
      </c>
      <c r="C18" s="82">
        <f t="shared" si="3"/>
        <v>320000</v>
      </c>
      <c r="D18" s="83">
        <v>20000</v>
      </c>
      <c r="E18" s="83">
        <v>20000</v>
      </c>
      <c r="F18" s="83">
        <v>20000</v>
      </c>
      <c r="G18" s="83">
        <v>20000</v>
      </c>
      <c r="H18" s="83">
        <v>20000</v>
      </c>
      <c r="I18" s="83">
        <v>20000</v>
      </c>
      <c r="J18" s="83">
        <v>20000</v>
      </c>
      <c r="K18" s="83">
        <v>20000</v>
      </c>
      <c r="L18" s="83">
        <v>20000</v>
      </c>
      <c r="M18" s="462">
        <v>20000</v>
      </c>
      <c r="N18" s="83">
        <v>20000</v>
      </c>
      <c r="O18" s="83">
        <v>20000</v>
      </c>
      <c r="P18" s="83">
        <v>20000</v>
      </c>
      <c r="Q18" s="83">
        <v>20000</v>
      </c>
      <c r="R18" s="83">
        <v>20000</v>
      </c>
      <c r="S18" s="70">
        <v>20000</v>
      </c>
    </row>
    <row r="19" spans="1:26" x14ac:dyDescent="0.25">
      <c r="A19" s="80" t="s">
        <v>87</v>
      </c>
      <c r="B19" s="81" t="s">
        <v>88</v>
      </c>
      <c r="C19" s="82">
        <f t="shared" si="3"/>
        <v>11716116</v>
      </c>
      <c r="D19" s="83">
        <v>0</v>
      </c>
      <c r="E19" s="83">
        <v>0</v>
      </c>
      <c r="F19" s="83">
        <v>0</v>
      </c>
      <c r="G19" s="83">
        <v>0</v>
      </c>
      <c r="H19" s="83">
        <v>0</v>
      </c>
      <c r="I19" s="83">
        <v>0</v>
      </c>
      <c r="J19" s="83">
        <v>0</v>
      </c>
      <c r="K19" s="83">
        <v>11716116</v>
      </c>
      <c r="L19" s="83">
        <v>0</v>
      </c>
      <c r="M19" s="462">
        <v>0</v>
      </c>
      <c r="N19" s="83">
        <v>0</v>
      </c>
      <c r="O19" s="83">
        <v>0</v>
      </c>
      <c r="P19" s="83">
        <v>0</v>
      </c>
      <c r="Q19" s="83">
        <v>0</v>
      </c>
      <c r="R19" s="83">
        <v>0</v>
      </c>
      <c r="S19" s="70">
        <v>0</v>
      </c>
    </row>
    <row r="20" spans="1:26" x14ac:dyDescent="0.25">
      <c r="A20" s="84" t="s">
        <v>77</v>
      </c>
      <c r="B20" s="81" t="s">
        <v>67</v>
      </c>
      <c r="C20" s="82">
        <f t="shared" si="3"/>
        <v>0</v>
      </c>
      <c r="D20" s="83">
        <v>0</v>
      </c>
      <c r="E20" s="83">
        <v>0</v>
      </c>
      <c r="F20" s="83">
        <v>0</v>
      </c>
      <c r="G20" s="83">
        <v>0</v>
      </c>
      <c r="H20" s="83">
        <v>0</v>
      </c>
      <c r="I20" s="83">
        <v>0</v>
      </c>
      <c r="J20" s="83">
        <v>0</v>
      </c>
      <c r="K20" s="83">
        <v>0</v>
      </c>
      <c r="L20" s="83">
        <v>0</v>
      </c>
      <c r="M20" s="462">
        <v>0</v>
      </c>
      <c r="N20" s="83">
        <v>0</v>
      </c>
      <c r="O20" s="83">
        <v>0</v>
      </c>
      <c r="P20" s="83">
        <v>0</v>
      </c>
      <c r="Q20" s="83">
        <v>0</v>
      </c>
      <c r="R20" s="83">
        <v>0</v>
      </c>
      <c r="S20" s="70">
        <v>0</v>
      </c>
    </row>
    <row r="21" spans="1:26" x14ac:dyDescent="0.25">
      <c r="A21" s="84"/>
      <c r="B21" s="81" t="s">
        <v>89</v>
      </c>
      <c r="C21" s="82">
        <f t="shared" si="3"/>
        <v>78000</v>
      </c>
      <c r="D21" s="83">
        <v>3000</v>
      </c>
      <c r="E21" s="83">
        <v>0</v>
      </c>
      <c r="F21" s="83">
        <v>0</v>
      </c>
      <c r="G21" s="83">
        <v>0</v>
      </c>
      <c r="H21" s="83">
        <v>3000</v>
      </c>
      <c r="I21" s="83">
        <v>2000</v>
      </c>
      <c r="J21" s="83">
        <v>1000</v>
      </c>
      <c r="K21" s="83">
        <v>3000</v>
      </c>
      <c r="L21" s="83">
        <v>6000</v>
      </c>
      <c r="M21" s="462">
        <v>9000</v>
      </c>
      <c r="N21" s="83">
        <v>9000</v>
      </c>
      <c r="O21" s="83">
        <v>6000</v>
      </c>
      <c r="P21" s="83">
        <v>3000</v>
      </c>
      <c r="Q21" s="83">
        <v>9000</v>
      </c>
      <c r="R21" s="83">
        <v>12000</v>
      </c>
      <c r="S21" s="70">
        <v>12000</v>
      </c>
    </row>
    <row r="22" spans="1:26" x14ac:dyDescent="0.25">
      <c r="A22" s="80" t="s">
        <v>90</v>
      </c>
      <c r="B22" s="81" t="str">
        <f>A22</f>
        <v>Intereses</v>
      </c>
      <c r="C22" s="82">
        <f t="shared" si="3"/>
        <v>0</v>
      </c>
      <c r="D22" s="83">
        <v>0</v>
      </c>
      <c r="E22" s="83">
        <v>0</v>
      </c>
      <c r="F22" s="83">
        <v>0</v>
      </c>
      <c r="G22" s="83">
        <v>0</v>
      </c>
      <c r="H22" s="83">
        <v>0</v>
      </c>
      <c r="I22" s="83">
        <v>0</v>
      </c>
      <c r="J22" s="83">
        <v>0</v>
      </c>
      <c r="K22" s="83">
        <v>0</v>
      </c>
      <c r="L22" s="83">
        <v>0</v>
      </c>
      <c r="M22" s="462">
        <v>0</v>
      </c>
      <c r="N22" s="83">
        <v>0</v>
      </c>
      <c r="O22" s="83">
        <v>0</v>
      </c>
      <c r="P22" s="83">
        <v>0</v>
      </c>
      <c r="Q22" s="83">
        <v>0</v>
      </c>
      <c r="R22" s="83">
        <v>0</v>
      </c>
      <c r="S22" s="70">
        <v>0</v>
      </c>
    </row>
    <row r="23" spans="1:26" s="90" customFormat="1" ht="18.75" x14ac:dyDescent="0.3">
      <c r="A23" s="85" t="s">
        <v>91</v>
      </c>
      <c r="B23" s="86"/>
      <c r="C23" s="87">
        <f t="shared" si="3"/>
        <v>16032490</v>
      </c>
      <c r="D23" s="88">
        <f t="shared" ref="D23:S23" si="8">SUM(D14:D22)</f>
        <v>210056</v>
      </c>
      <c r="E23" s="88">
        <f t="shared" si="8"/>
        <v>207056</v>
      </c>
      <c r="F23" s="88">
        <f t="shared" si="8"/>
        <v>207056</v>
      </c>
      <c r="G23" s="88">
        <f t="shared" si="8"/>
        <v>208796</v>
      </c>
      <c r="H23" s="88">
        <f t="shared" si="8"/>
        <v>587611</v>
      </c>
      <c r="I23" s="88">
        <f t="shared" si="8"/>
        <v>212736</v>
      </c>
      <c r="J23" s="88">
        <f t="shared" si="8"/>
        <v>212246</v>
      </c>
      <c r="K23" s="88">
        <f t="shared" si="8"/>
        <v>11934713</v>
      </c>
      <c r="L23" s="88">
        <f t="shared" si="8"/>
        <v>274633</v>
      </c>
      <c r="M23" s="88">
        <f t="shared" si="8"/>
        <v>281423</v>
      </c>
      <c r="N23" s="88">
        <f t="shared" si="8"/>
        <v>281423</v>
      </c>
      <c r="O23" s="88">
        <f t="shared" si="8"/>
        <v>278703</v>
      </c>
      <c r="P23" s="88">
        <f t="shared" si="8"/>
        <v>275703</v>
      </c>
      <c r="Q23" s="88">
        <f t="shared" si="8"/>
        <v>282383</v>
      </c>
      <c r="R23" s="88">
        <f t="shared" si="8"/>
        <v>287513</v>
      </c>
      <c r="S23" s="89">
        <f t="shared" si="8"/>
        <v>290439</v>
      </c>
      <c r="Y23" s="81" t="s">
        <v>81</v>
      </c>
      <c r="Z23" s="91">
        <f>C14/$C$23</f>
        <v>0.11808172030670221</v>
      </c>
    </row>
    <row r="24" spans="1:26" s="66" customFormat="1" ht="18.75" x14ac:dyDescent="0.3">
      <c r="A24" s="92" t="s">
        <v>92</v>
      </c>
      <c r="B24" s="92"/>
      <c r="C24" s="64">
        <f>C5+C13-C23</f>
        <v>3042401.0147551969</v>
      </c>
      <c r="D24" s="64">
        <f t="shared" ref="D24:S24" si="9">D5+D13-D23</f>
        <v>9371895.0147551969</v>
      </c>
      <c r="E24" s="64">
        <f t="shared" si="9"/>
        <v>9359634.0147551969</v>
      </c>
      <c r="F24" s="64">
        <f t="shared" si="9"/>
        <v>9982050.0147551969</v>
      </c>
      <c r="G24" s="64">
        <f t="shared" si="9"/>
        <v>10186052.014755197</v>
      </c>
      <c r="H24" s="64">
        <f t="shared" si="9"/>
        <v>10489709.014755197</v>
      </c>
      <c r="I24" s="64">
        <f t="shared" si="9"/>
        <v>10795350.014755197</v>
      </c>
      <c r="J24" s="64">
        <f t="shared" si="9"/>
        <v>11832520.014755197</v>
      </c>
      <c r="K24" s="64">
        <f t="shared" si="9"/>
        <v>539920.01475519687</v>
      </c>
      <c r="L24" s="64">
        <f t="shared" si="9"/>
        <v>487776.01475519687</v>
      </c>
      <c r="M24" s="64">
        <f t="shared" si="9"/>
        <v>421444.01475519687</v>
      </c>
      <c r="N24" s="64">
        <f t="shared" si="9"/>
        <v>966984.01475519687</v>
      </c>
      <c r="O24" s="64">
        <f t="shared" si="9"/>
        <v>902190.01475519687</v>
      </c>
      <c r="P24" s="64">
        <f t="shared" si="9"/>
        <v>1446661.0147551969</v>
      </c>
      <c r="Q24" s="64">
        <f t="shared" si="9"/>
        <v>1609580.0147551969</v>
      </c>
      <c r="R24" s="64">
        <f t="shared" si="9"/>
        <v>2084588.0147551969</v>
      </c>
      <c r="S24" s="65">
        <f t="shared" si="9"/>
        <v>3042401.0147551969</v>
      </c>
      <c r="Y24" s="81" t="s">
        <v>82</v>
      </c>
      <c r="Z24" s="91">
        <f t="shared" ref="Z24:Z31" si="10">C15/$C$23</f>
        <v>3.7814774872773974E-2</v>
      </c>
    </row>
    <row r="25" spans="1:26" s="53" customFormat="1" x14ac:dyDescent="0.25">
      <c r="A25" s="93"/>
      <c r="B25" s="93"/>
      <c r="C25" s="93"/>
      <c r="D25" s="94">
        <f>D2+7</f>
        <v>42419</v>
      </c>
      <c r="E25" s="94">
        <f t="shared" ref="E25:S25" si="11">D25+7</f>
        <v>42426</v>
      </c>
      <c r="F25" s="94">
        <f t="shared" si="11"/>
        <v>42433</v>
      </c>
      <c r="G25" s="94">
        <f t="shared" si="11"/>
        <v>42440</v>
      </c>
      <c r="H25" s="94">
        <f t="shared" si="11"/>
        <v>42447</v>
      </c>
      <c r="I25" s="94">
        <f t="shared" si="11"/>
        <v>42454</v>
      </c>
      <c r="J25" s="94">
        <f t="shared" si="11"/>
        <v>42461</v>
      </c>
      <c r="K25" s="94">
        <f t="shared" si="11"/>
        <v>42468</v>
      </c>
      <c r="L25" s="94">
        <f t="shared" si="11"/>
        <v>42475</v>
      </c>
      <c r="M25" s="94">
        <f t="shared" si="11"/>
        <v>42482</v>
      </c>
      <c r="N25" s="94">
        <f t="shared" si="11"/>
        <v>42489</v>
      </c>
      <c r="O25" s="94">
        <f t="shared" si="11"/>
        <v>42496</v>
      </c>
      <c r="P25" s="94">
        <f t="shared" si="11"/>
        <v>42503</v>
      </c>
      <c r="Q25" s="94">
        <f t="shared" si="11"/>
        <v>42510</v>
      </c>
      <c r="R25" s="94">
        <f t="shared" si="11"/>
        <v>42517</v>
      </c>
      <c r="S25" s="94">
        <f t="shared" si="11"/>
        <v>42524</v>
      </c>
      <c r="Y25" s="81" t="s">
        <v>84</v>
      </c>
      <c r="Z25" s="91">
        <f t="shared" si="10"/>
        <v>2.3357881402077906E-2</v>
      </c>
    </row>
    <row r="26" spans="1:26" s="53" customFormat="1" x14ac:dyDescent="0.25">
      <c r="A26" s="719" t="s">
        <v>93</v>
      </c>
      <c r="B26" s="719"/>
      <c r="C26" s="96">
        <f>C6+C7+C11</f>
        <v>8190322</v>
      </c>
      <c r="D26" s="96">
        <f t="shared" ref="D26:S26" si="12">D6+D7+D11</f>
        <v>169175</v>
      </c>
      <c r="E26" s="96">
        <f t="shared" si="12"/>
        <v>194795</v>
      </c>
      <c r="F26" s="96">
        <f t="shared" si="12"/>
        <v>829452</v>
      </c>
      <c r="G26" s="96">
        <f t="shared" si="12"/>
        <v>360635</v>
      </c>
      <c r="H26" s="96">
        <f t="shared" si="12"/>
        <v>888234</v>
      </c>
      <c r="I26" s="96">
        <f t="shared" si="12"/>
        <v>518377</v>
      </c>
      <c r="J26" s="96">
        <f t="shared" si="12"/>
        <v>1069416</v>
      </c>
      <c r="K26" s="96">
        <f t="shared" si="12"/>
        <v>574283</v>
      </c>
      <c r="L26" s="96">
        <f t="shared" si="12"/>
        <v>210138</v>
      </c>
      <c r="M26" s="96">
        <f t="shared" si="12"/>
        <v>215091</v>
      </c>
      <c r="N26" s="96">
        <f t="shared" si="12"/>
        <v>826963</v>
      </c>
      <c r="O26" s="96">
        <f t="shared" si="12"/>
        <v>213909</v>
      </c>
      <c r="P26" s="96">
        <f t="shared" si="12"/>
        <v>820174</v>
      </c>
      <c r="Q26" s="96">
        <f t="shared" si="12"/>
        <v>213907</v>
      </c>
      <c r="R26" s="96">
        <f>R6+R7+R11</f>
        <v>762521</v>
      </c>
      <c r="S26" s="96">
        <f t="shared" si="12"/>
        <v>323252</v>
      </c>
      <c r="T26" s="97"/>
      <c r="Y26" s="81" t="s">
        <v>85</v>
      </c>
      <c r="Z26" s="91">
        <f t="shared" si="10"/>
        <v>6.5147709432533563E-2</v>
      </c>
    </row>
    <row r="27" spans="1:26" s="53" customFormat="1" x14ac:dyDescent="0.25">
      <c r="A27" s="710" t="s">
        <v>94</v>
      </c>
      <c r="B27" s="710"/>
      <c r="C27" s="98">
        <f>C14+C15+C17+C18+C21</f>
        <v>3941889</v>
      </c>
      <c r="D27" s="98">
        <f t="shared" ref="D27:S27" si="13">D14+D15+D17+D18+D21</f>
        <v>210056</v>
      </c>
      <c r="E27" s="98">
        <f t="shared" si="13"/>
        <v>207056</v>
      </c>
      <c r="F27" s="98">
        <f t="shared" si="13"/>
        <v>207056</v>
      </c>
      <c r="G27" s="98">
        <f t="shared" si="13"/>
        <v>208796</v>
      </c>
      <c r="H27" s="98">
        <f t="shared" si="13"/>
        <v>213126</v>
      </c>
      <c r="I27" s="98">
        <f t="shared" si="13"/>
        <v>212736</v>
      </c>
      <c r="J27" s="98">
        <f t="shared" si="13"/>
        <v>212246</v>
      </c>
      <c r="K27" s="98">
        <f t="shared" si="13"/>
        <v>218597</v>
      </c>
      <c r="L27" s="98">
        <f t="shared" si="13"/>
        <v>274633</v>
      </c>
      <c r="M27" s="98">
        <f t="shared" si="13"/>
        <v>281423</v>
      </c>
      <c r="N27" s="98">
        <f t="shared" si="13"/>
        <v>281423</v>
      </c>
      <c r="O27" s="98">
        <f t="shared" si="13"/>
        <v>278703</v>
      </c>
      <c r="P27" s="98">
        <f t="shared" si="13"/>
        <v>275703</v>
      </c>
      <c r="Q27" s="98">
        <f t="shared" si="13"/>
        <v>282383</v>
      </c>
      <c r="R27" s="98">
        <f>R14+R15+R17+R18+R21</f>
        <v>287513</v>
      </c>
      <c r="S27" s="98">
        <f t="shared" si="13"/>
        <v>290439</v>
      </c>
      <c r="T27" s="99"/>
      <c r="Y27" s="81" t="s">
        <v>86</v>
      </c>
      <c r="Z27" s="91">
        <f t="shared" si="10"/>
        <v>1.9959469801634058E-2</v>
      </c>
    </row>
    <row r="28" spans="1:26" x14ac:dyDescent="0.25">
      <c r="A28" s="711" t="s">
        <v>95</v>
      </c>
      <c r="B28" s="711"/>
      <c r="C28" s="100">
        <f>C26-C27</f>
        <v>4248433</v>
      </c>
      <c r="D28" s="100">
        <f t="shared" ref="D28:S28" si="14">D26-D27</f>
        <v>-40881</v>
      </c>
      <c r="E28" s="100">
        <f t="shared" si="14"/>
        <v>-12261</v>
      </c>
      <c r="F28" s="100">
        <f t="shared" si="14"/>
        <v>622396</v>
      </c>
      <c r="G28" s="100">
        <f t="shared" si="14"/>
        <v>151839</v>
      </c>
      <c r="H28" s="100">
        <f t="shared" si="14"/>
        <v>675108</v>
      </c>
      <c r="I28" s="100">
        <f t="shared" si="14"/>
        <v>305641</v>
      </c>
      <c r="J28" s="100">
        <f t="shared" si="14"/>
        <v>857170</v>
      </c>
      <c r="K28" s="100">
        <f t="shared" si="14"/>
        <v>355686</v>
      </c>
      <c r="L28" s="100">
        <f t="shared" si="14"/>
        <v>-64495</v>
      </c>
      <c r="M28" s="100">
        <f t="shared" si="14"/>
        <v>-66332</v>
      </c>
      <c r="N28" s="100">
        <f t="shared" si="14"/>
        <v>545540</v>
      </c>
      <c r="O28" s="100">
        <f t="shared" si="14"/>
        <v>-64794</v>
      </c>
      <c r="P28" s="100">
        <f t="shared" si="14"/>
        <v>544471</v>
      </c>
      <c r="Q28" s="100">
        <f t="shared" si="14"/>
        <v>-68476</v>
      </c>
      <c r="R28" s="100">
        <f>R26-R27</f>
        <v>475008</v>
      </c>
      <c r="S28" s="100">
        <f t="shared" si="14"/>
        <v>32813</v>
      </c>
      <c r="T28" s="101"/>
      <c r="Y28" s="81" t="s">
        <v>88</v>
      </c>
      <c r="Z28" s="91">
        <f t="shared" si="10"/>
        <v>0.73077332342013002</v>
      </c>
    </row>
    <row r="29" spans="1:26" x14ac:dyDescent="0.25">
      <c r="A29" s="719" t="s">
        <v>96</v>
      </c>
      <c r="B29" s="719"/>
      <c r="C29" s="96">
        <f>C8+C9+C10+C12</f>
        <v>1498113</v>
      </c>
      <c r="D29" s="96">
        <f t="shared" ref="D29:S29" si="15">D8+D9+D10+D12</f>
        <v>26320</v>
      </c>
      <c r="E29" s="96">
        <f t="shared" si="15"/>
        <v>0</v>
      </c>
      <c r="F29" s="96">
        <f t="shared" si="15"/>
        <v>20</v>
      </c>
      <c r="G29" s="96">
        <f t="shared" si="15"/>
        <v>52163</v>
      </c>
      <c r="H29" s="96">
        <f t="shared" si="15"/>
        <v>3034</v>
      </c>
      <c r="I29" s="96">
        <f t="shared" si="15"/>
        <v>0</v>
      </c>
      <c r="J29" s="96">
        <f t="shared" si="15"/>
        <v>180000</v>
      </c>
      <c r="K29" s="96">
        <f t="shared" si="15"/>
        <v>67830</v>
      </c>
      <c r="L29" s="96">
        <f t="shared" si="15"/>
        <v>12351</v>
      </c>
      <c r="M29" s="96">
        <f t="shared" si="15"/>
        <v>0</v>
      </c>
      <c r="N29" s="96">
        <f t="shared" si="15"/>
        <v>0</v>
      </c>
      <c r="O29" s="96">
        <f t="shared" si="15"/>
        <v>0</v>
      </c>
      <c r="P29" s="96">
        <f t="shared" si="15"/>
        <v>0</v>
      </c>
      <c r="Q29" s="96">
        <f t="shared" si="15"/>
        <v>231395</v>
      </c>
      <c r="R29" s="96">
        <f>R8+R9+R10+R12</f>
        <v>0</v>
      </c>
      <c r="S29" s="96">
        <f t="shared" si="15"/>
        <v>925000</v>
      </c>
      <c r="T29" s="101"/>
      <c r="Y29" s="81" t="s">
        <v>67</v>
      </c>
      <c r="Z29" s="91">
        <f t="shared" si="10"/>
        <v>0</v>
      </c>
    </row>
    <row r="30" spans="1:26" s="59" customFormat="1" x14ac:dyDescent="0.25">
      <c r="A30" s="710" t="s">
        <v>97</v>
      </c>
      <c r="B30" s="710"/>
      <c r="C30" s="98">
        <f>C16+C19+C20+C22</f>
        <v>12090601</v>
      </c>
      <c r="D30" s="98">
        <f t="shared" ref="D30:S30" si="16">D16+D19+D20+D22</f>
        <v>0</v>
      </c>
      <c r="E30" s="98">
        <f t="shared" si="16"/>
        <v>0</v>
      </c>
      <c r="F30" s="98">
        <f t="shared" si="16"/>
        <v>0</v>
      </c>
      <c r="G30" s="98">
        <f t="shared" si="16"/>
        <v>0</v>
      </c>
      <c r="H30" s="98">
        <f t="shared" si="16"/>
        <v>374485</v>
      </c>
      <c r="I30" s="98">
        <f t="shared" si="16"/>
        <v>0</v>
      </c>
      <c r="J30" s="98">
        <f t="shared" si="16"/>
        <v>0</v>
      </c>
      <c r="K30" s="98">
        <f t="shared" si="16"/>
        <v>11716116</v>
      </c>
      <c r="L30" s="98">
        <f t="shared" si="16"/>
        <v>0</v>
      </c>
      <c r="M30" s="98">
        <f t="shared" si="16"/>
        <v>0</v>
      </c>
      <c r="N30" s="98">
        <f t="shared" si="16"/>
        <v>0</v>
      </c>
      <c r="O30" s="98">
        <f t="shared" si="16"/>
        <v>0</v>
      </c>
      <c r="P30" s="98">
        <f t="shared" si="16"/>
        <v>0</v>
      </c>
      <c r="Q30" s="98">
        <f t="shared" si="16"/>
        <v>0</v>
      </c>
      <c r="R30" s="98">
        <f>R16+R19+R20+R22</f>
        <v>0</v>
      </c>
      <c r="S30" s="98">
        <f t="shared" si="16"/>
        <v>0</v>
      </c>
      <c r="Y30" s="81" t="s">
        <v>89</v>
      </c>
      <c r="Z30" s="91">
        <f t="shared" si="10"/>
        <v>4.8651207641483016E-3</v>
      </c>
    </row>
    <row r="31" spans="1:26" s="59" customFormat="1" x14ac:dyDescent="0.25">
      <c r="A31" s="711" t="s">
        <v>98</v>
      </c>
      <c r="B31" s="711"/>
      <c r="C31" s="100">
        <f>C29-C30</f>
        <v>-10592488</v>
      </c>
      <c r="D31" s="100">
        <f t="shared" ref="D31:S31" si="17">D29-D30</f>
        <v>26320</v>
      </c>
      <c r="E31" s="100">
        <f t="shared" si="17"/>
        <v>0</v>
      </c>
      <c r="F31" s="100">
        <f t="shared" si="17"/>
        <v>20</v>
      </c>
      <c r="G31" s="100">
        <f t="shared" si="17"/>
        <v>52163</v>
      </c>
      <c r="H31" s="100">
        <f t="shared" si="17"/>
        <v>-371451</v>
      </c>
      <c r="I31" s="100">
        <f t="shared" si="17"/>
        <v>0</v>
      </c>
      <c r="J31" s="100">
        <f t="shared" si="17"/>
        <v>180000</v>
      </c>
      <c r="K31" s="100">
        <f t="shared" si="17"/>
        <v>-11648286</v>
      </c>
      <c r="L31" s="100">
        <f t="shared" si="17"/>
        <v>12351</v>
      </c>
      <c r="M31" s="100">
        <f t="shared" si="17"/>
        <v>0</v>
      </c>
      <c r="N31" s="100">
        <f t="shared" si="17"/>
        <v>0</v>
      </c>
      <c r="O31" s="100">
        <f t="shared" si="17"/>
        <v>0</v>
      </c>
      <c r="P31" s="100">
        <f t="shared" si="17"/>
        <v>0</v>
      </c>
      <c r="Q31" s="100">
        <f t="shared" si="17"/>
        <v>231395</v>
      </c>
      <c r="R31" s="100">
        <f>R29-R30</f>
        <v>0</v>
      </c>
      <c r="S31" s="100">
        <f t="shared" si="17"/>
        <v>925000</v>
      </c>
      <c r="Y31" s="81" t="s">
        <v>90</v>
      </c>
      <c r="Z31" s="91">
        <f t="shared" si="10"/>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21</v>
      </c>
      <c r="E33" s="174">
        <v>21</v>
      </c>
      <c r="F33" s="174">
        <v>21</v>
      </c>
      <c r="G33" s="174"/>
      <c r="H33" s="174">
        <v>21</v>
      </c>
      <c r="I33" s="174"/>
      <c r="J33" s="174">
        <v>22</v>
      </c>
      <c r="K33" s="174">
        <v>22</v>
      </c>
      <c r="L33" s="174">
        <v>22</v>
      </c>
      <c r="M33" s="174"/>
      <c r="N33" s="174"/>
      <c r="O33" s="174">
        <v>21</v>
      </c>
      <c r="P33" s="174">
        <v>21</v>
      </c>
      <c r="Q33" s="174"/>
      <c r="R33" s="174">
        <v>21</v>
      </c>
      <c r="S33" s="174">
        <v>21</v>
      </c>
      <c r="Z33" s="369"/>
    </row>
    <row r="34" spans="1:26" s="59" customFormat="1" ht="18.75" x14ac:dyDescent="0.3">
      <c r="A34" s="57"/>
      <c r="B34" s="720" t="s">
        <v>437</v>
      </c>
      <c r="C34" s="173" t="s">
        <v>181</v>
      </c>
      <c r="D34" s="174">
        <v>822630</v>
      </c>
      <c r="E34" s="174">
        <v>857970</v>
      </c>
      <c r="F34" s="174">
        <v>858890</v>
      </c>
      <c r="G34" s="174"/>
      <c r="H34" s="174">
        <v>924780</v>
      </c>
      <c r="I34" s="174"/>
      <c r="J34" s="174">
        <v>945480</v>
      </c>
      <c r="K34" s="174">
        <v>942560</v>
      </c>
      <c r="L34" s="174">
        <v>1056530</v>
      </c>
      <c r="M34" s="174"/>
      <c r="N34" s="174"/>
      <c r="O34" s="174">
        <v>1100960</v>
      </c>
      <c r="P34" s="174">
        <v>1132050</v>
      </c>
      <c r="Q34" s="174"/>
      <c r="R34" s="174">
        <v>1149100</v>
      </c>
      <c r="S34" s="174">
        <v>1165160</v>
      </c>
      <c r="Y34" s="712">
        <f>C23</f>
        <v>16032490</v>
      </c>
      <c r="Z34" s="713"/>
    </row>
    <row r="35" spans="1:26" x14ac:dyDescent="0.25">
      <c r="A35" s="57"/>
      <c r="B35" s="720"/>
      <c r="C35" s="173" t="s">
        <v>104</v>
      </c>
      <c r="D35" s="174">
        <v>85970</v>
      </c>
      <c r="E35" s="174">
        <v>85700</v>
      </c>
      <c r="F35" s="174">
        <v>85700</v>
      </c>
      <c r="G35" s="174"/>
      <c r="H35" s="174">
        <v>88740</v>
      </c>
      <c r="I35" s="174"/>
      <c r="J35" s="174">
        <v>89890</v>
      </c>
      <c r="K35" s="174">
        <v>90810</v>
      </c>
      <c r="L35" s="174">
        <v>145806</v>
      </c>
      <c r="M35" s="174"/>
      <c r="N35" s="174"/>
      <c r="O35" s="174">
        <v>147586</v>
      </c>
      <c r="P35" s="174">
        <v>148266</v>
      </c>
      <c r="Q35" s="174"/>
      <c r="R35" s="174">
        <v>150396</v>
      </c>
      <c r="S35" s="174">
        <v>153322</v>
      </c>
    </row>
    <row r="36" spans="1:26" x14ac:dyDescent="0.25">
      <c r="A36" s="57"/>
      <c r="B36" s="720"/>
      <c r="C36" s="173" t="s">
        <v>663</v>
      </c>
      <c r="D36" s="174">
        <v>722970</v>
      </c>
      <c r="E36" s="174">
        <v>754480</v>
      </c>
      <c r="F36" s="174">
        <v>754760</v>
      </c>
      <c r="G36" s="174"/>
      <c r="H36" s="174">
        <v>818520</v>
      </c>
      <c r="I36" s="174"/>
      <c r="J36" s="174">
        <v>836020</v>
      </c>
      <c r="K36" s="174">
        <v>836190</v>
      </c>
      <c r="L36" s="174">
        <v>935210</v>
      </c>
      <c r="M36" s="174"/>
      <c r="N36" s="174"/>
      <c r="O36" s="174">
        <v>970750</v>
      </c>
      <c r="P36" s="174">
        <v>1001650</v>
      </c>
      <c r="Q36" s="174"/>
      <c r="R36" s="174">
        <v>1014120</v>
      </c>
      <c r="S36" s="174">
        <v>1026070</v>
      </c>
    </row>
    <row r="37" spans="1:26" x14ac:dyDescent="0.25">
      <c r="A37" s="57"/>
      <c r="B37" s="720"/>
      <c r="C37" s="173" t="s">
        <v>664</v>
      </c>
      <c r="D37" s="174">
        <v>72350</v>
      </c>
      <c r="E37" s="174">
        <v>67710</v>
      </c>
      <c r="F37" s="174">
        <v>67710</v>
      </c>
      <c r="G37" s="174"/>
      <c r="H37" s="174">
        <v>70730</v>
      </c>
      <c r="I37" s="174"/>
      <c r="J37" s="174">
        <v>71370</v>
      </c>
      <c r="K37" s="174">
        <v>71370</v>
      </c>
      <c r="L37" s="174">
        <v>125136</v>
      </c>
      <c r="M37" s="174"/>
      <c r="N37" s="174"/>
      <c r="O37" s="174">
        <v>126776</v>
      </c>
      <c r="P37" s="174">
        <v>126776</v>
      </c>
      <c r="Q37" s="174"/>
      <c r="R37" s="174">
        <v>129076</v>
      </c>
      <c r="S37" s="174">
        <v>132232</v>
      </c>
    </row>
    <row r="38" spans="1:26" x14ac:dyDescent="0.25">
      <c r="A38" s="57"/>
      <c r="B38" s="720"/>
      <c r="C38" s="173" t="s">
        <v>665</v>
      </c>
      <c r="D38" s="175" t="s">
        <v>773</v>
      </c>
      <c r="E38" s="175" t="s">
        <v>774</v>
      </c>
      <c r="F38" s="175" t="s">
        <v>775</v>
      </c>
      <c r="G38" s="175"/>
      <c r="H38" s="175" t="s">
        <v>776</v>
      </c>
      <c r="I38" s="175"/>
      <c r="J38" s="175" t="s">
        <v>779</v>
      </c>
      <c r="K38" s="175" t="s">
        <v>781</v>
      </c>
      <c r="L38" s="175" t="s">
        <v>784</v>
      </c>
      <c r="M38" s="175"/>
      <c r="N38" s="175"/>
      <c r="O38" s="175" t="s">
        <v>788</v>
      </c>
      <c r="P38" s="175" t="s">
        <v>789</v>
      </c>
      <c r="Q38" s="175"/>
      <c r="R38" s="175" t="s">
        <v>790</v>
      </c>
      <c r="S38" s="175" t="s">
        <v>792</v>
      </c>
    </row>
    <row r="39" spans="1:26" x14ac:dyDescent="0.25">
      <c r="A39" s="57"/>
      <c r="B39" s="720"/>
      <c r="C39" s="173" t="s">
        <v>666</v>
      </c>
      <c r="D39" s="176">
        <v>7</v>
      </c>
      <c r="E39" s="176">
        <v>7</v>
      </c>
      <c r="F39" s="176">
        <v>7</v>
      </c>
      <c r="G39" s="176"/>
      <c r="H39" s="176">
        <v>7</v>
      </c>
      <c r="I39" s="176"/>
      <c r="J39" s="176">
        <v>7</v>
      </c>
      <c r="K39" s="176">
        <v>7</v>
      </c>
      <c r="L39" s="176">
        <v>7</v>
      </c>
      <c r="M39" s="176"/>
      <c r="N39" s="176"/>
      <c r="O39" s="176">
        <v>7</v>
      </c>
      <c r="P39" s="176">
        <v>7</v>
      </c>
      <c r="Q39" s="176"/>
      <c r="R39" s="176">
        <v>7</v>
      </c>
      <c r="S39" s="176">
        <v>7</v>
      </c>
    </row>
    <row r="40" spans="1:26" x14ac:dyDescent="0.25">
      <c r="B40" s="720"/>
      <c r="C40" s="173" t="s">
        <v>667</v>
      </c>
      <c r="D40" s="176">
        <v>6</v>
      </c>
      <c r="E40" s="176">
        <v>6</v>
      </c>
      <c r="F40" s="176">
        <v>6</v>
      </c>
      <c r="G40" s="176"/>
      <c r="H40" s="176">
        <v>6.5</v>
      </c>
      <c r="I40" s="176"/>
      <c r="J40" s="176">
        <v>6.75</v>
      </c>
      <c r="K40" s="176">
        <v>6.5</v>
      </c>
      <c r="L40" s="176">
        <v>6.5</v>
      </c>
      <c r="M40" s="176"/>
      <c r="N40" s="176"/>
      <c r="O40" s="176">
        <v>6.5</v>
      </c>
      <c r="P40" s="176">
        <v>6.75</v>
      </c>
      <c r="Q40" s="176"/>
      <c r="R40" s="176">
        <v>6.25</v>
      </c>
      <c r="S40" s="176">
        <v>6.25</v>
      </c>
    </row>
    <row r="41" spans="1:26" x14ac:dyDescent="0.25">
      <c r="B41" s="720"/>
      <c r="C41" s="173" t="s">
        <v>668</v>
      </c>
      <c r="D41" s="176">
        <v>5.25</v>
      </c>
      <c r="E41" s="176">
        <v>5</v>
      </c>
      <c r="F41" s="176">
        <v>5</v>
      </c>
      <c r="G41" s="176"/>
      <c r="H41" s="176">
        <v>5.25</v>
      </c>
      <c r="I41" s="176"/>
      <c r="J41" s="176">
        <v>5.5</v>
      </c>
      <c r="K41" s="176">
        <v>5.5</v>
      </c>
      <c r="L41" s="176">
        <v>6.5</v>
      </c>
      <c r="M41" s="176"/>
      <c r="N41" s="176"/>
      <c r="O41" s="176">
        <v>6.5</v>
      </c>
      <c r="P41" s="176">
        <v>6.5</v>
      </c>
      <c r="Q41" s="176"/>
      <c r="R41" s="176">
        <v>6.75</v>
      </c>
      <c r="S41" s="176">
        <v>6.75</v>
      </c>
    </row>
    <row r="42" spans="1:26" ht="15" customHeight="1" x14ac:dyDescent="0.25">
      <c r="C42" s="164" t="s">
        <v>438</v>
      </c>
      <c r="D42" s="288">
        <f>D34/D35</f>
        <v>9.5688030708386638</v>
      </c>
      <c r="E42" s="288">
        <f>E34/E35</f>
        <v>10.011318553092183</v>
      </c>
      <c r="F42" s="288">
        <f t="shared" ref="F42:S42" si="18">F34/F35</f>
        <v>10.022053675612602</v>
      </c>
      <c r="G42" s="288" t="e">
        <f t="shared" si="18"/>
        <v>#DIV/0!</v>
      </c>
      <c r="H42" s="288">
        <f t="shared" si="18"/>
        <v>10.421230561189994</v>
      </c>
      <c r="I42" s="288" t="e">
        <f t="shared" si="18"/>
        <v>#DIV/0!</v>
      </c>
      <c r="J42" s="288">
        <f t="shared" si="18"/>
        <v>10.518188897541439</v>
      </c>
      <c r="K42" s="288">
        <f t="shared" si="18"/>
        <v>10.379473626252615</v>
      </c>
      <c r="L42" s="288">
        <f t="shared" si="18"/>
        <v>7.246135275640234</v>
      </c>
      <c r="M42" s="288" t="e">
        <f t="shared" si="18"/>
        <v>#DIV/0!</v>
      </c>
      <c r="N42" s="288" t="e">
        <f t="shared" si="18"/>
        <v>#DIV/0!</v>
      </c>
      <c r="O42" s="288">
        <f t="shared" si="18"/>
        <v>7.4597861585787273</v>
      </c>
      <c r="P42" s="288">
        <f t="shared" si="18"/>
        <v>7.6352636477682001</v>
      </c>
      <c r="Q42" s="288" t="e">
        <f t="shared" si="18"/>
        <v>#DIV/0!</v>
      </c>
      <c r="R42" s="288">
        <f t="shared" si="18"/>
        <v>7.6404957578659003</v>
      </c>
      <c r="S42" s="288">
        <f t="shared" si="18"/>
        <v>7.5994312623106923</v>
      </c>
    </row>
    <row r="43" spans="1:26" ht="15" customHeight="1" x14ac:dyDescent="0.25">
      <c r="D43" s="9"/>
      <c r="E43" s="559"/>
      <c r="G43" s="714"/>
      <c r="H43" s="714"/>
      <c r="I43" s="714"/>
      <c r="J43" s="714"/>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09"/>
      <c r="H46" s="709"/>
      <c r="I46" s="709"/>
      <c r="J46" s="709"/>
      <c r="M46" s="383"/>
    </row>
    <row r="47" spans="1:26" x14ac:dyDescent="0.25">
      <c r="E47" s="106"/>
      <c r="G47" s="560"/>
      <c r="H47" s="560"/>
      <c r="I47" s="560"/>
      <c r="J47" s="560"/>
    </row>
    <row r="48" spans="1:26" x14ac:dyDescent="0.25">
      <c r="G48" s="709"/>
      <c r="H48" s="709"/>
      <c r="I48" s="709"/>
      <c r="J48" s="709"/>
      <c r="P48" s="383"/>
    </row>
    <row r="49" spans="7:10" ht="15" customHeight="1" x14ac:dyDescent="0.25">
      <c r="G49" s="709"/>
      <c r="H49" s="709"/>
      <c r="I49" s="709"/>
      <c r="J49" s="105"/>
    </row>
  </sheetData>
  <mergeCells count="15">
    <mergeCell ref="G46:J46"/>
    <mergeCell ref="G48:J48"/>
    <mergeCell ref="G49:I49"/>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M9" sqref="M9"/>
    </sheetView>
  </sheetViews>
  <sheetFormatPr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5" width="12" bestFit="1" customWidth="1"/>
    <col min="16" max="16" width="13"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21" t="s">
        <v>770</v>
      </c>
      <c r="C2" s="722"/>
      <c r="D2" s="722"/>
      <c r="E2" s="722"/>
      <c r="F2" s="722"/>
      <c r="G2" s="723"/>
      <c r="I2" s="732" t="s">
        <v>771</v>
      </c>
      <c r="J2" s="733"/>
      <c r="K2" s="733"/>
      <c r="L2" s="733"/>
      <c r="M2" s="733"/>
      <c r="N2" s="733"/>
      <c r="O2" s="733"/>
      <c r="P2" s="733"/>
      <c r="Q2" s="733"/>
      <c r="R2" s="733"/>
      <c r="S2" s="734"/>
    </row>
    <row r="3" spans="2:19" x14ac:dyDescent="0.25">
      <c r="B3" s="725" t="s">
        <v>102</v>
      </c>
      <c r="C3" s="726"/>
      <c r="D3" s="726"/>
      <c r="E3" s="726"/>
      <c r="F3" s="726"/>
      <c r="G3" s="727"/>
      <c r="I3" s="107" t="s">
        <v>103</v>
      </c>
      <c r="J3" s="48" t="s">
        <v>100</v>
      </c>
      <c r="K3" s="48" t="s">
        <v>88</v>
      </c>
      <c r="L3" s="48" t="s">
        <v>104</v>
      </c>
      <c r="M3" s="48" t="s">
        <v>105</v>
      </c>
      <c r="N3" s="48" t="s">
        <v>106</v>
      </c>
      <c r="O3" s="48" t="s">
        <v>107</v>
      </c>
      <c r="P3" s="48" t="s">
        <v>108</v>
      </c>
      <c r="Q3" s="467" t="s">
        <v>109</v>
      </c>
      <c r="R3" s="108" t="s">
        <v>110</v>
      </c>
      <c r="S3" s="108" t="s">
        <v>111</v>
      </c>
    </row>
    <row r="4" spans="2:19" ht="18.75" x14ac:dyDescent="0.3">
      <c r="B4" s="735" t="s">
        <v>113</v>
      </c>
      <c r="C4" s="736"/>
      <c r="D4" s="109"/>
      <c r="E4" s="737" t="s">
        <v>114</v>
      </c>
      <c r="F4" s="738"/>
      <c r="G4" s="109"/>
      <c r="I4" s="396" t="s">
        <v>491</v>
      </c>
      <c r="J4" s="397" t="s">
        <v>786</v>
      </c>
      <c r="K4" s="396">
        <v>0</v>
      </c>
      <c r="L4" s="396">
        <v>0</v>
      </c>
      <c r="M4" s="396">
        <v>71400</v>
      </c>
      <c r="N4" s="396">
        <f>M4*0.05</f>
        <v>3570</v>
      </c>
      <c r="O4" s="398">
        <f t="shared" ref="O4" si="0">IF(M4=0,0,M4-K4)-N4</f>
        <v>67830</v>
      </c>
      <c r="P4" s="398">
        <f t="shared" ref="P4" si="1">IF(M4=0,K4,0)</f>
        <v>0</v>
      </c>
      <c r="Q4" s="399"/>
      <c r="R4" s="400"/>
      <c r="S4" s="400">
        <v>42467</v>
      </c>
    </row>
    <row r="5" spans="2:19" x14ac:dyDescent="0.25">
      <c r="B5" s="113"/>
      <c r="C5" s="114"/>
      <c r="D5" s="201"/>
      <c r="E5" s="113"/>
      <c r="F5" s="114"/>
      <c r="G5" s="115"/>
      <c r="I5" s="396" t="s">
        <v>491</v>
      </c>
      <c r="J5" s="397" t="s">
        <v>787</v>
      </c>
      <c r="K5" s="396">
        <v>0</v>
      </c>
      <c r="L5" s="396">
        <v>0</v>
      </c>
      <c r="M5" s="396">
        <v>13001</v>
      </c>
      <c r="N5" s="396">
        <v>650</v>
      </c>
      <c r="O5" s="398">
        <f t="shared" ref="O5" si="2">IF(M5=0,0,M5-K5)-N5</f>
        <v>12351</v>
      </c>
      <c r="P5" s="398">
        <f t="shared" ref="P5" si="3">IF(M5=0,K5,0)</f>
        <v>0</v>
      </c>
      <c r="Q5" s="399"/>
      <c r="R5" s="400"/>
      <c r="S5" s="400">
        <v>42471</v>
      </c>
    </row>
    <row r="6" spans="2:19" x14ac:dyDescent="0.25">
      <c r="B6" s="116" t="s">
        <v>116</v>
      </c>
      <c r="C6" s="117">
        <f>SUM(C7:C9)</f>
        <v>5301170</v>
      </c>
      <c r="D6" s="140">
        <f>C6/C34</f>
        <v>0.14788584142163574</v>
      </c>
      <c r="E6" s="116" t="s">
        <v>117</v>
      </c>
      <c r="F6" s="117">
        <f ca="1">F7+F8+F9</f>
        <v>14313141.014755197</v>
      </c>
      <c r="G6" s="118">
        <f ca="1">F6/$F$34</f>
        <v>0.39929127010708909</v>
      </c>
      <c r="I6" s="568" t="s">
        <v>115</v>
      </c>
      <c r="J6" s="110" t="s">
        <v>783</v>
      </c>
      <c r="K6" s="568">
        <v>11662680</v>
      </c>
      <c r="L6" s="568">
        <v>53436</v>
      </c>
      <c r="M6" s="568">
        <v>0</v>
      </c>
      <c r="N6" s="568">
        <v>0</v>
      </c>
      <c r="O6" s="111">
        <f t="shared" ref="O6" si="4">IF(M6=0,0,M6-K6)-N6</f>
        <v>0</v>
      </c>
      <c r="P6" s="111">
        <f t="shared" ref="P6" si="5">IF(M6=0,K6,0)</f>
        <v>11662680</v>
      </c>
      <c r="Q6" s="569"/>
      <c r="R6" s="112">
        <v>42468</v>
      </c>
      <c r="S6" s="112"/>
    </row>
    <row r="7" spans="2:19" x14ac:dyDescent="0.25">
      <c r="B7" s="119" t="s">
        <v>84</v>
      </c>
      <c r="C7" s="120">
        <f>'A-P_T48'!C7+EconomiaT49!C16</f>
        <v>3241370</v>
      </c>
      <c r="D7" s="202">
        <f>C7/C34</f>
        <v>9.0423949771248138E-2</v>
      </c>
      <c r="E7" s="203" t="s">
        <v>118</v>
      </c>
      <c r="F7" s="204">
        <v>300000</v>
      </c>
      <c r="G7" s="121">
        <f ca="1">F7/$F$34</f>
        <v>8.3690491771610271E-3</v>
      </c>
      <c r="I7" s="470"/>
      <c r="J7" s="470"/>
      <c r="K7" s="470"/>
      <c r="L7" s="470"/>
      <c r="M7" s="470"/>
      <c r="N7" s="470"/>
      <c r="O7" s="470"/>
      <c r="P7" s="470"/>
      <c r="Q7" s="470"/>
      <c r="R7" s="470"/>
      <c r="S7" s="470"/>
    </row>
    <row r="8" spans="2:19" x14ac:dyDescent="0.25">
      <c r="B8" s="119" t="s">
        <v>67</v>
      </c>
      <c r="C8" s="120">
        <f>'A-P_T48'!C8+EconomiaT49!C20+'A-P_T48'!C9</f>
        <v>2059800</v>
      </c>
      <c r="D8" s="202">
        <f>C8/C34</f>
        <v>5.7461891650387613E-2</v>
      </c>
      <c r="E8" s="203" t="s">
        <v>261</v>
      </c>
      <c r="F8" s="204">
        <f ca="1">'A-P_T48'!F9+'A-P_T48'!F8</f>
        <v>13614829.014755197</v>
      </c>
      <c r="G8" s="121">
        <f ca="1">F8/$F$34</f>
        <v>0.37981057854375022</v>
      </c>
      <c r="I8" s="470"/>
      <c r="J8" s="470"/>
      <c r="K8" s="470"/>
      <c r="L8" s="470"/>
      <c r="M8" s="470"/>
      <c r="N8" s="470"/>
      <c r="O8" s="470"/>
      <c r="P8" s="470"/>
      <c r="Q8" s="470"/>
      <c r="R8" s="470"/>
      <c r="S8" s="470"/>
    </row>
    <row r="9" spans="2:19" x14ac:dyDescent="0.25">
      <c r="B9" s="122" t="s">
        <v>119</v>
      </c>
      <c r="C9" s="123">
        <v>0</v>
      </c>
      <c r="D9" s="202">
        <f>C9/C34</f>
        <v>0</v>
      </c>
      <c r="E9" s="203" t="s">
        <v>772</v>
      </c>
      <c r="F9" s="204">
        <f>'A-P_T48'!F11-2059800</f>
        <v>398312</v>
      </c>
      <c r="G9" s="121">
        <f ca="1">F9/$F$34</f>
        <v>1.1111642386177878E-2</v>
      </c>
      <c r="I9" s="470"/>
      <c r="J9" s="470"/>
      <c r="K9" s="470"/>
      <c r="L9" s="470"/>
      <c r="M9" s="470"/>
      <c r="N9" s="470"/>
      <c r="O9" s="470"/>
      <c r="P9" s="470"/>
      <c r="Q9" s="470"/>
      <c r="R9" s="470"/>
      <c r="S9" s="470"/>
    </row>
    <row r="10" spans="2:19" x14ac:dyDescent="0.25">
      <c r="B10" s="124"/>
      <c r="C10" s="125"/>
      <c r="D10" s="140"/>
      <c r="E10" s="205"/>
      <c r="F10" s="125"/>
      <c r="G10" s="118"/>
      <c r="I10" s="470"/>
      <c r="J10" s="470"/>
      <c r="K10" s="470"/>
      <c r="L10" s="470"/>
      <c r="M10" s="470"/>
      <c r="N10" s="470"/>
      <c r="O10" s="470"/>
      <c r="P10" s="470"/>
      <c r="Q10" s="470"/>
      <c r="R10" s="470"/>
      <c r="S10" s="470"/>
    </row>
    <row r="11" spans="2:19" x14ac:dyDescent="0.25">
      <c r="B11" s="116" t="s">
        <v>100</v>
      </c>
      <c r="C11" s="117">
        <f>SUM(C12:C15)</f>
        <v>11662680</v>
      </c>
      <c r="D11" s="140">
        <f>C11/C34</f>
        <v>0.32535180819164122</v>
      </c>
      <c r="E11" s="116" t="s">
        <v>657</v>
      </c>
      <c r="F11" s="117">
        <f>SUM(F12:F17)</f>
        <v>5554171</v>
      </c>
      <c r="G11" s="118">
        <f t="shared" ref="G11:G17" ca="1" si="6">F11/$F$34</f>
        <v>0.15494376745787214</v>
      </c>
      <c r="I11" s="470"/>
      <c r="J11" s="470"/>
      <c r="K11" s="470"/>
      <c r="L11" s="470"/>
      <c r="M11" s="470"/>
      <c r="N11" s="470"/>
      <c r="O11" s="470"/>
      <c r="P11" s="470"/>
      <c r="Q11" s="470"/>
      <c r="R11" s="470"/>
      <c r="S11" s="470"/>
    </row>
    <row r="12" spans="2:19" x14ac:dyDescent="0.25">
      <c r="B12" s="129" t="s">
        <v>121</v>
      </c>
      <c r="C12" s="130">
        <f>SUMIF(I4:I520,"S",$P$4:$P$520)</f>
        <v>0</v>
      </c>
      <c r="D12" s="202">
        <f>C12/C34</f>
        <v>0</v>
      </c>
      <c r="E12" s="49" t="s">
        <v>122</v>
      </c>
      <c r="F12" s="131">
        <f>SUMIF(I4:I520,"J",$O$4:$O$520)</f>
        <v>0</v>
      </c>
      <c r="G12" s="121">
        <f t="shared" ca="1" si="6"/>
        <v>0</v>
      </c>
      <c r="I12" s="470"/>
      <c r="J12" s="470"/>
      <c r="K12" s="470"/>
      <c r="L12" s="470"/>
      <c r="M12" s="470"/>
      <c r="N12" s="470"/>
      <c r="O12" s="470"/>
      <c r="P12" s="470"/>
      <c r="Q12" s="470"/>
      <c r="R12" s="470"/>
      <c r="S12" s="470"/>
    </row>
    <row r="13" spans="2:19" x14ac:dyDescent="0.25">
      <c r="B13" s="129" t="s">
        <v>100</v>
      </c>
      <c r="C13" s="130">
        <f>SUMIF(I4:I520,"J",$P$4:$P$520)</f>
        <v>11662680</v>
      </c>
      <c r="D13" s="202">
        <f>C13/C34</f>
        <v>0.32535180819164122</v>
      </c>
      <c r="E13" s="49" t="s">
        <v>123</v>
      </c>
      <c r="F13" s="131">
        <f>SUMIF(I4:I520,"S",$O$4:$O$520)</f>
        <v>0</v>
      </c>
      <c r="G13" s="121">
        <f t="shared" ca="1" si="6"/>
        <v>0</v>
      </c>
      <c r="I13" s="470"/>
      <c r="J13" s="470"/>
      <c r="K13" s="470"/>
      <c r="L13" s="470"/>
      <c r="M13" s="470"/>
      <c r="N13" s="470"/>
      <c r="O13" s="470"/>
      <c r="P13" s="470"/>
      <c r="Q13" s="470"/>
      <c r="R13" s="470"/>
      <c r="S13" s="470"/>
    </row>
    <row r="14" spans="2:19" x14ac:dyDescent="0.25">
      <c r="B14" s="129" t="s">
        <v>99</v>
      </c>
      <c r="C14" s="130">
        <f>SUMIF(I4:I520,"E",$P$4:$P$520)</f>
        <v>0</v>
      </c>
      <c r="D14" s="202">
        <f>C14/C34</f>
        <v>0</v>
      </c>
      <c r="E14" s="49" t="s">
        <v>124</v>
      </c>
      <c r="F14" s="131">
        <f>SUMIF(I4:I520,"C",$O$4:$O$520)</f>
        <v>80181</v>
      </c>
      <c r="G14" s="121">
        <f t="shared" ca="1" si="6"/>
        <v>2.236795773579828E-3</v>
      </c>
      <c r="I14" s="470"/>
      <c r="J14" s="470"/>
      <c r="K14" s="470"/>
      <c r="L14" s="470"/>
      <c r="M14" s="470"/>
      <c r="N14" s="470"/>
      <c r="O14" s="470"/>
      <c r="P14" s="470"/>
      <c r="Q14" s="470"/>
      <c r="R14" s="470"/>
      <c r="S14" s="470"/>
    </row>
    <row r="15" spans="2:19" x14ac:dyDescent="0.25">
      <c r="B15" s="129" t="s">
        <v>125</v>
      </c>
      <c r="C15" s="130">
        <f>SUMIF(I4:I520,"M",$P$4:$P$520)</f>
        <v>0</v>
      </c>
      <c r="D15" s="202">
        <f>C15/C34</f>
        <v>0</v>
      </c>
      <c r="E15" s="49" t="s">
        <v>126</v>
      </c>
      <c r="F15" s="131">
        <f>SUMIF(I4:I520,"E",$O$4:$O$520)</f>
        <v>0</v>
      </c>
      <c r="G15" s="121">
        <f t="shared" ca="1" si="6"/>
        <v>0</v>
      </c>
      <c r="I15" s="470"/>
      <c r="J15" s="470"/>
      <c r="K15" s="470"/>
      <c r="L15" s="470"/>
      <c r="M15" s="470"/>
      <c r="N15" s="470"/>
      <c r="O15" s="470"/>
      <c r="P15" s="470"/>
      <c r="Q15" s="470"/>
      <c r="R15" s="470"/>
      <c r="S15" s="470"/>
    </row>
    <row r="16" spans="2:19" x14ac:dyDescent="0.25">
      <c r="B16" s="132"/>
      <c r="C16" s="133"/>
      <c r="D16" s="140"/>
      <c r="E16" s="49" t="s">
        <v>127</v>
      </c>
      <c r="F16" s="131">
        <f>SUMIF(I4:I520,"M",$O$4:$O$520)</f>
        <v>0</v>
      </c>
      <c r="G16" s="121">
        <f t="shared" ca="1" si="6"/>
        <v>0</v>
      </c>
      <c r="I16" s="470"/>
      <c r="J16" s="470"/>
      <c r="K16" s="470"/>
      <c r="L16" s="470"/>
      <c r="M16" s="470"/>
      <c r="N16" s="470"/>
      <c r="O16" s="470"/>
      <c r="P16" s="470"/>
      <c r="Q16" s="470"/>
      <c r="R16" s="470"/>
      <c r="S16" s="470"/>
    </row>
    <row r="17" spans="2:11" x14ac:dyDescent="0.25">
      <c r="B17" s="116" t="s">
        <v>74</v>
      </c>
      <c r="C17" s="134">
        <f>C18+C19</f>
        <v>80181</v>
      </c>
      <c r="D17" s="140">
        <f>C17/C34</f>
        <v>2.236795773579828E-3</v>
      </c>
      <c r="E17" s="135" t="s">
        <v>658</v>
      </c>
      <c r="F17" s="136">
        <f>C27-F27+C9</f>
        <v>5473990</v>
      </c>
      <c r="G17" s="121">
        <f t="shared" ca="1" si="6"/>
        <v>0.15270697168429231</v>
      </c>
      <c r="K17" s="106"/>
    </row>
    <row r="18" spans="2:11" x14ac:dyDescent="0.25">
      <c r="B18" s="129" t="s">
        <v>74</v>
      </c>
      <c r="C18" s="130">
        <f>SUM(M4:M520)</f>
        <v>84401</v>
      </c>
      <c r="D18" s="202">
        <f>C18/C34</f>
        <v>2.3545203986718929E-3</v>
      </c>
      <c r="E18" s="124"/>
      <c r="F18" s="125"/>
      <c r="G18" s="137"/>
    </row>
    <row r="19" spans="2:11" x14ac:dyDescent="0.25">
      <c r="B19" s="122" t="s">
        <v>76</v>
      </c>
      <c r="C19" s="123">
        <f>SUM(N4:N520)*-1</f>
        <v>-4220</v>
      </c>
      <c r="D19" s="202">
        <f>C19/C34</f>
        <v>-1.1772462509206512E-4</v>
      </c>
      <c r="E19" s="116" t="s">
        <v>129</v>
      </c>
      <c r="F19" s="134">
        <f>F20+F21</f>
        <v>11662680</v>
      </c>
      <c r="G19" s="118">
        <f ca="1">F19/$F$34</f>
        <v>0.32535180819164122</v>
      </c>
    </row>
    <row r="20" spans="2:11" x14ac:dyDescent="0.25">
      <c r="B20" s="132"/>
      <c r="C20" s="133"/>
      <c r="D20" s="202"/>
      <c r="E20" s="206" t="s">
        <v>88</v>
      </c>
      <c r="F20" s="207">
        <f>EconomiaT49!C19</f>
        <v>11716116</v>
      </c>
      <c r="G20" s="121">
        <f ca="1">F20/$F$34</f>
        <v>0.32684250323107716</v>
      </c>
    </row>
    <row r="21" spans="2:11" x14ac:dyDescent="0.25">
      <c r="B21" s="116" t="s">
        <v>659</v>
      </c>
      <c r="C21" s="117">
        <f>EconomiaT49!C5</f>
        <v>9386456.0147551969</v>
      </c>
      <c r="D21" s="140">
        <f>C21/C34</f>
        <v>0.26185237328915051</v>
      </c>
      <c r="E21" s="122" t="s">
        <v>130</v>
      </c>
      <c r="F21" s="208">
        <f>SUM(L4:L520)*-1</f>
        <v>-53436</v>
      </c>
      <c r="G21" s="121">
        <f ca="1">F21/$F$34</f>
        <v>-1.4906950394359222E-3</v>
      </c>
    </row>
    <row r="22" spans="2:11" x14ac:dyDescent="0.25">
      <c r="B22" s="116"/>
      <c r="C22" s="117"/>
      <c r="D22" s="140"/>
      <c r="E22" s="132"/>
      <c r="F22" s="468"/>
      <c r="G22" s="469"/>
    </row>
    <row r="23" spans="2:11" x14ac:dyDescent="0.25">
      <c r="B23" s="116"/>
      <c r="C23" s="117"/>
      <c r="D23" s="140"/>
      <c r="E23" s="116" t="s">
        <v>264</v>
      </c>
      <c r="F23" s="117">
        <f>SUM(F24:F25)</f>
        <v>374485</v>
      </c>
      <c r="G23" s="118">
        <f ca="1">F23/$F$34</f>
        <v>1.0446944603697158E-2</v>
      </c>
    </row>
    <row r="24" spans="2:11" x14ac:dyDescent="0.25">
      <c r="B24" s="116"/>
      <c r="C24" s="117"/>
      <c r="D24" s="140"/>
      <c r="E24" s="206" t="s">
        <v>84</v>
      </c>
      <c r="F24" s="209">
        <f>EconomiaT49!C16</f>
        <v>374485</v>
      </c>
      <c r="G24" s="121">
        <f ca="1">F24/$F$34</f>
        <v>1.0446944603697158E-2</v>
      </c>
    </row>
    <row r="25" spans="2:11" x14ac:dyDescent="0.25">
      <c r="B25" s="116"/>
      <c r="C25" s="117"/>
      <c r="D25" s="140"/>
      <c r="E25" s="206" t="s">
        <v>67</v>
      </c>
      <c r="F25" s="209">
        <f>EconomiaT49!C20</f>
        <v>0</v>
      </c>
      <c r="G25" s="121">
        <f ca="1">F25/$F$34</f>
        <v>0</v>
      </c>
    </row>
    <row r="26" spans="2:11" x14ac:dyDescent="0.25">
      <c r="B26" s="570"/>
      <c r="C26" s="571"/>
      <c r="D26" s="572"/>
      <c r="E26" s="573"/>
      <c r="F26" s="574"/>
      <c r="G26" s="575"/>
    </row>
    <row r="27" spans="2:11" x14ac:dyDescent="0.25">
      <c r="B27" s="116" t="s">
        <v>131</v>
      </c>
      <c r="C27" s="117">
        <f>SUM(C28:C32)</f>
        <v>9415879</v>
      </c>
      <c r="D27" s="140">
        <f>C27/C34</f>
        <v>0.26267318132399264</v>
      </c>
      <c r="E27" s="116" t="s">
        <v>265</v>
      </c>
      <c r="F27" s="117">
        <f>SUM(F28:F33)</f>
        <v>3941889</v>
      </c>
      <c r="G27" s="118">
        <f t="shared" ref="G27:G33" ca="1" si="7">F27/$F$34</f>
        <v>0.10996620963970036</v>
      </c>
    </row>
    <row r="28" spans="2:11" x14ac:dyDescent="0.25">
      <c r="B28" s="138" t="s">
        <v>69</v>
      </c>
      <c r="C28" s="139">
        <f>EconomiaT49!C11</f>
        <v>88230</v>
      </c>
      <c r="D28" s="202">
        <f>C28/C34</f>
        <v>2.4613373630030582E-3</v>
      </c>
      <c r="E28" s="206" t="s">
        <v>132</v>
      </c>
      <c r="F28" s="209">
        <f>EconomiaT49!C14</f>
        <v>1893144</v>
      </c>
      <c r="G28" s="121">
        <f t="shared" ca="1" si="7"/>
        <v>5.2812717451491117E-2</v>
      </c>
    </row>
    <row r="29" spans="2:11" x14ac:dyDescent="0.25">
      <c r="B29" s="138" t="s">
        <v>79</v>
      </c>
      <c r="C29" s="139">
        <f>EconomiaT49!C12</f>
        <v>1105000</v>
      </c>
      <c r="D29" s="202">
        <f>C29/C34</f>
        <v>3.082599780254312E-2</v>
      </c>
      <c r="E29" s="206" t="s">
        <v>82</v>
      </c>
      <c r="F29" s="209">
        <f>EconomiaT49!C15</f>
        <v>606265</v>
      </c>
      <c r="G29" s="121">
        <f t="shared" ca="1" si="7"/>
        <v>1.6912871997971767E-2</v>
      </c>
    </row>
    <row r="30" spans="2:11" x14ac:dyDescent="0.25">
      <c r="B30" s="138" t="s">
        <v>71</v>
      </c>
      <c r="C30" s="139">
        <f>EconomiaT49!C6</f>
        <v>5131192</v>
      </c>
      <c r="D30" s="202">
        <f>C30/C34</f>
        <v>0.1431439939515175</v>
      </c>
      <c r="E30" s="206" t="s">
        <v>85</v>
      </c>
      <c r="F30" s="209">
        <f>EconomiaT49!C17</f>
        <v>1044480</v>
      </c>
      <c r="G30" s="121">
        <f t="shared" ca="1" si="7"/>
        <v>2.9137681615203834E-2</v>
      </c>
    </row>
    <row r="31" spans="2:11" x14ac:dyDescent="0.25">
      <c r="B31" s="138" t="s">
        <v>72</v>
      </c>
      <c r="C31" s="139">
        <f>EconomiaT49!C7</f>
        <v>2970900</v>
      </c>
      <c r="D31" s="202">
        <f>C31/C34</f>
        <v>8.2878694001425654E-2</v>
      </c>
      <c r="E31" s="206" t="s">
        <v>86</v>
      </c>
      <c r="F31" s="209">
        <f>EconomiaT49!C18</f>
        <v>320000</v>
      </c>
      <c r="G31" s="121">
        <f t="shared" ca="1" si="7"/>
        <v>8.9269857889717631E-3</v>
      </c>
    </row>
    <row r="32" spans="2:11" x14ac:dyDescent="0.25">
      <c r="B32" s="138" t="s">
        <v>76</v>
      </c>
      <c r="C32" s="139">
        <f>EconomiaT49!C10</f>
        <v>120557</v>
      </c>
      <c r="D32" s="202">
        <f>C32/C34</f>
        <v>3.3631582055033398E-3</v>
      </c>
      <c r="E32" s="206" t="s">
        <v>89</v>
      </c>
      <c r="F32" s="209">
        <f>EconomiaT49!C21</f>
        <v>78000</v>
      </c>
      <c r="G32" s="121">
        <f t="shared" ca="1" si="7"/>
        <v>2.1759527860618672E-3</v>
      </c>
    </row>
    <row r="33" spans="2:10" x14ac:dyDescent="0.25">
      <c r="B33" s="116"/>
      <c r="C33" s="117"/>
      <c r="D33" s="140"/>
      <c r="E33" s="471" t="s">
        <v>90</v>
      </c>
      <c r="F33" s="472">
        <f>EconomiaT49!C22</f>
        <v>0</v>
      </c>
      <c r="G33" s="473">
        <f t="shared" ca="1" si="7"/>
        <v>0</v>
      </c>
    </row>
    <row r="34" spans="2:10" ht="18.75" x14ac:dyDescent="0.3">
      <c r="B34" s="146" t="s">
        <v>27</v>
      </c>
      <c r="C34" s="147">
        <f>C27+C21+C17+C11+C6</f>
        <v>35846366.014755197</v>
      </c>
      <c r="D34" s="474">
        <f>C34/C34</f>
        <v>1</v>
      </c>
      <c r="E34" s="146" t="s">
        <v>27</v>
      </c>
      <c r="F34" s="147">
        <f ca="1">F27+F19+F11+F6+F23</f>
        <v>35846366.014755197</v>
      </c>
      <c r="G34" s="145">
        <f ca="1">F34/$F$34</f>
        <v>1</v>
      </c>
      <c r="J34" s="106"/>
    </row>
    <row r="35" spans="2:10" x14ac:dyDescent="0.25">
      <c r="C35" s="106"/>
      <c r="D35" s="475"/>
      <c r="E35" s="476" t="s">
        <v>604</v>
      </c>
      <c r="F35" s="477">
        <f ca="1">F34-C34</f>
        <v>0</v>
      </c>
      <c r="G35" s="106"/>
    </row>
    <row r="36" spans="2:10" x14ac:dyDescent="0.25">
      <c r="C36" s="106"/>
      <c r="D36" s="106"/>
      <c r="F36" s="106"/>
      <c r="G36" s="106"/>
      <c r="H36" s="106"/>
    </row>
    <row r="37" spans="2:10" ht="15.75" x14ac:dyDescent="0.25">
      <c r="B37" s="478" t="s">
        <v>660</v>
      </c>
      <c r="C37" s="479">
        <f>EconomiaT48!C24</f>
        <v>9386456.0147551969</v>
      </c>
      <c r="D37" s="106"/>
      <c r="E37" s="4" t="s">
        <v>661</v>
      </c>
      <c r="F37" s="100">
        <f>C27-F27</f>
        <v>5473990</v>
      </c>
      <c r="G37" s="100"/>
    </row>
    <row r="38" spans="2:10" x14ac:dyDescent="0.25">
      <c r="C38" s="100">
        <f>C37-C21</f>
        <v>0</v>
      </c>
      <c r="D38" s="106"/>
      <c r="F38" s="106"/>
      <c r="G38" s="106"/>
    </row>
    <row r="39" spans="2:10" x14ac:dyDescent="0.25">
      <c r="C39" s="106"/>
      <c r="D39" s="106"/>
      <c r="F39" s="106"/>
      <c r="G39" s="106"/>
    </row>
  </sheetData>
  <mergeCells count="5">
    <mergeCell ref="B2:G2"/>
    <mergeCell ref="I2:S2"/>
    <mergeCell ref="B3:G3"/>
    <mergeCell ref="B4:C4"/>
    <mergeCell ref="E4:F4"/>
  </mergeCells>
  <conditionalFormatting sqref="F12:F17">
    <cfRule type="cellIs" dxfId="57" priority="32" operator="lessThan">
      <formula>0</formula>
    </cfRule>
    <cfRule type="cellIs" dxfId="56" priority="33" operator="greaterThan">
      <formula>0</formula>
    </cfRule>
  </conditionalFormatting>
  <conditionalFormatting sqref="F37">
    <cfRule type="cellIs" dxfId="55" priority="31" operator="lessThan">
      <formula>0</formula>
    </cfRule>
  </conditionalFormatting>
  <conditionalFormatting sqref="C38">
    <cfRule type="cellIs" dxfId="54" priority="29" operator="greaterThan">
      <formula>0</formula>
    </cfRule>
    <cfRule type="cellIs" dxfId="53" priority="30" operator="lessThan">
      <formula>0</formula>
    </cfRule>
  </conditionalFormatting>
  <conditionalFormatting sqref="O4">
    <cfRule type="cellIs" dxfId="52" priority="11" operator="lessThan">
      <formula>0</formula>
    </cfRule>
    <cfRule type="cellIs" dxfId="51" priority="12" operator="greaterThan">
      <formula>0</formula>
    </cfRule>
  </conditionalFormatting>
  <conditionalFormatting sqref="O4 Q4">
    <cfRule type="cellIs" dxfId="50" priority="9" operator="lessThan">
      <formula>0</formula>
    </cfRule>
    <cfRule type="cellIs" dxfId="49" priority="10" operator="greaterThan">
      <formula>0</formula>
    </cfRule>
  </conditionalFormatting>
  <conditionalFormatting sqref="O5">
    <cfRule type="cellIs" dxfId="48" priority="7" operator="lessThan">
      <formula>0</formula>
    </cfRule>
    <cfRule type="cellIs" dxfId="47" priority="8" operator="greaterThan">
      <formula>0</formula>
    </cfRule>
  </conditionalFormatting>
  <conditionalFormatting sqref="O5 Q5">
    <cfRule type="cellIs" dxfId="46" priority="5" operator="lessThan">
      <formula>0</formula>
    </cfRule>
    <cfRule type="cellIs" dxfId="45" priority="6" operator="greaterThan">
      <formula>0</formula>
    </cfRule>
  </conditionalFormatting>
  <conditionalFormatting sqref="O6">
    <cfRule type="cellIs" dxfId="44" priority="3" operator="lessThan">
      <formula>0</formula>
    </cfRule>
    <cfRule type="cellIs" dxfId="43" priority="4" operator="greaterThan">
      <formula>0</formula>
    </cfRule>
  </conditionalFormatting>
  <conditionalFormatting sqref="O6 Q6">
    <cfRule type="cellIs" dxfId="42" priority="1" operator="lessThan">
      <formula>0</formula>
    </cfRule>
    <cfRule type="cellIs" dxfId="41" priority="2" operator="greaterThan">
      <formula>0</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workbookViewId="0">
      <selection activeCell="G18" sqref="G18"/>
    </sheetView>
  </sheetViews>
  <sheetFormatPr defaultColWidth="11.42578125" defaultRowHeight="15" x14ac:dyDescent="0.25"/>
  <cols>
    <col min="1" max="1" width="13.7109375" bestFit="1" customWidth="1"/>
    <col min="2" max="8" width="6.5703125" bestFit="1" customWidth="1"/>
    <col min="9" max="9" width="3.28515625" customWidth="1"/>
    <col min="11" max="11" width="13.7109375" bestFit="1" customWidth="1"/>
    <col min="12" max="12" width="5.5703125" bestFit="1" customWidth="1"/>
    <col min="13" max="14" width="6.5703125" bestFit="1" customWidth="1"/>
    <col min="15" max="15" width="5.5703125" bestFit="1" customWidth="1"/>
  </cols>
  <sheetData>
    <row r="1" spans="1:15" x14ac:dyDescent="0.25">
      <c r="A1" s="585" t="str">
        <f>PLANTILLA!D4</f>
        <v>Jugador</v>
      </c>
      <c r="B1" s="585" t="s">
        <v>705</v>
      </c>
      <c r="C1" s="585" t="str">
        <f>PLANTILLA!AC4</f>
        <v>An</v>
      </c>
      <c r="D1" s="585" t="str">
        <f>PLANTILLA!AD4</f>
        <v>PA</v>
      </c>
      <c r="E1" s="585" t="str">
        <f>PLANTILLA!AI4</f>
        <v>TL</v>
      </c>
      <c r="F1" s="585" t="str">
        <f>PLANTILLA!AJ4</f>
        <v>PEN</v>
      </c>
      <c r="G1" s="585" t="str">
        <f>PLANTILLA!AK4</f>
        <v>BPiA</v>
      </c>
      <c r="H1" s="585" t="str">
        <f>PLANTILLA!AL4</f>
        <v>BPiD</v>
      </c>
    </row>
    <row r="2" spans="1:15" x14ac:dyDescent="0.25">
      <c r="A2" t="str">
        <f>PLANTILLA!D21</f>
        <v>J. Limon</v>
      </c>
      <c r="B2" s="159">
        <f>PLANTILLA!J21</f>
        <v>1.4762799595304912</v>
      </c>
      <c r="C2" s="265">
        <f>PLANTILLA!AC21</f>
        <v>8.5625000000000018</v>
      </c>
      <c r="D2" s="265">
        <f>PLANTILLA!AD21</f>
        <v>18.999999999999993</v>
      </c>
      <c r="E2" s="159">
        <f>PLANTILLA!AI21</f>
        <v>23.641328710562384</v>
      </c>
      <c r="F2" s="159">
        <f>PLANTILLA!AJ21</f>
        <v>18.845029959530486</v>
      </c>
      <c r="G2" s="159">
        <f>PLANTILLA!AK21</f>
        <v>1.2362273967624391</v>
      </c>
      <c r="H2" s="159">
        <f>PLANTILLA!AL21</f>
        <v>1.0518443590718962</v>
      </c>
      <c r="K2" t="str">
        <f>A4</f>
        <v>L. Calosso</v>
      </c>
      <c r="L2" s="405">
        <f>B2</f>
        <v>1.4762799595304912</v>
      </c>
      <c r="M2" s="405">
        <f t="shared" ref="M2:N2" si="0">C2</f>
        <v>8.5625000000000018</v>
      </c>
      <c r="N2" s="405">
        <f t="shared" si="0"/>
        <v>18.999999999999993</v>
      </c>
      <c r="O2" s="405"/>
    </row>
    <row r="3" spans="1:15" x14ac:dyDescent="0.25">
      <c r="A3" t="str">
        <f>PLANTILLA!D12</f>
        <v>E. Romweber</v>
      </c>
      <c r="B3" s="159">
        <f>PLANTILLA!J12</f>
        <v>1.5681216787409085</v>
      </c>
      <c r="C3" s="265">
        <f>PLANTILLA!AC12</f>
        <v>7.7700000000000005</v>
      </c>
      <c r="D3" s="265">
        <f>PLANTILLA!AD12</f>
        <v>17.529999999999998</v>
      </c>
      <c r="E3" s="159">
        <f>PLANTILLA!AI12</f>
        <v>18.356960780063634</v>
      </c>
      <c r="F3" s="159">
        <f>PLANTILLA!AJ12</f>
        <v>14.933978518358474</v>
      </c>
      <c r="G3" s="159">
        <f>PLANTILLA!AK12</f>
        <v>1.1598497342992726</v>
      </c>
      <c r="H3" s="159">
        <f>PLANTILLA!AL12</f>
        <v>1.2231129619563079</v>
      </c>
      <c r="K3" t="str">
        <f>A5</f>
        <v>L. Bauman</v>
      </c>
      <c r="L3" s="405">
        <f t="shared" ref="L3:L11" si="1">B3</f>
        <v>1.5681216787409085</v>
      </c>
      <c r="M3" s="405">
        <f t="shared" ref="M3:M11" si="2">C3</f>
        <v>7.7700000000000005</v>
      </c>
      <c r="N3" s="405">
        <f t="shared" ref="N3:N11" si="3">D3</f>
        <v>17.529999999999998</v>
      </c>
      <c r="O3" s="405"/>
    </row>
    <row r="4" spans="1:15" x14ac:dyDescent="0.25">
      <c r="A4" t="str">
        <f>PLANTILLA!D22</f>
        <v>L. Calosso</v>
      </c>
      <c r="B4" s="159">
        <f>PLANTILLA!J22</f>
        <v>1.4896950608743522</v>
      </c>
      <c r="C4" s="265">
        <f>PLANTILLA!AC22</f>
        <v>9.9499999999999993</v>
      </c>
      <c r="D4" s="265">
        <f>PLANTILLA!AD22</f>
        <v>11</v>
      </c>
      <c r="E4" s="159">
        <f ca="1">PLANTILLA!AI22</f>
        <v>18.950820935848622</v>
      </c>
      <c r="F4" s="159">
        <f ca="1">PLANTILLA!AJ22</f>
        <v>12.197397495731632</v>
      </c>
      <c r="G4" s="159">
        <f ca="1">PLANTILLA!AK22</f>
        <v>1.0266756048699481</v>
      </c>
      <c r="H4" s="159">
        <f ca="1">PLANTILLA!AL22</f>
        <v>0.62507865426120457</v>
      </c>
      <c r="K4" t="str">
        <f>A6</f>
        <v>P .Trivadi</v>
      </c>
      <c r="L4" s="405">
        <f t="shared" si="1"/>
        <v>1.4896950608743522</v>
      </c>
      <c r="M4" s="405">
        <f t="shared" si="2"/>
        <v>9.9499999999999993</v>
      </c>
      <c r="N4" s="405">
        <f t="shared" si="3"/>
        <v>11</v>
      </c>
      <c r="O4" s="405"/>
    </row>
    <row r="5" spans="1:15" x14ac:dyDescent="0.25">
      <c r="A5" t="str">
        <f>PLANTILLA!D18</f>
        <v>L. Bauman</v>
      </c>
      <c r="B5" s="159">
        <f>PLANTILLA!J18</f>
        <v>1.3560444523983737</v>
      </c>
      <c r="C5" s="265">
        <f>PLANTILLA!AC18</f>
        <v>6.95</v>
      </c>
      <c r="D5" s="265">
        <f>PLANTILLA!AD18</f>
        <v>16.669999999999998</v>
      </c>
      <c r="E5" s="159">
        <f>PLANTILLA!AI18</f>
        <v>17.976980542891386</v>
      </c>
      <c r="F5" s="159">
        <f>PLANTILLA!AJ18</f>
        <v>15.377913012145976</v>
      </c>
      <c r="G5" s="159">
        <f>PLANTILLA!AK18</f>
        <v>1.0760835561918698</v>
      </c>
      <c r="H5" s="159">
        <f>PLANTILLA!AL18</f>
        <v>0.91860088944566398</v>
      </c>
      <c r="K5" t="str">
        <f>A14</f>
        <v>D. Toh</v>
      </c>
      <c r="L5" s="405">
        <f t="shared" si="1"/>
        <v>1.3560444523983737</v>
      </c>
      <c r="M5" s="405">
        <f t="shared" si="2"/>
        <v>6.95</v>
      </c>
      <c r="N5" s="405">
        <f t="shared" si="3"/>
        <v>16.669999999999998</v>
      </c>
      <c r="O5" s="405"/>
    </row>
    <row r="6" spans="1:15" x14ac:dyDescent="0.25">
      <c r="A6" t="str">
        <f>PLANTILLA!D23</f>
        <v>P .Trivadi</v>
      </c>
      <c r="B6" s="159">
        <f>PLANTILLA!J23</f>
        <v>1.110011883608315</v>
      </c>
      <c r="C6" s="265">
        <f>PLANTILLA!AC23</f>
        <v>8.384500000000001</v>
      </c>
      <c r="D6" s="265">
        <f>PLANTILLA!AD23</f>
        <v>13.566666666666668</v>
      </c>
      <c r="E6" s="159">
        <f>PLANTILLA!AI23</f>
        <v>12.797211151989112</v>
      </c>
      <c r="F6" s="159">
        <f>PLANTILLA!AJ23</f>
        <v>9.5723646636343602</v>
      </c>
      <c r="G6" s="159">
        <f>PLANTILLA!AK23</f>
        <v>1.0350259506886652</v>
      </c>
      <c r="H6" s="159">
        <f>PLANTILLA!AL23</f>
        <v>0.7505008318525821</v>
      </c>
      <c r="K6" t="str">
        <f>A18</f>
        <v>D. Gehmacher</v>
      </c>
      <c r="L6" s="405">
        <f t="shared" si="1"/>
        <v>1.110011883608315</v>
      </c>
      <c r="M6" s="405">
        <f t="shared" si="2"/>
        <v>8.384500000000001</v>
      </c>
      <c r="N6" s="405">
        <f t="shared" si="3"/>
        <v>13.566666666666668</v>
      </c>
      <c r="O6" s="405"/>
    </row>
    <row r="7" spans="1:15" x14ac:dyDescent="0.25">
      <c r="A7" t="str">
        <f>PLANTILLA!D14</f>
        <v>S. Zobbe</v>
      </c>
      <c r="B7" s="159">
        <f>PLANTILLA!J14</f>
        <v>1.4142637871381487</v>
      </c>
      <c r="C7" s="265">
        <f>PLANTILLA!AC14</f>
        <v>7.4766666666666666</v>
      </c>
      <c r="D7" s="265">
        <f>PLANTILLA!AD14</f>
        <v>16</v>
      </c>
      <c r="E7" s="159">
        <f>PLANTILLA!AI14</f>
        <v>18.564349881643761</v>
      </c>
      <c r="F7" s="159">
        <f>PLANTILLA!AJ14</f>
        <v>15.143883591414182</v>
      </c>
      <c r="G7" s="159">
        <f>PLANTILLA!AK14</f>
        <v>1.0869744363043854</v>
      </c>
      <c r="H7" s="159">
        <f>PLANTILLA!AL14</f>
        <v>1.0183984650996702</v>
      </c>
      <c r="K7" t="str">
        <f>A13</f>
        <v>E. Toney</v>
      </c>
      <c r="L7" s="405">
        <f t="shared" si="1"/>
        <v>1.4142637871381487</v>
      </c>
      <c r="M7" s="405">
        <f t="shared" si="2"/>
        <v>7.4766666666666666</v>
      </c>
      <c r="N7" s="405">
        <f t="shared" si="3"/>
        <v>16</v>
      </c>
      <c r="O7" s="405"/>
    </row>
    <row r="8" spans="1:15" x14ac:dyDescent="0.25">
      <c r="A8" t="str">
        <f>PLANTILLA!D13</f>
        <v>K. Helms</v>
      </c>
      <c r="B8" s="159">
        <f>PLANTILLA!J13</f>
        <v>1.4532068152525308</v>
      </c>
      <c r="C8" s="265">
        <f>PLANTILLA!AC13</f>
        <v>4.95</v>
      </c>
      <c r="D8" s="265">
        <f>PLANTILLA!AD13</f>
        <v>18</v>
      </c>
      <c r="E8" s="159">
        <f>PLANTILLA!AI13</f>
        <v>15.779295473952756</v>
      </c>
      <c r="F8" s="159">
        <f>PLANTILLA!AJ13</f>
        <v>15.774314333642462</v>
      </c>
      <c r="G8" s="159">
        <f>PLANTILLA!AK13</f>
        <v>1.0237565452202024</v>
      </c>
      <c r="H8" s="159">
        <f>PLANTILLA!AL13</f>
        <v>1.0367365982797985</v>
      </c>
      <c r="K8" t="str">
        <f>A14</f>
        <v>D. Toh</v>
      </c>
      <c r="L8" s="405">
        <f t="shared" si="1"/>
        <v>1.4532068152525308</v>
      </c>
      <c r="M8" s="405">
        <f t="shared" si="2"/>
        <v>4.95</v>
      </c>
      <c r="N8" s="405">
        <f t="shared" si="3"/>
        <v>18</v>
      </c>
      <c r="O8" s="405"/>
    </row>
    <row r="9" spans="1:15" x14ac:dyDescent="0.25">
      <c r="A9" t="str">
        <f>PLANTILLA!D15</f>
        <v>S. Buschelman</v>
      </c>
      <c r="B9" s="159">
        <f>PLANTILLA!J15</f>
        <v>1.4762799595304912</v>
      </c>
      <c r="C9" s="265">
        <f>PLANTILLA!AC15</f>
        <v>4.95</v>
      </c>
      <c r="D9" s="265">
        <f>PLANTILLA!AD15</f>
        <v>15.588888888888887</v>
      </c>
      <c r="E9" s="159">
        <f>PLANTILLA!AI15</f>
        <v>14.598764246184224</v>
      </c>
      <c r="F9" s="159">
        <f>PLANTILLA!AJ15</f>
        <v>14.233097323763833</v>
      </c>
      <c r="G9" s="159">
        <f>PLANTILLA!AK15</f>
        <v>0.95326906342910589</v>
      </c>
      <c r="H9" s="159">
        <f>PLANTILLA!AL15</f>
        <v>1.0481529305004675</v>
      </c>
      <c r="K9" t="str">
        <f>A9</f>
        <v>S. Buschelman</v>
      </c>
      <c r="L9" s="405">
        <f t="shared" si="1"/>
        <v>1.4762799595304912</v>
      </c>
      <c r="M9" s="405">
        <f t="shared" si="2"/>
        <v>4.95</v>
      </c>
      <c r="N9" s="405">
        <f t="shared" si="3"/>
        <v>15.588888888888887</v>
      </c>
      <c r="O9" s="405"/>
    </row>
    <row r="10" spans="1:15" x14ac:dyDescent="0.25">
      <c r="A10" t="str">
        <f>PLANTILLA!D16</f>
        <v>C. Rojas</v>
      </c>
      <c r="B10" s="159">
        <f>PLANTILLA!J16</f>
        <v>1.5113852111602899</v>
      </c>
      <c r="C10" s="265">
        <f>PLANTILLA!AC16</f>
        <v>3.99</v>
      </c>
      <c r="D10" s="265">
        <f>PLANTILLA!AD16</f>
        <v>17.144444444444439</v>
      </c>
      <c r="E10" s="159">
        <f>PLANTILLA!AI16</f>
        <v>11.420578871435621</v>
      </c>
      <c r="F10" s="159">
        <f>PLANTILLA!AJ16</f>
        <v>12.253227470384628</v>
      </c>
      <c r="G10" s="159">
        <f>PLANTILLA!AK16</f>
        <v>0.95474415022615633</v>
      </c>
      <c r="H10" s="159">
        <f>PLANTILLA!AL16</f>
        <v>1.0702325203367757</v>
      </c>
      <c r="K10" t="str">
        <f>A11</f>
        <v>B. Bartolache</v>
      </c>
      <c r="L10" s="405">
        <f t="shared" si="1"/>
        <v>1.5113852111602899</v>
      </c>
      <c r="M10" s="405">
        <f t="shared" si="2"/>
        <v>3.99</v>
      </c>
      <c r="N10" s="405">
        <f t="shared" si="3"/>
        <v>17.144444444444439</v>
      </c>
      <c r="O10" s="405"/>
    </row>
    <row r="11" spans="1:15" x14ac:dyDescent="0.25">
      <c r="A11" t="str">
        <f>PLANTILLA!D10</f>
        <v>B. Bartolache</v>
      </c>
      <c r="B11" s="159">
        <f>PLANTILLA!J10</f>
        <v>1.4092064684486303</v>
      </c>
      <c r="C11" s="265">
        <f>PLANTILLA!AC10</f>
        <v>3.95</v>
      </c>
      <c r="D11" s="265">
        <f>PLANTILLA!AD10</f>
        <v>16</v>
      </c>
      <c r="E11" s="159">
        <f>PLANTILLA!AI10</f>
        <v>13.134004542496198</v>
      </c>
      <c r="F11" s="159">
        <f>PLANTILLA!AJ10</f>
        <v>14.15968375856111</v>
      </c>
      <c r="G11" s="159">
        <f>PLANTILLA!AK10</f>
        <v>0.91023651747589052</v>
      </c>
      <c r="H11" s="159">
        <f>PLANTILLA!AL10</f>
        <v>1.163644452791404</v>
      </c>
      <c r="K11" t="str">
        <f>A12</f>
        <v>T. Hammond</v>
      </c>
      <c r="L11" s="405">
        <f t="shared" si="1"/>
        <v>1.4092064684486303</v>
      </c>
      <c r="M11" s="405">
        <f t="shared" si="2"/>
        <v>3.95</v>
      </c>
      <c r="N11" s="405">
        <f t="shared" si="3"/>
        <v>16</v>
      </c>
      <c r="O11" s="405"/>
    </row>
    <row r="12" spans="1:15" x14ac:dyDescent="0.25">
      <c r="A12" t="str">
        <f>PLANTILLA!D6</f>
        <v>T. Hammond</v>
      </c>
      <c r="B12" s="159">
        <f>PLANTILLA!J6</f>
        <v>1.2850504364607402</v>
      </c>
      <c r="C12" s="265">
        <f>PLANTILLA!AC6</f>
        <v>2.95</v>
      </c>
      <c r="D12" s="265">
        <f>PLANTILLA!AD6</f>
        <v>15.778888888888888</v>
      </c>
      <c r="E12" s="159">
        <f>PLANTILLA!AI6</f>
        <v>9.1696829575309895</v>
      </c>
      <c r="F12" s="159">
        <f>PLANTILLA!AJ6</f>
        <v>11.123700551252391</v>
      </c>
      <c r="G12" s="159">
        <f>PLANTILLA!AK6</f>
        <v>0.84367070158352564</v>
      </c>
      <c r="H12" s="159">
        <f>PLANTILLA!AL6</f>
        <v>1.0663201972189182</v>
      </c>
      <c r="M12" s="586">
        <f>AVERAGE(M2:M11)</f>
        <v>6.6933666666666678</v>
      </c>
      <c r="N12" s="586">
        <f>AVERAGE(N2:N11)</f>
        <v>16.049999999999997</v>
      </c>
      <c r="O12" s="587">
        <f>1.66*(M12+1.5)+0.55*(N12+1.5)-7.6</f>
        <v>15.65348866666667</v>
      </c>
    </row>
    <row r="13" spans="1:15" x14ac:dyDescent="0.25">
      <c r="A13" t="str">
        <f>PLANTILLA!D9</f>
        <v>E. Toney</v>
      </c>
      <c r="B13" s="159">
        <f>PLANTILLA!J9</f>
        <v>1.5795885744234652</v>
      </c>
      <c r="C13" s="265">
        <f>PLANTILLA!AC9</f>
        <v>3.6816666666666658</v>
      </c>
      <c r="D13" s="265">
        <f>PLANTILLA!AD9</f>
        <v>17.177777777777774</v>
      </c>
      <c r="E13" s="159">
        <f>PLANTILLA!AI9</f>
        <v>12.478901346208975</v>
      </c>
      <c r="F13" s="159">
        <f>PLANTILLA!AJ9</f>
        <v>13.698710643803857</v>
      </c>
      <c r="G13" s="159">
        <f>PLANTILLA!AK9</f>
        <v>0.94578375262054382</v>
      </c>
      <c r="H13" s="159">
        <f>PLANTILLA!AL9</f>
        <v>1.218904533542976</v>
      </c>
    </row>
    <row r="14" spans="1:15" x14ac:dyDescent="0.25">
      <c r="A14" t="str">
        <f>PLANTILLA!D8</f>
        <v>D. Toh</v>
      </c>
      <c r="B14" s="159">
        <f>PLANTILLA!J8</f>
        <v>1.2975038047995981</v>
      </c>
      <c r="C14" s="265">
        <f>PLANTILLA!AC8</f>
        <v>3.9933333333333318</v>
      </c>
      <c r="D14" s="265">
        <f>PLANTILLA!AD8</f>
        <v>15.587777777777776</v>
      </c>
      <c r="E14" s="159">
        <f>PLANTILLA!AI8</f>
        <v>12.762147255579663</v>
      </c>
      <c r="F14" s="159">
        <f>PLANTILLA!AJ8</f>
        <v>13.801152315419376</v>
      </c>
      <c r="G14" s="159">
        <f>PLANTILLA!AK8</f>
        <v>0.89110030438396759</v>
      </c>
      <c r="H14" s="159">
        <f>PLANTILLA!AL8</f>
        <v>1.1065519330026383</v>
      </c>
    </row>
    <row r="15" spans="1:15" x14ac:dyDescent="0.25">
      <c r="A15" t="str">
        <f>PLANTILLA!D17</f>
        <v>E. Gross</v>
      </c>
      <c r="B15" s="159">
        <f>PLANTILLA!J17</f>
        <v>1.424247815661549</v>
      </c>
      <c r="C15" s="265">
        <f>PLANTILLA!AC17</f>
        <v>2.98</v>
      </c>
      <c r="D15" s="265">
        <f>PLANTILLA!AD17</f>
        <v>17.459999999999997</v>
      </c>
      <c r="E15" s="159">
        <f>PLANTILLA!AI17</f>
        <v>7.1692227727863607</v>
      </c>
      <c r="F15" s="159">
        <f>PLANTILLA!AJ17</f>
        <v>8.573873103593515</v>
      </c>
      <c r="G15" s="159">
        <f>PLANTILLA!AK17</f>
        <v>0.90673982525292396</v>
      </c>
      <c r="H15" s="159">
        <f>PLANTILLA!AL17</f>
        <v>1.1504973470963082</v>
      </c>
    </row>
    <row r="16" spans="1:15" x14ac:dyDescent="0.25">
      <c r="A16" t="str">
        <f>PLANTILLA!D11</f>
        <v>F. Lasprilla</v>
      </c>
      <c r="B16" s="159">
        <f>PLANTILLA!J11</f>
        <v>1.0657873992714422</v>
      </c>
      <c r="C16" s="265">
        <f>PLANTILLA!AC11</f>
        <v>3.2566666666666673</v>
      </c>
      <c r="D16" s="265">
        <f>PLANTILLA!AD11</f>
        <v>13.33611111111111</v>
      </c>
      <c r="E16" s="159">
        <f>PLANTILLA!AI11</f>
        <v>9.1372313479039029</v>
      </c>
      <c r="F16" s="159">
        <f>PLANTILLA!AJ11</f>
        <v>10.883951577054294</v>
      </c>
      <c r="G16" s="159">
        <f>PLANTILLA!AK11</f>
        <v>0.768179658608382</v>
      </c>
      <c r="H16" s="159">
        <f>PLANTILLA!AL11</f>
        <v>0.96387511794900094</v>
      </c>
    </row>
    <row r="17" spans="1:8" x14ac:dyDescent="0.25">
      <c r="A17" t="str">
        <f>PLANTILLA!D19</f>
        <v>W. Gelifini</v>
      </c>
      <c r="B17" s="159">
        <f>PLANTILLA!J19</f>
        <v>0.97652501309729134</v>
      </c>
      <c r="C17" s="265">
        <f>PLANTILLA!AC19</f>
        <v>3.5417777777777766</v>
      </c>
      <c r="D17" s="265">
        <f>PLANTILLA!AD19</f>
        <v>12.847222222222223</v>
      </c>
      <c r="E17" s="159">
        <f>PLANTILLA!AI19</f>
        <v>9.1432536484575859</v>
      </c>
      <c r="F17" s="159">
        <f>PLANTILLA!AJ19</f>
        <v>10.591569385006011</v>
      </c>
      <c r="G17" s="159">
        <f>PLANTILLA!AK19</f>
        <v>0.76062755660333869</v>
      </c>
      <c r="H17" s="159">
        <f>PLANTILLA!AL19</f>
        <v>0.78483563980569904</v>
      </c>
    </row>
    <row r="18" spans="1:8" x14ac:dyDescent="0.25">
      <c r="A18" t="str">
        <f>PLANTILLA!D5</f>
        <v>D. Gehmacher</v>
      </c>
      <c r="B18" s="159">
        <f>PLANTILLA!J5</f>
        <v>1.7711728045849837</v>
      </c>
      <c r="C18" s="265">
        <f>PLANTILLA!AC5</f>
        <v>0.14055555555555557</v>
      </c>
      <c r="D18" s="265">
        <f>PLANTILLA!AD5</f>
        <v>18.2</v>
      </c>
      <c r="E18" s="159">
        <f ca="1">PLANTILLA!AI5</f>
        <v>7.4099863776358816</v>
      </c>
      <c r="F18" s="159">
        <f ca="1">PLANTILLA!AJ5</f>
        <v>13.144971029365308</v>
      </c>
      <c r="G18" s="159">
        <f ca="1">PLANTILLA!AK5</f>
        <v>0.77472160214457653</v>
      </c>
      <c r="H18" s="159">
        <f ca="1">PLANTILLA!AL5</f>
        <v>1.2232044739433268</v>
      </c>
    </row>
    <row r="19" spans="1:8" x14ac:dyDescent="0.25">
      <c r="A19" t="e">
        <f>PLANTILLA!#REF!</f>
        <v>#REF!</v>
      </c>
      <c r="B19" s="159" t="e">
        <f>PLANTILLA!#REF!</f>
        <v>#REF!</v>
      </c>
      <c r="C19" s="265" t="e">
        <f>PLANTILLA!#REF!</f>
        <v>#REF!</v>
      </c>
      <c r="D19" s="265" t="e">
        <f>PLANTILLA!#REF!</f>
        <v>#REF!</v>
      </c>
      <c r="E19" s="159" t="e">
        <f>PLANTILLA!#REF!</f>
        <v>#REF!</v>
      </c>
      <c r="F19" s="159" t="e">
        <f>PLANTILLA!#REF!</f>
        <v>#REF!</v>
      </c>
      <c r="G19" s="159" t="e">
        <f>PLANTILLA!#REF!</f>
        <v>#REF!</v>
      </c>
      <c r="H19" s="159" t="e">
        <f>PLANTILLA!#REF!</f>
        <v>#REF!</v>
      </c>
    </row>
    <row r="20" spans="1:8" x14ac:dyDescent="0.25">
      <c r="A20" t="str">
        <f>PLANTILLA!D7</f>
        <v>B. Pinczehelyi</v>
      </c>
      <c r="B20" s="159">
        <f>PLANTILLA!J7</f>
        <v>1.6405985618376986</v>
      </c>
      <c r="C20" s="265">
        <f>PLANTILLA!AC7</f>
        <v>1.1428571428571428</v>
      </c>
      <c r="D20" s="265">
        <f>PLANTILLA!AD7</f>
        <v>11</v>
      </c>
      <c r="E20" s="159">
        <f ca="1">PLANTILLA!AI7</f>
        <v>5.7242213196307619</v>
      </c>
      <c r="F20" s="159">
        <f ca="1">PLANTILLA!AJ7</f>
        <v>9.8909580264362109</v>
      </c>
      <c r="G20" s="159">
        <f ca="1">PLANTILLA!AK7</f>
        <v>0.59839074208987308</v>
      </c>
      <c r="H20" s="159">
        <f ca="1">PLANTILLA!AL7</f>
        <v>1.0868418993286391</v>
      </c>
    </row>
  </sheetData>
  <sortState ref="A2:H20">
    <sortCondition descending="1" ref="E2:E20"/>
  </sortState>
  <conditionalFormatting sqref="E2:E20">
    <cfRule type="cellIs" dxfId="366" priority="4" operator="lessThan">
      <formula>11</formula>
    </cfRule>
    <cfRule type="cellIs" dxfId="365" priority="5" operator="between">
      <formula>11</formula>
      <formula>15</formula>
    </cfRule>
    <cfRule type="cellIs" dxfId="364" priority="6" operator="greaterThan">
      <formula>15</formula>
    </cfRule>
  </conditionalFormatting>
  <pageMargins left="0.7" right="0.7" top="0.75" bottom="0.75" header="0.3" footer="0.3"/>
  <pageSetup paperSize="9" orientation="portrait" horizontalDpi="300" verticalDpi="3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I5" activePane="bottomRight" state="frozen"/>
      <selection pane="topRight" activeCell="D1" sqref="D1"/>
      <selection pane="bottomLeft" activeCell="A5" sqref="A5"/>
      <selection pane="bottomRight" activeCell="O19" sqref="O19"/>
    </sheetView>
  </sheetViews>
  <sheetFormatPr defaultColWidth="11.42578125" defaultRowHeight="15" x14ac:dyDescent="0.25"/>
  <cols>
    <col min="1" max="1" width="23" style="4" bestFit="1" customWidth="1"/>
    <col min="2" max="2" width="16" style="4" customWidth="1"/>
    <col min="3" max="3" width="18.28515625" style="4" bestFit="1" customWidth="1"/>
    <col min="4" max="4" width="16.7109375" style="588"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68</v>
      </c>
      <c r="B1" s="51"/>
      <c r="C1" s="51"/>
    </row>
    <row r="2" spans="1:26" s="53" customFormat="1" ht="12.75" x14ac:dyDescent="0.2">
      <c r="B2" s="54"/>
      <c r="C2" s="54"/>
      <c r="D2" s="55">
        <f>EconomiaT49!S25</f>
        <v>42524</v>
      </c>
      <c r="E2" s="55">
        <f t="shared" ref="E2:S2" si="0">D2+7</f>
        <v>42531</v>
      </c>
      <c r="F2" s="55">
        <f t="shared" si="0"/>
        <v>42538</v>
      </c>
      <c r="G2" s="55">
        <f t="shared" si="0"/>
        <v>42545</v>
      </c>
      <c r="H2" s="55">
        <f t="shared" si="0"/>
        <v>42552</v>
      </c>
      <c r="I2" s="55">
        <f t="shared" si="0"/>
        <v>42559</v>
      </c>
      <c r="J2" s="55">
        <f t="shared" si="0"/>
        <v>42566</v>
      </c>
      <c r="K2" s="55">
        <f t="shared" si="0"/>
        <v>42573</v>
      </c>
      <c r="L2" s="55">
        <f t="shared" si="0"/>
        <v>42580</v>
      </c>
      <c r="M2" s="55">
        <f t="shared" si="0"/>
        <v>42587</v>
      </c>
      <c r="N2" s="55">
        <f t="shared" si="0"/>
        <v>42594</v>
      </c>
      <c r="O2" s="55">
        <f t="shared" si="0"/>
        <v>42601</v>
      </c>
      <c r="P2" s="55">
        <f t="shared" si="0"/>
        <v>42608</v>
      </c>
      <c r="Q2" s="55">
        <f t="shared" si="0"/>
        <v>42615</v>
      </c>
      <c r="R2" s="55">
        <f t="shared" si="0"/>
        <v>42622</v>
      </c>
      <c r="S2" s="55">
        <f t="shared" si="0"/>
        <v>42629</v>
      </c>
      <c r="T2" s="56"/>
    </row>
    <row r="3" spans="1:26" s="366" customFormat="1" x14ac:dyDescent="0.25">
      <c r="A3" s="327"/>
      <c r="B3" s="327"/>
      <c r="C3" s="327" t="s">
        <v>619</v>
      </c>
      <c r="D3" s="364" t="s">
        <v>28</v>
      </c>
      <c r="E3" s="364" t="s">
        <v>29</v>
      </c>
      <c r="F3" s="364" t="s">
        <v>30</v>
      </c>
      <c r="G3" s="364" t="s">
        <v>31</v>
      </c>
      <c r="H3" s="364" t="s">
        <v>32</v>
      </c>
      <c r="I3" s="364" t="s">
        <v>33</v>
      </c>
      <c r="J3" s="364" t="s">
        <v>34</v>
      </c>
      <c r="K3" s="364" t="s">
        <v>35</v>
      </c>
      <c r="L3" s="364" t="s">
        <v>36</v>
      </c>
      <c r="M3" s="364" t="s">
        <v>37</v>
      </c>
      <c r="N3" s="364" t="s">
        <v>38</v>
      </c>
      <c r="O3" s="364" t="s">
        <v>39</v>
      </c>
      <c r="P3" s="364" t="s">
        <v>40</v>
      </c>
      <c r="Q3" s="364" t="s">
        <v>41</v>
      </c>
      <c r="R3" s="364" t="s">
        <v>42</v>
      </c>
      <c r="S3" s="365" t="s">
        <v>43</v>
      </c>
    </row>
    <row r="4" spans="1:26" s="59" customFormat="1" x14ac:dyDescent="0.25">
      <c r="A4" s="57"/>
      <c r="B4" s="60"/>
      <c r="C4" s="60" t="s">
        <v>69</v>
      </c>
      <c r="D4" s="61">
        <v>2849</v>
      </c>
      <c r="E4" s="61">
        <f t="shared" ref="E4:S4" si="1">D4+(D11/30)</f>
        <v>2853</v>
      </c>
      <c r="F4" s="61">
        <f t="shared" si="1"/>
        <v>2861</v>
      </c>
      <c r="G4" s="61">
        <f t="shared" si="1"/>
        <v>2869</v>
      </c>
      <c r="H4" s="61">
        <f t="shared" si="1"/>
        <v>2873</v>
      </c>
      <c r="I4" s="61">
        <f t="shared" si="1"/>
        <v>2877</v>
      </c>
      <c r="J4" s="61">
        <f t="shared" ref="J4" si="2">I4+(I11/30)</f>
        <v>2884</v>
      </c>
      <c r="K4" s="61">
        <f t="shared" ref="K4" si="3">J4+(J11/30)</f>
        <v>2889</v>
      </c>
      <c r="L4" s="61">
        <f t="shared" ref="L4" si="4">K4+(K11/30)</f>
        <v>2891</v>
      </c>
      <c r="M4" s="61">
        <f t="shared" ref="M4" si="5">L4+(L11/30)</f>
        <v>2897</v>
      </c>
      <c r="N4" s="61">
        <f t="shared" ref="N4" si="6">M4+(M11/30)</f>
        <v>2903</v>
      </c>
      <c r="O4" s="61">
        <f t="shared" ref="O4" si="7">N4+(N11/30)</f>
        <v>2904</v>
      </c>
      <c r="P4" s="61">
        <f t="shared" ref="P4" si="8">O4+(O11/30)</f>
        <v>2904</v>
      </c>
      <c r="Q4" s="61">
        <f t="shared" ref="Q4" si="9">P4+(P11/30)</f>
        <v>2905</v>
      </c>
      <c r="R4" s="61">
        <f t="shared" ref="R4" si="10">Q4+(Q11/30)</f>
        <v>2912</v>
      </c>
      <c r="S4" s="212">
        <f t="shared" si="1"/>
        <v>2918</v>
      </c>
    </row>
    <row r="5" spans="1:26" s="66" customFormat="1" ht="18.75" x14ac:dyDescent="0.3">
      <c r="A5" s="62" t="s">
        <v>70</v>
      </c>
      <c r="B5" s="62"/>
      <c r="C5" s="63">
        <f>EconomiaT49!C24</f>
        <v>3042401.0147551969</v>
      </c>
      <c r="D5" s="64">
        <f>C5</f>
        <v>3042401.0147551969</v>
      </c>
      <c r="E5" s="64">
        <f t="shared" ref="E5:Q5" si="11">D24</f>
        <v>2988407.0147551969</v>
      </c>
      <c r="F5" s="64">
        <f t="shared" si="11"/>
        <v>2484121.0147551969</v>
      </c>
      <c r="G5" s="64">
        <f t="shared" si="11"/>
        <v>3058780.0147551969</v>
      </c>
      <c r="H5" s="64">
        <f t="shared" si="11"/>
        <v>3154127.0147551969</v>
      </c>
      <c r="I5" s="64">
        <f t="shared" si="11"/>
        <v>3690666.0147551969</v>
      </c>
      <c r="J5" s="64">
        <f t="shared" si="11"/>
        <v>4404638.0147551969</v>
      </c>
      <c r="K5" s="64">
        <f t="shared" si="11"/>
        <v>4914035.0147551969</v>
      </c>
      <c r="L5" s="64">
        <f t="shared" si="11"/>
        <v>5972523.0147551969</v>
      </c>
      <c r="M5" s="64">
        <f t="shared" si="11"/>
        <v>6714491.0147551969</v>
      </c>
      <c r="N5" s="64">
        <f t="shared" si="11"/>
        <v>7180068.0147551969</v>
      </c>
      <c r="O5" s="64">
        <f t="shared" si="11"/>
        <v>7142597.0147551969</v>
      </c>
      <c r="P5" s="64">
        <f t="shared" si="11"/>
        <v>7163834.0147551969</v>
      </c>
      <c r="Q5" s="64">
        <f t="shared" si="11"/>
        <v>7560229.0147551969</v>
      </c>
      <c r="R5" s="64">
        <f>Q24</f>
        <v>7472118.0147551969</v>
      </c>
      <c r="S5" s="65">
        <f>R24</f>
        <v>6143075.0147551969</v>
      </c>
    </row>
    <row r="6" spans="1:26" x14ac:dyDescent="0.25">
      <c r="A6" s="67" t="s">
        <v>71</v>
      </c>
      <c r="B6" s="67" t="s">
        <v>71</v>
      </c>
      <c r="C6" s="68">
        <f t="shared" ref="C6:C23" si="12">SUM(D6:S6)</f>
        <v>6222531</v>
      </c>
      <c r="D6" s="69">
        <v>34650</v>
      </c>
      <c r="E6" s="69">
        <v>53998</v>
      </c>
      <c r="F6" s="69">
        <v>674608</v>
      </c>
      <c r="G6" s="69">
        <v>189581</v>
      </c>
      <c r="H6" s="69">
        <v>637879</v>
      </c>
      <c r="I6" s="69">
        <v>754027</v>
      </c>
      <c r="J6" s="69">
        <v>359672</v>
      </c>
      <c r="K6" s="69">
        <v>1076131</v>
      </c>
      <c r="L6" s="69">
        <v>602458</v>
      </c>
      <c r="M6" s="463">
        <f>25483+550584</f>
        <v>576067</v>
      </c>
      <c r="N6" s="463">
        <f>14126+59043</f>
        <v>73169</v>
      </c>
      <c r="O6" s="463">
        <v>21707</v>
      </c>
      <c r="P6" s="463">
        <f>22579+394156</f>
        <v>416735</v>
      </c>
      <c r="Q6" s="463">
        <v>21824</v>
      </c>
      <c r="R6" s="463">
        <f>681438+23776</f>
        <v>705214</v>
      </c>
      <c r="S6" s="70">
        <v>24811</v>
      </c>
      <c r="Y6" s="67" t="s">
        <v>71</v>
      </c>
      <c r="Z6" s="71">
        <f>C6/$C$13</f>
        <v>0.5685946521026749</v>
      </c>
    </row>
    <row r="7" spans="1:26" x14ac:dyDescent="0.25">
      <c r="A7" s="67" t="s">
        <v>72</v>
      </c>
      <c r="B7" s="67" t="s">
        <v>72</v>
      </c>
      <c r="C7" s="68">
        <f t="shared" si="12"/>
        <v>3046995</v>
      </c>
      <c r="D7" s="72">
        <v>138385</v>
      </c>
      <c r="E7" s="72">
        <v>164470</v>
      </c>
      <c r="F7" s="72">
        <v>180010</v>
      </c>
      <c r="G7" s="72">
        <v>188705</v>
      </c>
      <c r="H7" s="72">
        <v>193330</v>
      </c>
      <c r="I7" s="72">
        <v>195735</v>
      </c>
      <c r="J7" s="72">
        <v>197215</v>
      </c>
      <c r="K7" s="72">
        <v>198140</v>
      </c>
      <c r="L7" s="72">
        <v>198540</v>
      </c>
      <c r="M7" s="72">
        <f t="shared" ref="M7:P7" si="13">L7</f>
        <v>198540</v>
      </c>
      <c r="N7" s="72">
        <f t="shared" si="13"/>
        <v>198540</v>
      </c>
      <c r="O7" s="72">
        <f t="shared" si="13"/>
        <v>198540</v>
      </c>
      <c r="P7" s="72">
        <f t="shared" si="13"/>
        <v>198540</v>
      </c>
      <c r="Q7" s="72">
        <v>199065</v>
      </c>
      <c r="R7" s="72">
        <v>199435</v>
      </c>
      <c r="S7" s="70">
        <v>199805</v>
      </c>
      <c r="Y7" s="67" t="s">
        <v>72</v>
      </c>
      <c r="Z7" s="71">
        <f t="shared" ref="Z7:Z12" si="14">C7/$C$13</f>
        <v>0.27842449671742736</v>
      </c>
    </row>
    <row r="8" spans="1:26" x14ac:dyDescent="0.25">
      <c r="A8" s="67" t="s">
        <v>73</v>
      </c>
      <c r="B8" s="67" t="s">
        <v>74</v>
      </c>
      <c r="C8" s="68">
        <f t="shared" si="12"/>
        <v>0</v>
      </c>
      <c r="D8" s="69">
        <v>0</v>
      </c>
      <c r="E8" s="69">
        <v>0</v>
      </c>
      <c r="F8" s="69">
        <v>0</v>
      </c>
      <c r="G8" s="69">
        <v>0</v>
      </c>
      <c r="H8" s="69">
        <v>0</v>
      </c>
      <c r="I8" s="69">
        <v>0</v>
      </c>
      <c r="J8" s="69">
        <v>0</v>
      </c>
      <c r="K8" s="69">
        <v>0</v>
      </c>
      <c r="L8" s="69">
        <v>0</v>
      </c>
      <c r="M8" s="69">
        <v>0</v>
      </c>
      <c r="N8" s="69">
        <v>0</v>
      </c>
      <c r="O8" s="69">
        <v>0</v>
      </c>
      <c r="P8" s="69">
        <v>0</v>
      </c>
      <c r="Q8" s="69">
        <v>0</v>
      </c>
      <c r="R8" s="69">
        <v>0</v>
      </c>
      <c r="S8" s="70">
        <v>0</v>
      </c>
      <c r="Y8" s="67" t="s">
        <v>74</v>
      </c>
      <c r="Z8" s="71">
        <f t="shared" si="14"/>
        <v>0</v>
      </c>
    </row>
    <row r="9" spans="1:26" x14ac:dyDescent="0.25">
      <c r="A9" s="67"/>
      <c r="B9" s="67" t="s">
        <v>75</v>
      </c>
      <c r="C9" s="68">
        <f t="shared" si="12"/>
        <v>585827</v>
      </c>
      <c r="D9" s="69">
        <v>56050</v>
      </c>
      <c r="E9" s="69">
        <v>0</v>
      </c>
      <c r="F9" s="69">
        <v>0</v>
      </c>
      <c r="G9" s="69">
        <v>0</v>
      </c>
      <c r="H9" s="69">
        <v>0</v>
      </c>
      <c r="I9" s="69">
        <v>1900</v>
      </c>
      <c r="J9" s="69">
        <v>247950</v>
      </c>
      <c r="K9" s="69">
        <v>80427</v>
      </c>
      <c r="L9" s="69">
        <v>0</v>
      </c>
      <c r="M9" s="69">
        <v>0</v>
      </c>
      <c r="N9" s="69">
        <v>0</v>
      </c>
      <c r="O9" s="69">
        <v>110200</v>
      </c>
      <c r="P9" s="69">
        <f>79800+9500</f>
        <v>89300</v>
      </c>
      <c r="Q9" s="69">
        <v>0</v>
      </c>
      <c r="R9" s="69">
        <v>0</v>
      </c>
      <c r="S9" s="70">
        <v>0</v>
      </c>
      <c r="Y9" s="67" t="s">
        <v>75</v>
      </c>
      <c r="Z9" s="71">
        <f t="shared" si="14"/>
        <v>5.3530966620713299E-2</v>
      </c>
    </row>
    <row r="10" spans="1:26" x14ac:dyDescent="0.25">
      <c r="A10" s="67" t="s">
        <v>76</v>
      </c>
      <c r="B10" s="67" t="s">
        <v>76</v>
      </c>
      <c r="C10" s="68">
        <f t="shared" si="12"/>
        <v>73830</v>
      </c>
      <c r="D10" s="72">
        <v>0</v>
      </c>
      <c r="E10" s="72">
        <v>0</v>
      </c>
      <c r="F10" s="72">
        <v>0</v>
      </c>
      <c r="G10" s="72">
        <v>0</v>
      </c>
      <c r="H10" s="72">
        <v>0</v>
      </c>
      <c r="I10" s="72">
        <v>54960</v>
      </c>
      <c r="J10" s="72">
        <v>0</v>
      </c>
      <c r="K10" s="72">
        <v>0</v>
      </c>
      <c r="L10" s="72">
        <v>0</v>
      </c>
      <c r="M10" s="72">
        <v>0</v>
      </c>
      <c r="N10" s="72">
        <v>0</v>
      </c>
      <c r="O10" s="72">
        <v>0</v>
      </c>
      <c r="P10" s="72">
        <v>0</v>
      </c>
      <c r="Q10" s="72">
        <v>0</v>
      </c>
      <c r="R10" s="72">
        <v>0</v>
      </c>
      <c r="S10" s="70">
        <v>18870</v>
      </c>
      <c r="Y10" s="67" t="s">
        <v>76</v>
      </c>
      <c r="Z10" s="71">
        <f t="shared" si="14"/>
        <v>6.7463453640874572E-3</v>
      </c>
    </row>
    <row r="11" spans="1:26" x14ac:dyDescent="0.25">
      <c r="A11" s="715" t="s">
        <v>77</v>
      </c>
      <c r="B11" s="67" t="s">
        <v>78</v>
      </c>
      <c r="C11" s="68">
        <f t="shared" si="12"/>
        <v>89520</v>
      </c>
      <c r="D11" s="72">
        <v>120</v>
      </c>
      <c r="E11" s="72">
        <v>240</v>
      </c>
      <c r="F11" s="72">
        <v>240</v>
      </c>
      <c r="G11" s="72">
        <v>120</v>
      </c>
      <c r="H11" s="72">
        <v>120</v>
      </c>
      <c r="I11" s="72">
        <v>210</v>
      </c>
      <c r="J11" s="72">
        <v>150</v>
      </c>
      <c r="K11" s="72">
        <v>60</v>
      </c>
      <c r="L11" s="72">
        <v>180</v>
      </c>
      <c r="M11" s="72">
        <v>180</v>
      </c>
      <c r="N11" s="72">
        <v>30</v>
      </c>
      <c r="O11" s="72">
        <v>0</v>
      </c>
      <c r="P11" s="72">
        <v>30</v>
      </c>
      <c r="Q11" s="72">
        <v>210</v>
      </c>
      <c r="R11" s="72">
        <v>180</v>
      </c>
      <c r="S11" s="70">
        <f>87270+90+90</f>
        <v>87450</v>
      </c>
      <c r="Y11" s="67" t="s">
        <v>78</v>
      </c>
      <c r="Z11" s="71">
        <f t="shared" si="14"/>
        <v>8.1800465527984458E-3</v>
      </c>
    </row>
    <row r="12" spans="1:26" x14ac:dyDescent="0.25">
      <c r="A12" s="716"/>
      <c r="B12" s="67" t="s">
        <v>79</v>
      </c>
      <c r="C12" s="68">
        <f t="shared" si="12"/>
        <v>925000</v>
      </c>
      <c r="D12" s="72">
        <v>0</v>
      </c>
      <c r="E12" s="72">
        <v>0</v>
      </c>
      <c r="F12" s="72">
        <v>0</v>
      </c>
      <c r="G12" s="72">
        <v>0</v>
      </c>
      <c r="H12" s="72">
        <v>0</v>
      </c>
      <c r="I12" s="72">
        <v>0</v>
      </c>
      <c r="J12" s="72">
        <v>0</v>
      </c>
      <c r="K12" s="72">
        <v>0</v>
      </c>
      <c r="L12" s="72">
        <v>250000</v>
      </c>
      <c r="M12" s="72">
        <v>0</v>
      </c>
      <c r="N12" s="72">
        <v>0</v>
      </c>
      <c r="O12" s="72">
        <v>0</v>
      </c>
      <c r="P12" s="72">
        <v>0</v>
      </c>
      <c r="Q12" s="72">
        <v>0</v>
      </c>
      <c r="R12" s="72">
        <v>0</v>
      </c>
      <c r="S12" s="70">
        <v>675000</v>
      </c>
      <c r="Y12" s="67" t="s">
        <v>79</v>
      </c>
      <c r="Z12" s="71">
        <f t="shared" si="14"/>
        <v>8.4523492642298498E-2</v>
      </c>
    </row>
    <row r="13" spans="1:26" s="78" customFormat="1" ht="18.75" x14ac:dyDescent="0.3">
      <c r="A13" s="73" t="s">
        <v>80</v>
      </c>
      <c r="B13" s="74"/>
      <c r="C13" s="75">
        <f t="shared" si="12"/>
        <v>10943703</v>
      </c>
      <c r="D13" s="76">
        <f t="shared" ref="D13:H13" si="15">SUM(D6:D12)</f>
        <v>229205</v>
      </c>
      <c r="E13" s="76">
        <f t="shared" si="15"/>
        <v>218708</v>
      </c>
      <c r="F13" s="76">
        <f>F12+F11+F10+F9+F8+F7+F6</f>
        <v>854858</v>
      </c>
      <c r="G13" s="76">
        <f t="shared" si="15"/>
        <v>378406</v>
      </c>
      <c r="H13" s="76">
        <f t="shared" si="15"/>
        <v>831329</v>
      </c>
      <c r="I13" s="76">
        <f t="shared" ref="I13:S13" si="16">SUM(I6:I12)</f>
        <v>1006832</v>
      </c>
      <c r="J13" s="76">
        <f t="shared" si="16"/>
        <v>804987</v>
      </c>
      <c r="K13" s="76">
        <f t="shared" si="16"/>
        <v>1354758</v>
      </c>
      <c r="L13" s="76">
        <f t="shared" si="16"/>
        <v>1051178</v>
      </c>
      <c r="M13" s="76">
        <f t="shared" si="16"/>
        <v>774787</v>
      </c>
      <c r="N13" s="76">
        <f t="shared" si="16"/>
        <v>271739</v>
      </c>
      <c r="O13" s="76">
        <f t="shared" si="16"/>
        <v>330447</v>
      </c>
      <c r="P13" s="76">
        <f t="shared" si="16"/>
        <v>704605</v>
      </c>
      <c r="Q13" s="76">
        <f t="shared" si="16"/>
        <v>221099</v>
      </c>
      <c r="R13" s="76">
        <f t="shared" si="16"/>
        <v>904829</v>
      </c>
      <c r="S13" s="77">
        <f t="shared" si="16"/>
        <v>1005936</v>
      </c>
      <c r="Z13" s="79">
        <f>SUM(Z6:Z12)</f>
        <v>1</v>
      </c>
    </row>
    <row r="14" spans="1:26" ht="18.75" x14ac:dyDescent="0.3">
      <c r="A14" s="80" t="s">
        <v>81</v>
      </c>
      <c r="B14" s="81" t="str">
        <f>A14</f>
        <v>Sueldos</v>
      </c>
      <c r="C14" s="82">
        <f t="shared" si="12"/>
        <v>2646284</v>
      </c>
      <c r="D14" s="83">
        <v>155382</v>
      </c>
      <c r="E14" s="83">
        <f>D14</f>
        <v>155382</v>
      </c>
      <c r="F14" s="83">
        <f t="shared" ref="F14" si="17">E14</f>
        <v>155382</v>
      </c>
      <c r="G14" s="83">
        <v>158242</v>
      </c>
      <c r="H14" s="83">
        <v>161502</v>
      </c>
      <c r="I14" s="83">
        <v>163572</v>
      </c>
      <c r="J14" s="83">
        <v>163302</v>
      </c>
      <c r="K14" s="83">
        <v>163982</v>
      </c>
      <c r="L14" s="83">
        <v>170922</v>
      </c>
      <c r="M14" s="83">
        <v>170922</v>
      </c>
      <c r="N14" s="83">
        <v>170922</v>
      </c>
      <c r="O14" s="83">
        <v>170922</v>
      </c>
      <c r="P14" s="83">
        <v>170922</v>
      </c>
      <c r="Q14" s="83">
        <v>170922</v>
      </c>
      <c r="R14" s="83">
        <v>173212</v>
      </c>
      <c r="S14" s="70">
        <v>170794</v>
      </c>
      <c r="Y14" s="717">
        <f>C13</f>
        <v>10943703</v>
      </c>
      <c r="Z14" s="718"/>
    </row>
    <row r="15" spans="1:26" x14ac:dyDescent="0.25">
      <c r="A15" s="80" t="s">
        <v>82</v>
      </c>
      <c r="B15" s="81" t="str">
        <f>A15</f>
        <v xml:space="preserve">Mantenimiento </v>
      </c>
      <c r="C15" s="82">
        <f t="shared" si="12"/>
        <v>686244</v>
      </c>
      <c r="D15" s="83">
        <f>EconomiaT49!S15</f>
        <v>39537</v>
      </c>
      <c r="E15" s="83">
        <f t="shared" ref="E15:S22" si="18">D15</f>
        <v>39537</v>
      </c>
      <c r="F15" s="83">
        <f t="shared" si="18"/>
        <v>39537</v>
      </c>
      <c r="G15" s="83">
        <f t="shared" si="18"/>
        <v>39537</v>
      </c>
      <c r="H15" s="83">
        <v>44008</v>
      </c>
      <c r="I15" s="83">
        <f t="shared" si="18"/>
        <v>44008</v>
      </c>
      <c r="J15" s="83">
        <f t="shared" si="18"/>
        <v>44008</v>
      </c>
      <c r="K15" s="83">
        <f t="shared" si="18"/>
        <v>44008</v>
      </c>
      <c r="L15" s="83">
        <f t="shared" si="18"/>
        <v>44008</v>
      </c>
      <c r="M15" s="83">
        <f t="shared" si="18"/>
        <v>44008</v>
      </c>
      <c r="N15" s="83">
        <f t="shared" si="18"/>
        <v>44008</v>
      </c>
      <c r="O15" s="83">
        <f t="shared" si="18"/>
        <v>44008</v>
      </c>
      <c r="P15" s="83">
        <f t="shared" si="18"/>
        <v>44008</v>
      </c>
      <c r="Q15" s="83">
        <f t="shared" si="18"/>
        <v>44008</v>
      </c>
      <c r="R15" s="83">
        <f t="shared" si="18"/>
        <v>44008</v>
      </c>
      <c r="S15" s="70">
        <f t="shared" si="18"/>
        <v>44008</v>
      </c>
    </row>
    <row r="16" spans="1:26" ht="20.25" customHeight="1" x14ac:dyDescent="0.25">
      <c r="A16" s="80" t="s">
        <v>83</v>
      </c>
      <c r="B16" s="81" t="s">
        <v>84</v>
      </c>
      <c r="C16" s="82">
        <f t="shared" si="12"/>
        <v>442795</v>
      </c>
      <c r="D16" s="83">
        <f>EconomiaT49!S16</f>
        <v>0</v>
      </c>
      <c r="E16" s="83">
        <v>442795</v>
      </c>
      <c r="F16" s="83">
        <v>0</v>
      </c>
      <c r="G16" s="83">
        <f t="shared" si="18"/>
        <v>0</v>
      </c>
      <c r="H16" s="83">
        <f t="shared" si="18"/>
        <v>0</v>
      </c>
      <c r="I16" s="83">
        <f t="shared" si="18"/>
        <v>0</v>
      </c>
      <c r="J16" s="83">
        <f t="shared" si="18"/>
        <v>0</v>
      </c>
      <c r="K16" s="83">
        <f t="shared" si="18"/>
        <v>0</v>
      </c>
      <c r="L16" s="83">
        <f t="shared" si="18"/>
        <v>0</v>
      </c>
      <c r="M16" s="83">
        <f t="shared" si="18"/>
        <v>0</v>
      </c>
      <c r="N16" s="83">
        <f t="shared" si="18"/>
        <v>0</v>
      </c>
      <c r="O16" s="83">
        <f t="shared" si="18"/>
        <v>0</v>
      </c>
      <c r="P16" s="83">
        <f t="shared" si="18"/>
        <v>0</v>
      </c>
      <c r="Q16" s="83">
        <f t="shared" si="18"/>
        <v>0</v>
      </c>
      <c r="R16" s="83">
        <f t="shared" si="18"/>
        <v>0</v>
      </c>
      <c r="S16" s="70">
        <f t="shared" si="18"/>
        <v>0</v>
      </c>
    </row>
    <row r="17" spans="1:26" x14ac:dyDescent="0.25">
      <c r="A17" s="80" t="s">
        <v>85</v>
      </c>
      <c r="B17" s="81" t="str">
        <f>A17</f>
        <v>Empleados</v>
      </c>
      <c r="C17" s="82">
        <f t="shared" si="12"/>
        <v>1044480</v>
      </c>
      <c r="D17" s="83">
        <f>EconomiaT49!S17</f>
        <v>65280</v>
      </c>
      <c r="E17" s="83">
        <f t="shared" si="18"/>
        <v>65280</v>
      </c>
      <c r="F17" s="83">
        <f t="shared" si="18"/>
        <v>65280</v>
      </c>
      <c r="G17" s="83">
        <f t="shared" si="18"/>
        <v>65280</v>
      </c>
      <c r="H17" s="83">
        <f t="shared" si="18"/>
        <v>65280</v>
      </c>
      <c r="I17" s="83">
        <f t="shared" si="18"/>
        <v>65280</v>
      </c>
      <c r="J17" s="83">
        <f t="shared" si="18"/>
        <v>65280</v>
      </c>
      <c r="K17" s="83">
        <f t="shared" si="18"/>
        <v>65280</v>
      </c>
      <c r="L17" s="83">
        <f t="shared" si="18"/>
        <v>65280</v>
      </c>
      <c r="M17" s="83">
        <f t="shared" si="18"/>
        <v>65280</v>
      </c>
      <c r="N17" s="83">
        <f t="shared" si="18"/>
        <v>65280</v>
      </c>
      <c r="O17" s="83">
        <f t="shared" si="18"/>
        <v>65280</v>
      </c>
      <c r="P17" s="83">
        <f t="shared" si="18"/>
        <v>65280</v>
      </c>
      <c r="Q17" s="83">
        <f t="shared" si="18"/>
        <v>65280</v>
      </c>
      <c r="R17" s="83">
        <f t="shared" si="18"/>
        <v>65280</v>
      </c>
      <c r="S17" s="70">
        <f t="shared" si="18"/>
        <v>65280</v>
      </c>
    </row>
    <row r="18" spans="1:26" x14ac:dyDescent="0.25">
      <c r="A18" s="80" t="s">
        <v>86</v>
      </c>
      <c r="B18" s="81" t="str">
        <f>A18</f>
        <v>Juveniles</v>
      </c>
      <c r="C18" s="82">
        <f t="shared" si="12"/>
        <v>320000</v>
      </c>
      <c r="D18" s="83">
        <f>EconomiaT49!S18</f>
        <v>20000</v>
      </c>
      <c r="E18" s="83">
        <f t="shared" si="18"/>
        <v>20000</v>
      </c>
      <c r="F18" s="83">
        <f t="shared" si="18"/>
        <v>20000</v>
      </c>
      <c r="G18" s="83">
        <f t="shared" si="18"/>
        <v>20000</v>
      </c>
      <c r="H18" s="83">
        <f t="shared" si="18"/>
        <v>20000</v>
      </c>
      <c r="I18" s="83">
        <f t="shared" si="18"/>
        <v>20000</v>
      </c>
      <c r="J18" s="83">
        <f t="shared" si="18"/>
        <v>20000</v>
      </c>
      <c r="K18" s="83">
        <f t="shared" si="18"/>
        <v>20000</v>
      </c>
      <c r="L18" s="83">
        <f t="shared" si="18"/>
        <v>20000</v>
      </c>
      <c r="M18" s="83">
        <f t="shared" si="18"/>
        <v>20000</v>
      </c>
      <c r="N18" s="83">
        <f t="shared" si="18"/>
        <v>20000</v>
      </c>
      <c r="O18" s="83">
        <f t="shared" si="18"/>
        <v>20000</v>
      </c>
      <c r="P18" s="83">
        <f t="shared" si="18"/>
        <v>20000</v>
      </c>
      <c r="Q18" s="83">
        <f t="shared" si="18"/>
        <v>20000</v>
      </c>
      <c r="R18" s="83">
        <f t="shared" si="18"/>
        <v>20000</v>
      </c>
      <c r="S18" s="70">
        <f t="shared" si="18"/>
        <v>20000</v>
      </c>
    </row>
    <row r="19" spans="1:26" x14ac:dyDescent="0.25">
      <c r="A19" s="80" t="s">
        <v>87</v>
      </c>
      <c r="B19" s="81" t="s">
        <v>88</v>
      </c>
      <c r="C19" s="82">
        <f t="shared" si="12"/>
        <v>0</v>
      </c>
      <c r="D19" s="83">
        <f>EconomiaT49!S19</f>
        <v>0</v>
      </c>
      <c r="E19" s="83">
        <f t="shared" si="18"/>
        <v>0</v>
      </c>
      <c r="F19" s="83">
        <f t="shared" si="18"/>
        <v>0</v>
      </c>
      <c r="G19" s="83">
        <f t="shared" si="18"/>
        <v>0</v>
      </c>
      <c r="H19" s="83">
        <f t="shared" si="18"/>
        <v>0</v>
      </c>
      <c r="I19" s="83">
        <f t="shared" si="18"/>
        <v>0</v>
      </c>
      <c r="J19" s="83">
        <f t="shared" si="18"/>
        <v>0</v>
      </c>
      <c r="K19" s="83">
        <f t="shared" si="18"/>
        <v>0</v>
      </c>
      <c r="L19" s="83">
        <f t="shared" si="18"/>
        <v>0</v>
      </c>
      <c r="M19" s="83">
        <f t="shared" si="18"/>
        <v>0</v>
      </c>
      <c r="N19" s="83">
        <f t="shared" si="18"/>
        <v>0</v>
      </c>
      <c r="O19" s="83">
        <f t="shared" si="18"/>
        <v>0</v>
      </c>
      <c r="P19" s="83">
        <f t="shared" si="18"/>
        <v>0</v>
      </c>
      <c r="Q19" s="83">
        <f t="shared" si="18"/>
        <v>0</v>
      </c>
      <c r="R19" s="83">
        <f t="shared" si="18"/>
        <v>0</v>
      </c>
      <c r="S19" s="70">
        <f t="shared" si="18"/>
        <v>0</v>
      </c>
    </row>
    <row r="20" spans="1:26" x14ac:dyDescent="0.25">
      <c r="A20" s="84" t="s">
        <v>77</v>
      </c>
      <c r="B20" s="81" t="s">
        <v>67</v>
      </c>
      <c r="C20" s="82">
        <f t="shared" si="12"/>
        <v>1916372</v>
      </c>
      <c r="D20" s="83">
        <f>EconomiaT49!S20</f>
        <v>0</v>
      </c>
      <c r="E20" s="83">
        <f t="shared" si="18"/>
        <v>0</v>
      </c>
      <c r="F20" s="83">
        <f t="shared" si="18"/>
        <v>0</v>
      </c>
      <c r="G20" s="83">
        <f t="shared" si="18"/>
        <v>0</v>
      </c>
      <c r="H20" s="83">
        <f t="shared" si="18"/>
        <v>0</v>
      </c>
      <c r="I20" s="83">
        <f t="shared" si="18"/>
        <v>0</v>
      </c>
      <c r="J20" s="83">
        <f t="shared" si="18"/>
        <v>0</v>
      </c>
      <c r="K20" s="83">
        <f t="shared" si="18"/>
        <v>0</v>
      </c>
      <c r="L20" s="83">
        <f t="shared" si="18"/>
        <v>0</v>
      </c>
      <c r="M20" s="83">
        <f t="shared" si="18"/>
        <v>0</v>
      </c>
      <c r="N20" s="83">
        <f t="shared" si="18"/>
        <v>0</v>
      </c>
      <c r="O20" s="83">
        <f t="shared" si="18"/>
        <v>0</v>
      </c>
      <c r="P20" s="83">
        <f t="shared" si="18"/>
        <v>0</v>
      </c>
      <c r="Q20" s="83">
        <f t="shared" si="18"/>
        <v>0</v>
      </c>
      <c r="R20" s="83">
        <v>1916372</v>
      </c>
      <c r="S20" s="70">
        <v>0</v>
      </c>
    </row>
    <row r="21" spans="1:26" x14ac:dyDescent="0.25">
      <c r="A21" s="84"/>
      <c r="B21" s="81" t="s">
        <v>89</v>
      </c>
      <c r="C21" s="82">
        <f t="shared" si="12"/>
        <v>87000</v>
      </c>
      <c r="D21" s="83">
        <v>3000</v>
      </c>
      <c r="E21" s="83">
        <v>0</v>
      </c>
      <c r="F21" s="83">
        <v>0</v>
      </c>
      <c r="G21" s="83">
        <v>0</v>
      </c>
      <c r="H21" s="83">
        <v>4000</v>
      </c>
      <c r="I21" s="83">
        <v>0</v>
      </c>
      <c r="J21" s="83">
        <v>3000</v>
      </c>
      <c r="K21" s="83">
        <f t="shared" si="18"/>
        <v>3000</v>
      </c>
      <c r="L21" s="83">
        <v>9000</v>
      </c>
      <c r="M21" s="83">
        <v>9000</v>
      </c>
      <c r="N21" s="83">
        <f t="shared" si="18"/>
        <v>9000</v>
      </c>
      <c r="O21" s="83">
        <v>9000</v>
      </c>
      <c r="P21" s="83">
        <f>2000+6000</f>
        <v>8000</v>
      </c>
      <c r="Q21" s="83">
        <v>9000</v>
      </c>
      <c r="R21" s="83">
        <v>15000</v>
      </c>
      <c r="S21" s="70">
        <v>6000</v>
      </c>
    </row>
    <row r="22" spans="1:26" x14ac:dyDescent="0.25">
      <c r="A22" s="80" t="s">
        <v>90</v>
      </c>
      <c r="B22" s="81" t="str">
        <f>A22</f>
        <v>Intereses</v>
      </c>
      <c r="C22" s="82">
        <f t="shared" si="12"/>
        <v>0</v>
      </c>
      <c r="D22" s="83">
        <f>EconomiaT49!S22</f>
        <v>0</v>
      </c>
      <c r="E22" s="83">
        <f t="shared" si="18"/>
        <v>0</v>
      </c>
      <c r="F22" s="83">
        <f t="shared" si="18"/>
        <v>0</v>
      </c>
      <c r="G22" s="83">
        <f t="shared" si="18"/>
        <v>0</v>
      </c>
      <c r="H22" s="83">
        <f t="shared" si="18"/>
        <v>0</v>
      </c>
      <c r="I22" s="83">
        <f t="shared" si="18"/>
        <v>0</v>
      </c>
      <c r="J22" s="83">
        <f t="shared" si="18"/>
        <v>0</v>
      </c>
      <c r="K22" s="83">
        <f t="shared" si="18"/>
        <v>0</v>
      </c>
      <c r="L22" s="83">
        <f t="shared" si="18"/>
        <v>0</v>
      </c>
      <c r="M22" s="83">
        <f t="shared" si="18"/>
        <v>0</v>
      </c>
      <c r="N22" s="83">
        <f t="shared" si="18"/>
        <v>0</v>
      </c>
      <c r="O22" s="83">
        <f t="shared" si="18"/>
        <v>0</v>
      </c>
      <c r="P22" s="83">
        <f t="shared" si="18"/>
        <v>0</v>
      </c>
      <c r="Q22" s="83">
        <f t="shared" si="18"/>
        <v>0</v>
      </c>
      <c r="R22" s="83">
        <f t="shared" si="18"/>
        <v>0</v>
      </c>
      <c r="S22" s="70">
        <f t="shared" si="18"/>
        <v>0</v>
      </c>
    </row>
    <row r="23" spans="1:26" s="90" customFormat="1" ht="18.75" x14ac:dyDescent="0.3">
      <c r="A23" s="85" t="s">
        <v>91</v>
      </c>
      <c r="B23" s="86"/>
      <c r="C23" s="87">
        <f t="shared" si="12"/>
        <v>7143175</v>
      </c>
      <c r="D23" s="88">
        <f t="shared" ref="D23:S23" si="19">SUM(D14:D22)</f>
        <v>283199</v>
      </c>
      <c r="E23" s="88">
        <f t="shared" si="19"/>
        <v>722994</v>
      </c>
      <c r="F23" s="88">
        <f t="shared" si="19"/>
        <v>280199</v>
      </c>
      <c r="G23" s="88">
        <f t="shared" si="19"/>
        <v>283059</v>
      </c>
      <c r="H23" s="88">
        <f t="shared" si="19"/>
        <v>294790</v>
      </c>
      <c r="I23" s="88">
        <f t="shared" si="19"/>
        <v>292860</v>
      </c>
      <c r="J23" s="88">
        <f t="shared" si="19"/>
        <v>295590</v>
      </c>
      <c r="K23" s="88">
        <f t="shared" si="19"/>
        <v>296270</v>
      </c>
      <c r="L23" s="88">
        <f t="shared" si="19"/>
        <v>309210</v>
      </c>
      <c r="M23" s="88">
        <f t="shared" si="19"/>
        <v>309210</v>
      </c>
      <c r="N23" s="88">
        <f t="shared" si="19"/>
        <v>309210</v>
      </c>
      <c r="O23" s="88">
        <f t="shared" si="19"/>
        <v>309210</v>
      </c>
      <c r="P23" s="88">
        <f t="shared" si="19"/>
        <v>308210</v>
      </c>
      <c r="Q23" s="88">
        <f t="shared" si="19"/>
        <v>309210</v>
      </c>
      <c r="R23" s="88">
        <f t="shared" si="19"/>
        <v>2233872</v>
      </c>
      <c r="S23" s="89">
        <f t="shared" si="19"/>
        <v>306082</v>
      </c>
      <c r="Y23" s="81" t="s">
        <v>81</v>
      </c>
      <c r="Z23" s="91">
        <f>C14/$C$23</f>
        <v>0.37046327438428989</v>
      </c>
    </row>
    <row r="24" spans="1:26" s="66" customFormat="1" ht="18.75" x14ac:dyDescent="0.3">
      <c r="A24" s="92" t="s">
        <v>92</v>
      </c>
      <c r="B24" s="92"/>
      <c r="C24" s="64">
        <f>C5+C13-C23</f>
        <v>6842929.0147551969</v>
      </c>
      <c r="D24" s="64">
        <f t="shared" ref="D24:S24" si="20">D5+D13-D23</f>
        <v>2988407.0147551969</v>
      </c>
      <c r="E24" s="64">
        <f t="shared" si="20"/>
        <v>2484121.0147551969</v>
      </c>
      <c r="F24" s="64">
        <f t="shared" si="20"/>
        <v>3058780.0147551969</v>
      </c>
      <c r="G24" s="64">
        <f t="shared" si="20"/>
        <v>3154127.0147551969</v>
      </c>
      <c r="H24" s="64">
        <f t="shared" si="20"/>
        <v>3690666.0147551969</v>
      </c>
      <c r="I24" s="64">
        <f t="shared" si="20"/>
        <v>4404638.0147551969</v>
      </c>
      <c r="J24" s="64">
        <f t="shared" si="20"/>
        <v>4914035.0147551969</v>
      </c>
      <c r="K24" s="64">
        <f t="shared" si="20"/>
        <v>5972523.0147551969</v>
      </c>
      <c r="L24" s="64">
        <f t="shared" si="20"/>
        <v>6714491.0147551969</v>
      </c>
      <c r="M24" s="64">
        <f t="shared" si="20"/>
        <v>7180068.0147551969</v>
      </c>
      <c r="N24" s="64">
        <f t="shared" si="20"/>
        <v>7142597.0147551969</v>
      </c>
      <c r="O24" s="64">
        <f t="shared" si="20"/>
        <v>7163834.0147551969</v>
      </c>
      <c r="P24" s="64">
        <f t="shared" si="20"/>
        <v>7560229.0147551969</v>
      </c>
      <c r="Q24" s="64">
        <f t="shared" si="20"/>
        <v>7472118.0147551969</v>
      </c>
      <c r="R24" s="64">
        <f t="shared" si="20"/>
        <v>6143075.0147551969</v>
      </c>
      <c r="S24" s="65">
        <f t="shared" si="20"/>
        <v>6842929.0147551969</v>
      </c>
      <c r="Y24" s="81" t="s">
        <v>82</v>
      </c>
      <c r="Z24" s="91">
        <f t="shared" ref="Z24:Z31" si="21">C15/$C$23</f>
        <v>9.6069884890122387E-2</v>
      </c>
    </row>
    <row r="25" spans="1:26" s="53" customFormat="1" x14ac:dyDescent="0.25">
      <c r="A25" s="93"/>
      <c r="B25" s="93"/>
      <c r="C25" s="93"/>
      <c r="D25" s="94">
        <f>D2+7</f>
        <v>42531</v>
      </c>
      <c r="E25" s="94">
        <f t="shared" ref="E25:S25" si="22">D25+7</f>
        <v>42538</v>
      </c>
      <c r="F25" s="94">
        <f t="shared" si="22"/>
        <v>42545</v>
      </c>
      <c r="G25" s="94">
        <f t="shared" si="22"/>
        <v>42552</v>
      </c>
      <c r="H25" s="94">
        <f t="shared" si="22"/>
        <v>42559</v>
      </c>
      <c r="I25" s="94">
        <f t="shared" si="22"/>
        <v>42566</v>
      </c>
      <c r="J25" s="94">
        <f t="shared" si="22"/>
        <v>42573</v>
      </c>
      <c r="K25" s="94">
        <f t="shared" si="22"/>
        <v>42580</v>
      </c>
      <c r="L25" s="94">
        <f t="shared" si="22"/>
        <v>42587</v>
      </c>
      <c r="M25" s="94">
        <f t="shared" si="22"/>
        <v>42594</v>
      </c>
      <c r="N25" s="94">
        <f t="shared" si="22"/>
        <v>42601</v>
      </c>
      <c r="O25" s="94">
        <f t="shared" si="22"/>
        <v>42608</v>
      </c>
      <c r="P25" s="94">
        <f t="shared" si="22"/>
        <v>42615</v>
      </c>
      <c r="Q25" s="94">
        <f t="shared" si="22"/>
        <v>42622</v>
      </c>
      <c r="R25" s="94">
        <f t="shared" si="22"/>
        <v>42629</v>
      </c>
      <c r="S25" s="94">
        <f t="shared" si="22"/>
        <v>42636</v>
      </c>
      <c r="Y25" s="81" t="s">
        <v>84</v>
      </c>
      <c r="Z25" s="91">
        <f t="shared" si="21"/>
        <v>6.1988541509902809E-2</v>
      </c>
    </row>
    <row r="26" spans="1:26" s="53" customFormat="1" x14ac:dyDescent="0.25">
      <c r="A26" s="719" t="s">
        <v>93</v>
      </c>
      <c r="B26" s="719"/>
      <c r="C26" s="96">
        <f>C6+C7+C11</f>
        <v>9359046</v>
      </c>
      <c r="D26" s="96">
        <f t="shared" ref="D26:S26" si="23">D6+D7+D11</f>
        <v>173155</v>
      </c>
      <c r="E26" s="96">
        <f t="shared" si="23"/>
        <v>218708</v>
      </c>
      <c r="F26" s="96">
        <f t="shared" si="23"/>
        <v>854858</v>
      </c>
      <c r="G26" s="96">
        <f t="shared" si="23"/>
        <v>378406</v>
      </c>
      <c r="H26" s="96">
        <f t="shared" si="23"/>
        <v>831329</v>
      </c>
      <c r="I26" s="96">
        <f t="shared" si="23"/>
        <v>949972</v>
      </c>
      <c r="J26" s="96">
        <f t="shared" si="23"/>
        <v>557037</v>
      </c>
      <c r="K26" s="96">
        <f t="shared" si="23"/>
        <v>1274331</v>
      </c>
      <c r="L26" s="96">
        <f t="shared" si="23"/>
        <v>801178</v>
      </c>
      <c r="M26" s="96">
        <f t="shared" si="23"/>
        <v>774787</v>
      </c>
      <c r="N26" s="96">
        <f t="shared" si="23"/>
        <v>271739</v>
      </c>
      <c r="O26" s="96">
        <f t="shared" si="23"/>
        <v>220247</v>
      </c>
      <c r="P26" s="96">
        <f t="shared" si="23"/>
        <v>615305</v>
      </c>
      <c r="Q26" s="96">
        <f t="shared" si="23"/>
        <v>221099</v>
      </c>
      <c r="R26" s="96">
        <f>R6+R7+R11</f>
        <v>904829</v>
      </c>
      <c r="S26" s="96">
        <f t="shared" si="23"/>
        <v>312066</v>
      </c>
      <c r="T26" s="97"/>
      <c r="Y26" s="81" t="s">
        <v>85</v>
      </c>
      <c r="Z26" s="91">
        <f t="shared" si="21"/>
        <v>0.14622069317915354</v>
      </c>
    </row>
    <row r="27" spans="1:26" s="53" customFormat="1" x14ac:dyDescent="0.25">
      <c r="A27" s="710" t="s">
        <v>94</v>
      </c>
      <c r="B27" s="710"/>
      <c r="C27" s="98">
        <f>C14+C15+C17+C18+C21</f>
        <v>4784008</v>
      </c>
      <c r="D27" s="98">
        <f t="shared" ref="D27:S27" si="24">D14+D15+D17+D18+D21</f>
        <v>283199</v>
      </c>
      <c r="E27" s="98">
        <f t="shared" si="24"/>
        <v>280199</v>
      </c>
      <c r="F27" s="98">
        <f t="shared" si="24"/>
        <v>280199</v>
      </c>
      <c r="G27" s="98">
        <f t="shared" si="24"/>
        <v>283059</v>
      </c>
      <c r="H27" s="98">
        <f t="shared" si="24"/>
        <v>294790</v>
      </c>
      <c r="I27" s="98">
        <f t="shared" si="24"/>
        <v>292860</v>
      </c>
      <c r="J27" s="98">
        <f t="shared" si="24"/>
        <v>295590</v>
      </c>
      <c r="K27" s="98">
        <f t="shared" si="24"/>
        <v>296270</v>
      </c>
      <c r="L27" s="98">
        <f t="shared" si="24"/>
        <v>309210</v>
      </c>
      <c r="M27" s="98">
        <f t="shared" si="24"/>
        <v>309210</v>
      </c>
      <c r="N27" s="98">
        <f t="shared" si="24"/>
        <v>309210</v>
      </c>
      <c r="O27" s="98">
        <f t="shared" si="24"/>
        <v>309210</v>
      </c>
      <c r="P27" s="98">
        <f t="shared" si="24"/>
        <v>308210</v>
      </c>
      <c r="Q27" s="98">
        <f t="shared" si="24"/>
        <v>309210</v>
      </c>
      <c r="R27" s="98">
        <f>R14+R15+R17+R18+R21</f>
        <v>317500</v>
      </c>
      <c r="S27" s="98">
        <f t="shared" si="24"/>
        <v>306082</v>
      </c>
      <c r="T27" s="99"/>
      <c r="Y27" s="81" t="s">
        <v>86</v>
      </c>
      <c r="Z27" s="91">
        <f t="shared" si="21"/>
        <v>4.4798006488711253E-2</v>
      </c>
    </row>
    <row r="28" spans="1:26" x14ac:dyDescent="0.25">
      <c r="A28" s="711" t="s">
        <v>95</v>
      </c>
      <c r="B28" s="711"/>
      <c r="C28" s="100">
        <f>C26-C27</f>
        <v>4575038</v>
      </c>
      <c r="D28" s="100">
        <f t="shared" ref="D28:S28" si="25">D26-D27</f>
        <v>-110044</v>
      </c>
      <c r="E28" s="100">
        <f t="shared" si="25"/>
        <v>-61491</v>
      </c>
      <c r="F28" s="100">
        <f t="shared" si="25"/>
        <v>574659</v>
      </c>
      <c r="G28" s="100">
        <f t="shared" si="25"/>
        <v>95347</v>
      </c>
      <c r="H28" s="100">
        <f t="shared" si="25"/>
        <v>536539</v>
      </c>
      <c r="I28" s="100">
        <f t="shared" si="25"/>
        <v>657112</v>
      </c>
      <c r="J28" s="100">
        <f t="shared" si="25"/>
        <v>261447</v>
      </c>
      <c r="K28" s="100">
        <f t="shared" si="25"/>
        <v>978061</v>
      </c>
      <c r="L28" s="100">
        <f t="shared" si="25"/>
        <v>491968</v>
      </c>
      <c r="M28" s="100">
        <f t="shared" si="25"/>
        <v>465577</v>
      </c>
      <c r="N28" s="100">
        <f t="shared" si="25"/>
        <v>-37471</v>
      </c>
      <c r="O28" s="100">
        <f t="shared" si="25"/>
        <v>-88963</v>
      </c>
      <c r="P28" s="100">
        <f t="shared" si="25"/>
        <v>307095</v>
      </c>
      <c r="Q28" s="100">
        <f t="shared" si="25"/>
        <v>-88111</v>
      </c>
      <c r="R28" s="100">
        <f>R26-R27</f>
        <v>587329</v>
      </c>
      <c r="S28" s="100">
        <f t="shared" si="25"/>
        <v>5984</v>
      </c>
      <c r="T28" s="101"/>
      <c r="Y28" s="81" t="s">
        <v>88</v>
      </c>
      <c r="Z28" s="91">
        <f t="shared" si="21"/>
        <v>0</v>
      </c>
    </row>
    <row r="29" spans="1:26" x14ac:dyDescent="0.25">
      <c r="A29" s="719" t="s">
        <v>96</v>
      </c>
      <c r="B29" s="719"/>
      <c r="C29" s="96">
        <f>C8+C9+C10+C12</f>
        <v>1584657</v>
      </c>
      <c r="D29" s="96">
        <f t="shared" ref="D29:S29" si="26">D8+D9+D10+D12</f>
        <v>56050</v>
      </c>
      <c r="E29" s="96">
        <f t="shared" si="26"/>
        <v>0</v>
      </c>
      <c r="F29" s="96">
        <f t="shared" si="26"/>
        <v>0</v>
      </c>
      <c r="G29" s="96">
        <f t="shared" si="26"/>
        <v>0</v>
      </c>
      <c r="H29" s="96">
        <f t="shared" si="26"/>
        <v>0</v>
      </c>
      <c r="I29" s="96">
        <f t="shared" si="26"/>
        <v>56860</v>
      </c>
      <c r="J29" s="96">
        <f t="shared" si="26"/>
        <v>247950</v>
      </c>
      <c r="K29" s="96">
        <f t="shared" si="26"/>
        <v>80427</v>
      </c>
      <c r="L29" s="96">
        <f t="shared" si="26"/>
        <v>250000</v>
      </c>
      <c r="M29" s="96">
        <f t="shared" si="26"/>
        <v>0</v>
      </c>
      <c r="N29" s="96">
        <f t="shared" si="26"/>
        <v>0</v>
      </c>
      <c r="O29" s="96">
        <f t="shared" si="26"/>
        <v>110200</v>
      </c>
      <c r="P29" s="96">
        <f t="shared" si="26"/>
        <v>89300</v>
      </c>
      <c r="Q29" s="96">
        <f t="shared" si="26"/>
        <v>0</v>
      </c>
      <c r="R29" s="96">
        <f>R8+R9+R10+R12</f>
        <v>0</v>
      </c>
      <c r="S29" s="96">
        <f t="shared" si="26"/>
        <v>693870</v>
      </c>
      <c r="T29" s="101"/>
      <c r="Y29" s="81" t="s">
        <v>67</v>
      </c>
      <c r="Z29" s="91">
        <f t="shared" si="21"/>
        <v>0.26828014153370178</v>
      </c>
    </row>
    <row r="30" spans="1:26" s="59" customFormat="1" x14ac:dyDescent="0.25">
      <c r="A30" s="710" t="s">
        <v>97</v>
      </c>
      <c r="B30" s="710"/>
      <c r="C30" s="98">
        <f>C16+C19+C20+C22</f>
        <v>2359167</v>
      </c>
      <c r="D30" s="98">
        <f t="shared" ref="D30:S30" si="27">D16+D19+D20+D22</f>
        <v>0</v>
      </c>
      <c r="E30" s="98">
        <f t="shared" si="27"/>
        <v>442795</v>
      </c>
      <c r="F30" s="98">
        <f t="shared" si="27"/>
        <v>0</v>
      </c>
      <c r="G30" s="98">
        <f t="shared" si="27"/>
        <v>0</v>
      </c>
      <c r="H30" s="98">
        <f t="shared" si="27"/>
        <v>0</v>
      </c>
      <c r="I30" s="98">
        <f t="shared" si="27"/>
        <v>0</v>
      </c>
      <c r="J30" s="98">
        <f t="shared" si="27"/>
        <v>0</v>
      </c>
      <c r="K30" s="98">
        <f t="shared" si="27"/>
        <v>0</v>
      </c>
      <c r="L30" s="98">
        <f t="shared" si="27"/>
        <v>0</v>
      </c>
      <c r="M30" s="98">
        <f t="shared" si="27"/>
        <v>0</v>
      </c>
      <c r="N30" s="98">
        <f t="shared" si="27"/>
        <v>0</v>
      </c>
      <c r="O30" s="98">
        <f t="shared" si="27"/>
        <v>0</v>
      </c>
      <c r="P30" s="98">
        <f t="shared" si="27"/>
        <v>0</v>
      </c>
      <c r="Q30" s="98">
        <f t="shared" si="27"/>
        <v>0</v>
      </c>
      <c r="R30" s="98">
        <f>R16+R19+R20+R22</f>
        <v>1916372</v>
      </c>
      <c r="S30" s="98">
        <f t="shared" si="27"/>
        <v>0</v>
      </c>
      <c r="Y30" s="81" t="s">
        <v>89</v>
      </c>
      <c r="Z30" s="91">
        <f t="shared" si="21"/>
        <v>1.2179458014118372E-2</v>
      </c>
    </row>
    <row r="31" spans="1:26" s="59" customFormat="1" x14ac:dyDescent="0.25">
      <c r="A31" s="711" t="s">
        <v>98</v>
      </c>
      <c r="B31" s="711"/>
      <c r="C31" s="100">
        <f>C29-C30</f>
        <v>-774510</v>
      </c>
      <c r="D31" s="100">
        <f t="shared" ref="D31:S31" si="28">D29-D30</f>
        <v>56050</v>
      </c>
      <c r="E31" s="100">
        <f t="shared" si="28"/>
        <v>-442795</v>
      </c>
      <c r="F31" s="100">
        <f t="shared" si="28"/>
        <v>0</v>
      </c>
      <c r="G31" s="100">
        <f t="shared" si="28"/>
        <v>0</v>
      </c>
      <c r="H31" s="100">
        <f t="shared" si="28"/>
        <v>0</v>
      </c>
      <c r="I31" s="100">
        <f t="shared" si="28"/>
        <v>56860</v>
      </c>
      <c r="J31" s="100">
        <f t="shared" si="28"/>
        <v>247950</v>
      </c>
      <c r="K31" s="100">
        <f t="shared" si="28"/>
        <v>80427</v>
      </c>
      <c r="L31" s="100">
        <f t="shared" si="28"/>
        <v>250000</v>
      </c>
      <c r="M31" s="100">
        <f t="shared" si="28"/>
        <v>0</v>
      </c>
      <c r="N31" s="100">
        <f t="shared" si="28"/>
        <v>0</v>
      </c>
      <c r="O31" s="100">
        <f t="shared" si="28"/>
        <v>110200</v>
      </c>
      <c r="P31" s="100">
        <f t="shared" si="28"/>
        <v>89300</v>
      </c>
      <c r="Q31" s="100">
        <f t="shared" si="28"/>
        <v>0</v>
      </c>
      <c r="R31" s="100">
        <f>R29-R30</f>
        <v>-1916372</v>
      </c>
      <c r="S31" s="100">
        <f t="shared" si="28"/>
        <v>693870</v>
      </c>
      <c r="Y31" s="81" t="s">
        <v>90</v>
      </c>
      <c r="Z31" s="91">
        <f t="shared" si="21"/>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66" customFormat="1" ht="18.75" x14ac:dyDescent="0.3">
      <c r="A33" s="367"/>
      <c r="B33" s="367"/>
      <c r="C33" s="368" t="s">
        <v>100</v>
      </c>
      <c r="D33" s="174">
        <v>22</v>
      </c>
      <c r="E33" s="174">
        <v>21</v>
      </c>
      <c r="F33" s="174"/>
      <c r="G33" s="174">
        <v>21</v>
      </c>
      <c r="H33" s="174">
        <v>21</v>
      </c>
      <c r="I33" s="174">
        <v>21</v>
      </c>
      <c r="J33" s="174">
        <v>22</v>
      </c>
      <c r="K33" s="174">
        <v>21</v>
      </c>
      <c r="L33" s="174">
        <v>22</v>
      </c>
      <c r="M33" s="174"/>
      <c r="N33" s="174"/>
      <c r="O33" s="174"/>
      <c r="P33" s="174"/>
      <c r="Q33" s="174"/>
      <c r="R33" s="174">
        <v>22</v>
      </c>
      <c r="S33" s="174">
        <v>21</v>
      </c>
      <c r="Z33" s="369"/>
    </row>
    <row r="34" spans="1:26" s="59" customFormat="1" ht="18.75" x14ac:dyDescent="0.3">
      <c r="A34" s="57"/>
      <c r="B34" s="720" t="s">
        <v>437</v>
      </c>
      <c r="C34" s="173" t="s">
        <v>181</v>
      </c>
      <c r="D34" s="174">
        <v>1196590</v>
      </c>
      <c r="E34" s="174">
        <v>1210970</v>
      </c>
      <c r="F34" s="174"/>
      <c r="G34" s="174">
        <v>1224400</v>
      </c>
      <c r="H34" s="174">
        <v>1250130</v>
      </c>
      <c r="I34" s="174">
        <v>1216540</v>
      </c>
      <c r="J34" s="174">
        <v>1205280</v>
      </c>
      <c r="K34" s="174">
        <v>1216570</v>
      </c>
      <c r="L34" s="174">
        <v>1203720</v>
      </c>
      <c r="M34" s="174"/>
      <c r="N34" s="174"/>
      <c r="O34" s="174"/>
      <c r="P34" s="174"/>
      <c r="Q34" s="174"/>
      <c r="R34" s="174">
        <v>1352030</v>
      </c>
      <c r="S34" s="174">
        <v>1365930</v>
      </c>
      <c r="Y34" s="712">
        <f>C23</f>
        <v>7143175</v>
      </c>
      <c r="Z34" s="713"/>
    </row>
    <row r="35" spans="1:26" x14ac:dyDescent="0.25">
      <c r="A35" s="57"/>
      <c r="B35" s="720"/>
      <c r="C35" s="173" t="s">
        <v>104</v>
      </c>
      <c r="D35" s="174">
        <v>155082</v>
      </c>
      <c r="E35" s="174">
        <v>155082</v>
      </c>
      <c r="F35" s="174"/>
      <c r="G35" s="174">
        <v>157942</v>
      </c>
      <c r="H35" s="174">
        <v>161202</v>
      </c>
      <c r="I35" s="174">
        <v>162982</v>
      </c>
      <c r="J35" s="174">
        <v>163332</v>
      </c>
      <c r="K35" s="174">
        <v>163682</v>
      </c>
      <c r="L35" s="174">
        <v>170232</v>
      </c>
      <c r="M35" s="174"/>
      <c r="N35" s="174"/>
      <c r="O35" s="174"/>
      <c r="P35" s="174"/>
      <c r="Q35" s="174"/>
      <c r="R35" s="174">
        <v>173702</v>
      </c>
      <c r="S35" s="174">
        <v>170144</v>
      </c>
    </row>
    <row r="36" spans="1:26" x14ac:dyDescent="0.25">
      <c r="A36" s="57"/>
      <c r="B36" s="720"/>
      <c r="C36" s="173" t="s">
        <v>663</v>
      </c>
      <c r="D36" s="174">
        <v>1053870</v>
      </c>
      <c r="E36" s="174">
        <v>1070960</v>
      </c>
      <c r="F36" s="174"/>
      <c r="G36" s="174">
        <v>1085330</v>
      </c>
      <c r="H36" s="174">
        <v>1110180</v>
      </c>
      <c r="I36" s="174">
        <v>1077690</v>
      </c>
      <c r="J36" s="174">
        <v>1068030</v>
      </c>
      <c r="K36" s="174">
        <v>1081450</v>
      </c>
      <c r="L36" s="174">
        <v>1063680</v>
      </c>
      <c r="M36" s="174"/>
      <c r="N36" s="174"/>
      <c r="O36" s="174"/>
      <c r="P36" s="174"/>
      <c r="Q36" s="174"/>
      <c r="R36" s="174">
        <v>1199560</v>
      </c>
      <c r="S36" s="174">
        <v>1218160</v>
      </c>
    </row>
    <row r="37" spans="1:26" x14ac:dyDescent="0.25">
      <c r="A37" s="57"/>
      <c r="B37" s="720"/>
      <c r="C37" s="173" t="s">
        <v>664</v>
      </c>
      <c r="D37" s="174">
        <v>133872</v>
      </c>
      <c r="E37" s="174">
        <v>133872</v>
      </c>
      <c r="F37" s="174"/>
      <c r="G37" s="174">
        <v>136732</v>
      </c>
      <c r="H37" s="174">
        <v>139932</v>
      </c>
      <c r="I37" s="174">
        <v>141712</v>
      </c>
      <c r="J37" s="174">
        <v>141712</v>
      </c>
      <c r="K37" s="174">
        <v>141712</v>
      </c>
      <c r="L37" s="174">
        <v>147972</v>
      </c>
      <c r="M37" s="174"/>
      <c r="N37" s="174"/>
      <c r="O37" s="174"/>
      <c r="P37" s="174"/>
      <c r="Q37" s="174"/>
      <c r="R37" s="174">
        <v>151312</v>
      </c>
      <c r="S37" s="174">
        <v>148252</v>
      </c>
    </row>
    <row r="38" spans="1:26" x14ac:dyDescent="0.25">
      <c r="A38" s="57"/>
      <c r="B38" s="720"/>
      <c r="C38" s="173" t="s">
        <v>665</v>
      </c>
      <c r="D38" s="175" t="s">
        <v>798</v>
      </c>
      <c r="E38" s="175" t="s">
        <v>802</v>
      </c>
      <c r="F38" s="175"/>
      <c r="G38" s="175" t="s">
        <v>820</v>
      </c>
      <c r="H38" s="175" t="s">
        <v>821</v>
      </c>
      <c r="I38" s="175" t="s">
        <v>822</v>
      </c>
      <c r="J38" s="175" t="s">
        <v>826</v>
      </c>
      <c r="K38" s="175" t="s">
        <v>832</v>
      </c>
      <c r="L38" s="175" t="s">
        <v>842</v>
      </c>
      <c r="M38" s="175"/>
      <c r="N38" s="175"/>
      <c r="O38" s="175"/>
      <c r="P38" s="175"/>
      <c r="Q38" s="175"/>
      <c r="R38" s="175" t="s">
        <v>848</v>
      </c>
      <c r="S38" s="175" t="s">
        <v>851</v>
      </c>
    </row>
    <row r="39" spans="1:26" x14ac:dyDescent="0.25">
      <c r="A39" s="57"/>
      <c r="B39" s="720"/>
      <c r="C39" s="173" t="s">
        <v>666</v>
      </c>
      <c r="D39" s="176">
        <v>7</v>
      </c>
      <c r="E39" s="176">
        <v>7</v>
      </c>
      <c r="F39" s="176"/>
      <c r="G39" s="176">
        <v>7</v>
      </c>
      <c r="H39" s="176">
        <v>7</v>
      </c>
      <c r="I39" s="176">
        <v>6.75</v>
      </c>
      <c r="J39" s="176">
        <v>6.75</v>
      </c>
      <c r="K39" s="176">
        <v>6.75</v>
      </c>
      <c r="L39" s="176">
        <v>6.75</v>
      </c>
      <c r="M39" s="176"/>
      <c r="N39" s="176"/>
      <c r="O39" s="176"/>
      <c r="P39" s="176"/>
      <c r="Q39" s="176"/>
      <c r="R39" s="176">
        <v>6.75</v>
      </c>
      <c r="S39" s="176">
        <v>6.75</v>
      </c>
    </row>
    <row r="40" spans="1:26" x14ac:dyDescent="0.25">
      <c r="B40" s="720"/>
      <c r="C40" s="173" t="s">
        <v>667</v>
      </c>
      <c r="D40" s="176">
        <v>6.5</v>
      </c>
      <c r="E40" s="176">
        <v>6.5</v>
      </c>
      <c r="F40" s="176"/>
      <c r="G40" s="176">
        <v>6.5</v>
      </c>
      <c r="H40" s="176">
        <v>6.25</v>
      </c>
      <c r="I40" s="176">
        <v>6</v>
      </c>
      <c r="J40" s="176">
        <v>6</v>
      </c>
      <c r="K40" s="176">
        <v>6</v>
      </c>
      <c r="L40" s="176">
        <v>6</v>
      </c>
      <c r="M40" s="176"/>
      <c r="N40" s="176"/>
      <c r="O40" s="176"/>
      <c r="P40" s="176"/>
      <c r="Q40" s="176"/>
      <c r="R40" s="176">
        <v>6.25</v>
      </c>
      <c r="S40" s="176">
        <v>6.25</v>
      </c>
    </row>
    <row r="41" spans="1:26" x14ac:dyDescent="0.25">
      <c r="B41" s="720"/>
      <c r="C41" s="173" t="s">
        <v>668</v>
      </c>
      <c r="D41" s="176">
        <v>6.75</v>
      </c>
      <c r="E41" s="176">
        <v>6.75</v>
      </c>
      <c r="F41" s="176"/>
      <c r="G41" s="176">
        <v>7</v>
      </c>
      <c r="H41" s="176">
        <v>7</v>
      </c>
      <c r="I41" s="176">
        <v>7.25</v>
      </c>
      <c r="J41" s="176">
        <v>7.25</v>
      </c>
      <c r="K41" s="176">
        <v>7.25</v>
      </c>
      <c r="L41" s="176">
        <v>7.5</v>
      </c>
      <c r="M41" s="176"/>
      <c r="N41" s="176"/>
      <c r="O41" s="176"/>
      <c r="P41" s="176"/>
      <c r="Q41" s="176"/>
      <c r="R41" s="176">
        <v>7.5</v>
      </c>
      <c r="S41" s="176">
        <v>7.5</v>
      </c>
    </row>
    <row r="42" spans="1:26" ht="15" customHeight="1" x14ac:dyDescent="0.25">
      <c r="C42" s="164" t="s">
        <v>438</v>
      </c>
      <c r="D42" s="288">
        <f>D34/D35</f>
        <v>7.715853548445339</v>
      </c>
      <c r="E42" s="288">
        <f>E34/E35</f>
        <v>7.8085786874040828</v>
      </c>
      <c r="F42" s="288" t="e">
        <f t="shared" ref="F42:S42" si="29">F34/F35</f>
        <v>#DIV/0!</v>
      </c>
      <c r="G42" s="288">
        <f t="shared" si="29"/>
        <v>7.7522128376239383</v>
      </c>
      <c r="H42" s="288">
        <f t="shared" si="29"/>
        <v>7.7550526668403617</v>
      </c>
      <c r="I42" s="288">
        <f t="shared" si="29"/>
        <v>7.4642598569167147</v>
      </c>
      <c r="J42" s="288">
        <f t="shared" si="29"/>
        <v>7.3793255455146571</v>
      </c>
      <c r="K42" s="288">
        <f t="shared" si="29"/>
        <v>7.4325215967546825</v>
      </c>
      <c r="L42" s="288">
        <f t="shared" si="29"/>
        <v>7.0710559706753138</v>
      </c>
      <c r="M42" s="288" t="e">
        <f t="shared" si="29"/>
        <v>#DIV/0!</v>
      </c>
      <c r="N42" s="288" t="e">
        <f t="shared" si="29"/>
        <v>#DIV/0!</v>
      </c>
      <c r="O42" s="288" t="e">
        <f t="shared" si="29"/>
        <v>#DIV/0!</v>
      </c>
      <c r="P42" s="288" t="e">
        <f t="shared" si="29"/>
        <v>#DIV/0!</v>
      </c>
      <c r="Q42" s="288" t="e">
        <f t="shared" si="29"/>
        <v>#DIV/0!</v>
      </c>
      <c r="R42" s="288">
        <f t="shared" si="29"/>
        <v>7.78361792034634</v>
      </c>
      <c r="S42" s="288">
        <f t="shared" si="29"/>
        <v>8.0280820951664467</v>
      </c>
    </row>
    <row r="43" spans="1:26" ht="15" customHeight="1" x14ac:dyDescent="0.25">
      <c r="D43" s="9"/>
      <c r="E43" s="588"/>
      <c r="G43" s="714"/>
      <c r="H43" s="714"/>
      <c r="I43" s="714"/>
      <c r="J43" s="714"/>
    </row>
    <row r="44" spans="1:26" x14ac:dyDescent="0.25">
      <c r="E44" s="390"/>
      <c r="F44" s="390"/>
      <c r="G44" s="390"/>
      <c r="H44" s="390"/>
      <c r="I44" s="390"/>
      <c r="J44" s="390"/>
      <c r="K44" s="390"/>
      <c r="L44" s="390"/>
      <c r="M44" s="390"/>
      <c r="N44" s="390"/>
      <c r="O44" s="390"/>
      <c r="P44" s="390"/>
    </row>
    <row r="45" spans="1:26" x14ac:dyDescent="0.25">
      <c r="D45" s="370"/>
      <c r="G45" s="52"/>
      <c r="H45" s="52"/>
      <c r="I45" s="52"/>
      <c r="J45" s="52"/>
      <c r="K45" s="52"/>
      <c r="L45" s="52"/>
      <c r="M45" s="52"/>
      <c r="N45" s="52"/>
      <c r="O45" s="52"/>
      <c r="P45" s="52"/>
      <c r="Q45" s="52"/>
      <c r="R45" s="52"/>
      <c r="S45" s="52"/>
    </row>
    <row r="46" spans="1:26" x14ac:dyDescent="0.25">
      <c r="G46" s="709"/>
      <c r="H46" s="709"/>
      <c r="I46" s="709"/>
      <c r="J46" s="709"/>
      <c r="M46" s="383"/>
    </row>
    <row r="47" spans="1:26" x14ac:dyDescent="0.25">
      <c r="E47" s="106"/>
      <c r="G47" s="589"/>
      <c r="H47" s="589"/>
      <c r="I47" s="589"/>
      <c r="J47" s="589"/>
    </row>
    <row r="48" spans="1:26" x14ac:dyDescent="0.25">
      <c r="G48" s="709"/>
      <c r="H48" s="709"/>
      <c r="I48" s="709"/>
      <c r="J48" s="709"/>
      <c r="P48" s="383"/>
    </row>
    <row r="49" spans="7:10" ht="15" customHeight="1" x14ac:dyDescent="0.25">
      <c r="G49" s="709"/>
      <c r="H49" s="709"/>
      <c r="I49" s="709"/>
      <c r="J49" s="105"/>
    </row>
  </sheetData>
  <mergeCells count="15">
    <mergeCell ref="Y34:Z34"/>
    <mergeCell ref="G43:H43"/>
    <mergeCell ref="I43:J43"/>
    <mergeCell ref="A11:A12"/>
    <mergeCell ref="Y14:Z14"/>
    <mergeCell ref="A26:B26"/>
    <mergeCell ref="A27:B27"/>
    <mergeCell ref="A28:B28"/>
    <mergeCell ref="A29:B29"/>
    <mergeCell ref="G46:J46"/>
    <mergeCell ref="G48:J48"/>
    <mergeCell ref="G49:I49"/>
    <mergeCell ref="A30:B30"/>
    <mergeCell ref="A31:B31"/>
    <mergeCell ref="B34:B41"/>
  </mergeCells>
  <pageMargins left="0.7" right="0.7" top="0.75" bottom="0.75" header="0.3" footer="0.3"/>
  <pageSetup paperSize="9" orientation="portrait" horizontalDpi="200" verticalDpi="200" r:id="rId1"/>
  <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J6" sqref="J6"/>
    </sheetView>
  </sheetViews>
  <sheetFormatPr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4.42578125" bestFit="1" customWidth="1"/>
    <col min="10" max="10" width="19.28515625" bestFit="1" customWidth="1"/>
    <col min="11" max="11" width="13" bestFit="1" customWidth="1"/>
    <col min="12" max="12" width="7.140625" bestFit="1" customWidth="1"/>
    <col min="13" max="13" width="10.42578125" bestFit="1" customWidth="1"/>
    <col min="14" max="14" width="9.42578125" bestFit="1" customWidth="1"/>
    <col min="15" max="15" width="10.42578125" bestFit="1" customWidth="1"/>
    <col min="16" max="16" width="13" bestFit="1" customWidth="1"/>
    <col min="17" max="17" width="5.28515625" bestFit="1" customWidth="1"/>
    <col min="18" max="19" width="9" bestFit="1" customWidth="1"/>
  </cols>
  <sheetData>
    <row r="1" spans="2:19" x14ac:dyDescent="0.25">
      <c r="C1" s="106"/>
      <c r="D1" s="106"/>
      <c r="F1" s="106"/>
      <c r="G1" s="106"/>
      <c r="J1" s="4"/>
      <c r="Q1" s="179"/>
    </row>
    <row r="2" spans="2:19" ht="21" x14ac:dyDescent="0.35">
      <c r="B2" s="721" t="s">
        <v>795</v>
      </c>
      <c r="C2" s="722"/>
      <c r="D2" s="722"/>
      <c r="E2" s="722"/>
      <c r="F2" s="722"/>
      <c r="G2" s="723"/>
      <c r="I2" s="732" t="s">
        <v>796</v>
      </c>
      <c r="J2" s="733"/>
      <c r="K2" s="733"/>
      <c r="L2" s="733"/>
      <c r="M2" s="733"/>
      <c r="N2" s="733"/>
      <c r="O2" s="733"/>
      <c r="P2" s="733"/>
      <c r="Q2" s="733"/>
      <c r="R2" s="733"/>
      <c r="S2" s="734"/>
    </row>
    <row r="3" spans="2:19" x14ac:dyDescent="0.25">
      <c r="B3" s="725" t="s">
        <v>102</v>
      </c>
      <c r="C3" s="726"/>
      <c r="D3" s="726"/>
      <c r="E3" s="726"/>
      <c r="F3" s="726"/>
      <c r="G3" s="727"/>
      <c r="I3" s="107" t="s">
        <v>103</v>
      </c>
      <c r="J3" s="48" t="s">
        <v>100</v>
      </c>
      <c r="K3" s="48" t="s">
        <v>88</v>
      </c>
      <c r="L3" s="48" t="s">
        <v>104</v>
      </c>
      <c r="M3" s="48" t="s">
        <v>105</v>
      </c>
      <c r="N3" s="48" t="s">
        <v>106</v>
      </c>
      <c r="O3" s="48" t="s">
        <v>107</v>
      </c>
      <c r="P3" s="48" t="s">
        <v>108</v>
      </c>
      <c r="Q3" s="467" t="s">
        <v>109</v>
      </c>
      <c r="R3" s="108" t="s">
        <v>110</v>
      </c>
      <c r="S3" s="108" t="s">
        <v>111</v>
      </c>
    </row>
    <row r="4" spans="2:19" ht="18.75" x14ac:dyDescent="0.3">
      <c r="B4" s="735" t="s">
        <v>113</v>
      </c>
      <c r="C4" s="736"/>
      <c r="D4" s="109"/>
      <c r="E4" s="737" t="s">
        <v>114</v>
      </c>
      <c r="F4" s="738"/>
      <c r="G4" s="109"/>
      <c r="I4" s="568" t="s">
        <v>115</v>
      </c>
      <c r="J4" s="110" t="s">
        <v>783</v>
      </c>
      <c r="K4" s="624">
        <f>11662680+53436</f>
        <v>11716116</v>
      </c>
      <c r="L4" s="624">
        <v>0</v>
      </c>
      <c r="M4" s="624">
        <v>0</v>
      </c>
      <c r="N4" s="624">
        <v>0</v>
      </c>
      <c r="O4" s="111">
        <f t="shared" ref="O4:O5" si="0">IF(M4=0,0,M4-K4)-N4</f>
        <v>0</v>
      </c>
      <c r="P4" s="111">
        <f t="shared" ref="P4:P5" si="1">IF(M4=0,K4,0)</f>
        <v>11716116</v>
      </c>
      <c r="Q4" s="569"/>
      <c r="R4" s="112">
        <v>42468</v>
      </c>
      <c r="S4" s="112"/>
    </row>
    <row r="5" spans="2:19" x14ac:dyDescent="0.25">
      <c r="B5" s="113"/>
      <c r="C5" s="114"/>
      <c r="D5" s="201"/>
      <c r="E5" s="113"/>
      <c r="F5" s="114"/>
      <c r="G5" s="115"/>
      <c r="I5" s="396" t="s">
        <v>491</v>
      </c>
      <c r="J5" s="397" t="s">
        <v>823</v>
      </c>
      <c r="K5" s="625">
        <v>0</v>
      </c>
      <c r="L5" s="625">
        <v>0</v>
      </c>
      <c r="M5" s="625">
        <v>2000</v>
      </c>
      <c r="N5" s="625">
        <v>650</v>
      </c>
      <c r="O5" s="398">
        <f t="shared" si="0"/>
        <v>1350</v>
      </c>
      <c r="P5" s="398">
        <f t="shared" si="1"/>
        <v>0</v>
      </c>
      <c r="Q5" s="399"/>
      <c r="R5" s="400"/>
      <c r="S5" s="400">
        <v>42562</v>
      </c>
    </row>
    <row r="6" spans="2:19" x14ac:dyDescent="0.25">
      <c r="B6" s="116" t="s">
        <v>116</v>
      </c>
      <c r="C6" s="117">
        <f>SUM(C7:C9)</f>
        <v>7660337</v>
      </c>
      <c r="D6" s="140">
        <f>C6/C34</f>
        <v>0.22958988498479441</v>
      </c>
      <c r="E6" s="116" t="s">
        <v>117</v>
      </c>
      <c r="F6" s="117">
        <f ca="1">F7+F8+F9</f>
        <v>20059687.014755197</v>
      </c>
      <c r="G6" s="118">
        <f ca="1">F6/$F$34</f>
        <v>0.60121391977254002</v>
      </c>
      <c r="I6" s="396" t="s">
        <v>491</v>
      </c>
      <c r="J6" s="397" t="s">
        <v>824</v>
      </c>
      <c r="K6" s="625">
        <v>0</v>
      </c>
      <c r="L6" s="625">
        <v>0</v>
      </c>
      <c r="M6" s="625">
        <v>59000</v>
      </c>
      <c r="N6" s="625">
        <v>650</v>
      </c>
      <c r="O6" s="398">
        <f t="shared" ref="O6" si="2">IF(M6=0,0,M6-K6)-N6</f>
        <v>58350</v>
      </c>
      <c r="P6" s="398">
        <f t="shared" ref="P6" si="3">IF(M6=0,K6,0)</f>
        <v>0</v>
      </c>
      <c r="Q6" s="399"/>
      <c r="R6" s="400"/>
      <c r="S6" s="400">
        <v>42530</v>
      </c>
    </row>
    <row r="7" spans="2:19" x14ac:dyDescent="0.25">
      <c r="B7" s="119" t="s">
        <v>84</v>
      </c>
      <c r="C7" s="120">
        <f>'A-P_T49'!C7+EconomiaT50!C16</f>
        <v>3684165</v>
      </c>
      <c r="D7" s="202">
        <f>C7/C34</f>
        <v>0.11041903490864764</v>
      </c>
      <c r="E7" s="203" t="s">
        <v>118</v>
      </c>
      <c r="F7" s="204">
        <v>300000</v>
      </c>
      <c r="G7" s="121">
        <f ca="1">F7/$F$34</f>
        <v>8.9913753788427742E-3</v>
      </c>
      <c r="I7" s="396" t="s">
        <v>491</v>
      </c>
      <c r="J7" s="397" t="s">
        <v>829</v>
      </c>
      <c r="K7" s="625">
        <v>0</v>
      </c>
      <c r="L7" s="625">
        <v>0</v>
      </c>
      <c r="M7" s="625">
        <v>261000</v>
      </c>
      <c r="N7" s="625">
        <f>M7-247950</f>
        <v>13050</v>
      </c>
      <c r="O7" s="398">
        <f t="shared" ref="O7" si="4">IF(M7=0,0,M7-K7)-N7</f>
        <v>247950</v>
      </c>
      <c r="P7" s="398">
        <f t="shared" ref="P7" si="5">IF(M7=0,K7,0)</f>
        <v>0</v>
      </c>
      <c r="Q7" s="399"/>
      <c r="R7" s="400"/>
      <c r="S7" s="400">
        <v>42572</v>
      </c>
    </row>
    <row r="8" spans="2:19" x14ac:dyDescent="0.25">
      <c r="B8" s="119" t="s">
        <v>67</v>
      </c>
      <c r="C8" s="120">
        <f>'A-P_T49'!C8+EconomiaT50!C20+'A-P_T49'!C9</f>
        <v>3976172</v>
      </c>
      <c r="D8" s="202">
        <f>C8/C34</f>
        <v>0.11917085007614678</v>
      </c>
      <c r="E8" s="203" t="s">
        <v>261</v>
      </c>
      <c r="F8" s="204">
        <f ca="1">'A-P_T49'!F9+'A-P_T49'!F8</f>
        <v>14013141.014755197</v>
      </c>
      <c r="G8" s="121">
        <f ca="1">F8/$F$34</f>
        <v>0.41999137033440576</v>
      </c>
      <c r="I8" s="396" t="s">
        <v>491</v>
      </c>
      <c r="J8" s="397" t="s">
        <v>831</v>
      </c>
      <c r="K8" s="625">
        <v>0</v>
      </c>
      <c r="L8" s="625">
        <v>0</v>
      </c>
      <c r="M8" s="625">
        <v>84660</v>
      </c>
      <c r="N8" s="625">
        <f>M8-81427</f>
        <v>3233</v>
      </c>
      <c r="O8" s="398">
        <f t="shared" ref="O8" si="6">IF(M8=0,0,M8-K8)-N8</f>
        <v>81427</v>
      </c>
      <c r="P8" s="398">
        <f t="shared" ref="P8" si="7">IF(M8=0,K8,0)</f>
        <v>0</v>
      </c>
      <c r="Q8" s="399"/>
      <c r="R8" s="400"/>
      <c r="S8" s="400">
        <v>42578</v>
      </c>
    </row>
    <row r="9" spans="2:19" x14ac:dyDescent="0.25">
      <c r="B9" s="122" t="s">
        <v>119</v>
      </c>
      <c r="C9" s="123">
        <v>0</v>
      </c>
      <c r="D9" s="202">
        <f>C9/C34</f>
        <v>0</v>
      </c>
      <c r="E9" s="203" t="s">
        <v>797</v>
      </c>
      <c r="F9" s="204">
        <f>'A-P_T49'!F11+192375</f>
        <v>5746546</v>
      </c>
      <c r="G9" s="121">
        <f ca="1">F9/$F$34</f>
        <v>0.17223117405929145</v>
      </c>
      <c r="I9" s="396" t="s">
        <v>491</v>
      </c>
      <c r="J9" s="397" t="s">
        <v>845</v>
      </c>
      <c r="K9" s="625">
        <v>0</v>
      </c>
      <c r="L9" s="625">
        <v>0</v>
      </c>
      <c r="M9" s="625">
        <v>84000</v>
      </c>
      <c r="N9" s="625">
        <f>M9-79800</f>
        <v>4200</v>
      </c>
      <c r="O9" s="398">
        <f t="shared" ref="O9" si="8">IF(M9=0,0,M9-K9)-N9</f>
        <v>79800</v>
      </c>
      <c r="P9" s="398">
        <f t="shared" ref="P9" si="9">IF(M9=0,K9,0)</f>
        <v>0</v>
      </c>
      <c r="Q9" s="399"/>
      <c r="R9" s="400"/>
      <c r="S9" s="400">
        <v>42613</v>
      </c>
    </row>
    <row r="10" spans="2:19" x14ac:dyDescent="0.25">
      <c r="B10" s="124"/>
      <c r="C10" s="125"/>
      <c r="D10" s="140"/>
      <c r="E10" s="205"/>
      <c r="F10" s="125"/>
      <c r="G10" s="118"/>
      <c r="I10" s="396" t="s">
        <v>491</v>
      </c>
      <c r="J10" s="397" t="s">
        <v>846</v>
      </c>
      <c r="K10" s="625">
        <v>0</v>
      </c>
      <c r="L10" s="625">
        <v>0</v>
      </c>
      <c r="M10" s="625">
        <v>10000</v>
      </c>
      <c r="N10" s="625">
        <f>M10-9500</f>
        <v>500</v>
      </c>
      <c r="O10" s="398">
        <f t="shared" ref="O10" si="10">IF(M10=0,0,M10-K10)-N10</f>
        <v>9500</v>
      </c>
      <c r="P10" s="398">
        <f t="shared" ref="P10" si="11">IF(M10=0,K10,0)</f>
        <v>0</v>
      </c>
      <c r="Q10" s="399"/>
      <c r="R10" s="400"/>
      <c r="S10" s="400">
        <v>42613</v>
      </c>
    </row>
    <row r="11" spans="2:19" x14ac:dyDescent="0.25">
      <c r="B11" s="116" t="s">
        <v>100</v>
      </c>
      <c r="C11" s="117">
        <f>SUM(C12:C15)</f>
        <v>11716116</v>
      </c>
      <c r="D11" s="140">
        <f>C11/C34</f>
        <v>0.35114665646021964</v>
      </c>
      <c r="E11" s="116" t="s">
        <v>657</v>
      </c>
      <c r="F11" s="117">
        <f>SUM(F12:F17)</f>
        <v>6162445</v>
      </c>
      <c r="G11" s="118">
        <f t="shared" ref="G11:G17" ca="1" si="12">F11/$F$34</f>
        <v>0.18469618748824254</v>
      </c>
      <c r="I11" s="396" t="s">
        <v>491</v>
      </c>
      <c r="J11" s="397" t="s">
        <v>847</v>
      </c>
      <c r="K11" s="625">
        <v>0</v>
      </c>
      <c r="L11" s="625">
        <v>0</v>
      </c>
      <c r="M11" s="625">
        <v>116000</v>
      </c>
      <c r="N11" s="625">
        <f>M11-110200</f>
        <v>5800</v>
      </c>
      <c r="O11" s="398">
        <f t="shared" ref="O11:O12" si="13">IF(M11=0,0,M11-K11)-N11</f>
        <v>110200</v>
      </c>
      <c r="P11" s="398">
        <f t="shared" ref="P11:P12" si="14">IF(M11=0,K11,0)</f>
        <v>0</v>
      </c>
      <c r="Q11" s="399"/>
      <c r="R11" s="400"/>
      <c r="S11" s="400">
        <v>42608</v>
      </c>
    </row>
    <row r="12" spans="2:19" x14ac:dyDescent="0.25">
      <c r="B12" s="129" t="s">
        <v>121</v>
      </c>
      <c r="C12" s="130">
        <f>SUMIF(I4:I518,"S",$P$4:$P$518)</f>
        <v>0</v>
      </c>
      <c r="D12" s="202">
        <f>C12/C34</f>
        <v>0</v>
      </c>
      <c r="E12" s="49" t="s">
        <v>122</v>
      </c>
      <c r="F12" s="131">
        <f>SUMIF(I4:I518,"J",$O$4:$O$518)</f>
        <v>0</v>
      </c>
      <c r="G12" s="121">
        <f t="shared" ca="1" si="12"/>
        <v>0</v>
      </c>
      <c r="I12" s="568" t="s">
        <v>435</v>
      </c>
      <c r="J12" s="110" t="s">
        <v>850</v>
      </c>
      <c r="K12" s="624">
        <v>1916000</v>
      </c>
      <c r="L12" s="624">
        <v>372</v>
      </c>
      <c r="M12" s="624">
        <v>0</v>
      </c>
      <c r="N12" s="624">
        <v>0</v>
      </c>
      <c r="O12" s="111">
        <f t="shared" si="13"/>
        <v>0</v>
      </c>
      <c r="P12" s="111">
        <f t="shared" si="14"/>
        <v>1916000</v>
      </c>
      <c r="Q12" s="569"/>
      <c r="R12" s="112">
        <v>42628</v>
      </c>
      <c r="S12" s="112"/>
    </row>
    <row r="13" spans="2:19" x14ac:dyDescent="0.25">
      <c r="B13" s="129" t="s">
        <v>100</v>
      </c>
      <c r="C13" s="130">
        <f>SUMIF(I4:I518,"J",$P$4:$P$518)</f>
        <v>11716116</v>
      </c>
      <c r="D13" s="202">
        <f>C13/C34</f>
        <v>0.35114665646021964</v>
      </c>
      <c r="E13" s="49" t="s">
        <v>123</v>
      </c>
      <c r="F13" s="131">
        <f>SUMIF(I4:I518,"S",$O$4:$O$518)</f>
        <v>0</v>
      </c>
      <c r="G13" s="121">
        <f t="shared" ca="1" si="12"/>
        <v>0</v>
      </c>
      <c r="I13" s="470"/>
      <c r="J13" s="470"/>
      <c r="K13" s="470"/>
      <c r="L13" s="470"/>
      <c r="M13" s="470"/>
      <c r="N13" s="470"/>
      <c r="O13" s="470"/>
      <c r="P13" s="470"/>
      <c r="Q13" s="470"/>
      <c r="R13" s="470"/>
      <c r="S13" s="470"/>
    </row>
    <row r="14" spans="2:19" x14ac:dyDescent="0.25">
      <c r="B14" s="129" t="s">
        <v>99</v>
      </c>
      <c r="C14" s="130">
        <f>SUMIF(I4:I518,"E",$P$4:$P$518)</f>
        <v>0</v>
      </c>
      <c r="D14" s="202">
        <f>C14/C34</f>
        <v>0</v>
      </c>
      <c r="E14" s="49" t="s">
        <v>124</v>
      </c>
      <c r="F14" s="131">
        <f>SUMIF(I4:I518,"C",$O$4:$O$518)</f>
        <v>588577</v>
      </c>
      <c r="G14" s="121">
        <f t="shared" ca="1" si="12"/>
        <v>1.764038915451048E-2</v>
      </c>
      <c r="I14" s="470"/>
      <c r="J14" s="470"/>
      <c r="K14" s="470"/>
      <c r="L14" s="470"/>
      <c r="M14" s="470"/>
      <c r="N14" s="470"/>
      <c r="O14" s="470"/>
      <c r="P14" s="470"/>
      <c r="Q14" s="470"/>
      <c r="R14" s="470"/>
      <c r="S14" s="470"/>
    </row>
    <row r="15" spans="2:19" x14ac:dyDescent="0.25">
      <c r="B15" s="129" t="s">
        <v>125</v>
      </c>
      <c r="C15" s="130">
        <f>SUMIF(I4:I518,"M",$P$4:$P$518)</f>
        <v>0</v>
      </c>
      <c r="D15" s="202">
        <f>C15/C34</f>
        <v>0</v>
      </c>
      <c r="E15" s="49" t="s">
        <v>126</v>
      </c>
      <c r="F15" s="131">
        <f>SUMIF(I4:I518,"E",$O$4:$O$518)</f>
        <v>0</v>
      </c>
      <c r="G15" s="121">
        <f t="shared" ca="1" si="12"/>
        <v>0</v>
      </c>
      <c r="K15" s="106"/>
    </row>
    <row r="16" spans="2:19" x14ac:dyDescent="0.25">
      <c r="B16" s="132"/>
      <c r="C16" s="133"/>
      <c r="D16" s="140"/>
      <c r="E16" s="49" t="s">
        <v>127</v>
      </c>
      <c r="F16" s="131">
        <f>SUMIF(I4:I518,"M",$O$4:$O$518)</f>
        <v>0</v>
      </c>
      <c r="G16" s="121">
        <f t="shared" ca="1" si="12"/>
        <v>0</v>
      </c>
    </row>
    <row r="17" spans="2:10" x14ac:dyDescent="0.25">
      <c r="B17" s="116" t="s">
        <v>74</v>
      </c>
      <c r="C17" s="134">
        <f>C18+C19</f>
        <v>588577</v>
      </c>
      <c r="D17" s="140">
        <f>C17/C34</f>
        <v>1.764038915451048E-2</v>
      </c>
      <c r="E17" s="135" t="s">
        <v>658</v>
      </c>
      <c r="F17" s="136">
        <f>C27-F27+C9</f>
        <v>5573868</v>
      </c>
      <c r="G17" s="121">
        <f t="shared" ca="1" si="12"/>
        <v>0.16705579833373208</v>
      </c>
    </row>
    <row r="18" spans="2:10" x14ac:dyDescent="0.25">
      <c r="B18" s="129" t="s">
        <v>74</v>
      </c>
      <c r="C18" s="130">
        <f>SUM(M4:M518)</f>
        <v>616660</v>
      </c>
      <c r="D18" s="202">
        <f>C18/C34</f>
        <v>1.8482071803723951E-2</v>
      </c>
      <c r="E18" s="124"/>
      <c r="F18" s="125"/>
      <c r="G18" s="137"/>
    </row>
    <row r="19" spans="2:10" x14ac:dyDescent="0.25">
      <c r="B19" s="122" t="s">
        <v>76</v>
      </c>
      <c r="C19" s="123">
        <f>SUM(N4:N518)*-1</f>
        <v>-28083</v>
      </c>
      <c r="D19" s="202">
        <f>C19/C34</f>
        <v>-8.4168264921347211E-4</v>
      </c>
      <c r="E19" s="116" t="s">
        <v>129</v>
      </c>
      <c r="F19" s="134">
        <f>F20+F21</f>
        <v>0</v>
      </c>
      <c r="G19" s="118">
        <f ca="1">F19/$F$34</f>
        <v>0</v>
      </c>
    </row>
    <row r="20" spans="2:10" x14ac:dyDescent="0.25">
      <c r="B20" s="132"/>
      <c r="C20" s="133"/>
      <c r="D20" s="202"/>
      <c r="E20" s="206" t="s">
        <v>88</v>
      </c>
      <c r="F20" s="207">
        <f>EconomiaT50!C19</f>
        <v>0</v>
      </c>
      <c r="G20" s="121">
        <f ca="1">F20/$F$34</f>
        <v>0</v>
      </c>
    </row>
    <row r="21" spans="2:10" x14ac:dyDescent="0.25">
      <c r="B21" s="116" t="s">
        <v>659</v>
      </c>
      <c r="C21" s="117">
        <f>EconomiaT50!C5</f>
        <v>3042401.0147551969</v>
      </c>
      <c r="D21" s="140">
        <f>C21/C34</f>
        <v>9.1184565255453834E-2</v>
      </c>
      <c r="E21" s="122" t="s">
        <v>130</v>
      </c>
      <c r="F21" s="208">
        <v>0</v>
      </c>
      <c r="G21" s="121">
        <f ca="1">F21/$F$34</f>
        <v>0</v>
      </c>
    </row>
    <row r="22" spans="2:10" x14ac:dyDescent="0.25">
      <c r="B22" s="116"/>
      <c r="C22" s="117"/>
      <c r="D22" s="140"/>
      <c r="E22" s="132"/>
      <c r="F22" s="468"/>
      <c r="G22" s="469"/>
    </row>
    <row r="23" spans="2:10" x14ac:dyDescent="0.25">
      <c r="B23" s="116"/>
      <c r="C23" s="117"/>
      <c r="D23" s="140"/>
      <c r="E23" s="116" t="s">
        <v>264</v>
      </c>
      <c r="F23" s="117">
        <f>SUM(F24:F25)</f>
        <v>2359167</v>
      </c>
      <c r="G23" s="118">
        <f ca="1">F23/$F$34</f>
        <v>7.0707186927927906E-2</v>
      </c>
    </row>
    <row r="24" spans="2:10" x14ac:dyDescent="0.25">
      <c r="B24" s="116"/>
      <c r="C24" s="117"/>
      <c r="D24" s="140"/>
      <c r="E24" s="206" t="s">
        <v>84</v>
      </c>
      <c r="F24" s="209">
        <f>EconomiaT50!C16</f>
        <v>442795</v>
      </c>
      <c r="G24" s="121">
        <f ca="1">F24/$F$34</f>
        <v>1.3271120202915621E-2</v>
      </c>
    </row>
    <row r="25" spans="2:10" x14ac:dyDescent="0.25">
      <c r="B25" s="116"/>
      <c r="C25" s="117"/>
      <c r="D25" s="140"/>
      <c r="E25" s="206" t="s">
        <v>67</v>
      </c>
      <c r="F25" s="209">
        <f>EconomiaT50!C20</f>
        <v>1916372</v>
      </c>
      <c r="G25" s="121">
        <f ca="1">F25/$F$34</f>
        <v>5.7436066725012287E-2</v>
      </c>
    </row>
    <row r="26" spans="2:10" x14ac:dyDescent="0.25">
      <c r="B26" s="570"/>
      <c r="C26" s="571"/>
      <c r="D26" s="572"/>
      <c r="E26" s="573"/>
      <c r="F26" s="574"/>
      <c r="G26" s="575"/>
    </row>
    <row r="27" spans="2:10" x14ac:dyDescent="0.25">
      <c r="B27" s="116" t="s">
        <v>131</v>
      </c>
      <c r="C27" s="117">
        <f>SUM(C28:C32)</f>
        <v>10357876</v>
      </c>
      <c r="D27" s="140">
        <f>C27/C34</f>
        <v>0.31043850414502161</v>
      </c>
      <c r="E27" s="116" t="s">
        <v>265</v>
      </c>
      <c r="F27" s="117">
        <f>SUM(F28:F33)</f>
        <v>4784008</v>
      </c>
      <c r="G27" s="118">
        <f t="shared" ref="G27:G33" ca="1" si="15">F27/$F$34</f>
        <v>0.14338270581128956</v>
      </c>
    </row>
    <row r="28" spans="2:10" x14ac:dyDescent="0.25">
      <c r="B28" s="138" t="s">
        <v>69</v>
      </c>
      <c r="C28" s="139">
        <f>EconomiaT50!C11</f>
        <v>89520</v>
      </c>
      <c r="D28" s="202">
        <f>C28/C34</f>
        <v>2.6830264130466839E-3</v>
      </c>
      <c r="E28" s="206" t="s">
        <v>132</v>
      </c>
      <c r="F28" s="209">
        <f>EconomiaT50!C14</f>
        <v>2646284</v>
      </c>
      <c r="G28" s="121">
        <f t="shared" ca="1" si="15"/>
        <v>7.9312442676751915E-2</v>
      </c>
    </row>
    <row r="29" spans="2:10" x14ac:dyDescent="0.25">
      <c r="B29" s="138" t="s">
        <v>79</v>
      </c>
      <c r="C29" s="139">
        <f>EconomiaT50!C12</f>
        <v>925000</v>
      </c>
      <c r="D29" s="202">
        <f>C29/C34</f>
        <v>2.7723407418098554E-2</v>
      </c>
      <c r="E29" s="206" t="s">
        <v>82</v>
      </c>
      <c r="F29" s="209">
        <f>EconomiaT50!C15</f>
        <v>686244</v>
      </c>
      <c r="G29" s="121">
        <f t="shared" ca="1" si="15"/>
        <v>2.056759135159527E-2</v>
      </c>
    </row>
    <row r="30" spans="2:10" x14ac:dyDescent="0.25">
      <c r="B30" s="138" t="s">
        <v>71</v>
      </c>
      <c r="C30" s="139">
        <f>EconomiaT50!C6</f>
        <v>6222531</v>
      </c>
      <c r="D30" s="202">
        <f>C30/C34</f>
        <v>0.18649704009161971</v>
      </c>
      <c r="E30" s="206" t="s">
        <v>85</v>
      </c>
      <c r="F30" s="209">
        <f>EconomiaT50!C17</f>
        <v>1044480</v>
      </c>
      <c r="G30" s="121">
        <f t="shared" ca="1" si="15"/>
        <v>3.1304372518979003E-2</v>
      </c>
    </row>
    <row r="31" spans="2:10" x14ac:dyDescent="0.25">
      <c r="B31" s="138" t="s">
        <v>72</v>
      </c>
      <c r="C31" s="139">
        <f>EconomiaT50!C7</f>
        <v>3046995</v>
      </c>
      <c r="D31" s="202">
        <f>C31/C34</f>
        <v>9.1322252741523474E-2</v>
      </c>
      <c r="E31" s="206" t="s">
        <v>86</v>
      </c>
      <c r="F31" s="209">
        <f>EconomiaT50!C18</f>
        <v>320000</v>
      </c>
      <c r="G31" s="121">
        <f t="shared" ca="1" si="15"/>
        <v>9.5908004040989592E-3</v>
      </c>
    </row>
    <row r="32" spans="2:10" x14ac:dyDescent="0.25">
      <c r="B32" s="138" t="s">
        <v>76</v>
      </c>
      <c r="C32" s="139">
        <f>EconomiaT50!C10</f>
        <v>73830</v>
      </c>
      <c r="D32" s="202">
        <f>C32/C34</f>
        <v>2.2127774807332067E-3</v>
      </c>
      <c r="E32" s="206" t="s">
        <v>89</v>
      </c>
      <c r="F32" s="209">
        <f>EconomiaT50!C21</f>
        <v>87000</v>
      </c>
      <c r="G32" s="121">
        <f t="shared" ca="1" si="15"/>
        <v>2.6074988598644047E-3</v>
      </c>
      <c r="J32" s="106"/>
    </row>
    <row r="33" spans="2:8" x14ac:dyDescent="0.25">
      <c r="B33" s="116"/>
      <c r="C33" s="117"/>
      <c r="D33" s="140"/>
      <c r="E33" s="471" t="s">
        <v>90</v>
      </c>
      <c r="F33" s="472">
        <f>EconomiaT50!C22</f>
        <v>0</v>
      </c>
      <c r="G33" s="473">
        <f t="shared" ca="1" si="15"/>
        <v>0</v>
      </c>
    </row>
    <row r="34" spans="2:8" ht="18.75" x14ac:dyDescent="0.3">
      <c r="B34" s="146" t="s">
        <v>27</v>
      </c>
      <c r="C34" s="147">
        <f>C27+C21+C17+C11+C6</f>
        <v>33365307.014755197</v>
      </c>
      <c r="D34" s="474">
        <f>C34/C34</f>
        <v>1</v>
      </c>
      <c r="E34" s="146" t="s">
        <v>27</v>
      </c>
      <c r="F34" s="147">
        <f ca="1">F27+F19+F11+F6+F23</f>
        <v>33365307.014755197</v>
      </c>
      <c r="G34" s="145">
        <f ca="1">F34/$F$34</f>
        <v>1</v>
      </c>
    </row>
    <row r="35" spans="2:8" x14ac:dyDescent="0.25">
      <c r="C35" s="106"/>
      <c r="D35" s="475"/>
      <c r="E35" s="476" t="s">
        <v>604</v>
      </c>
      <c r="F35" s="477">
        <f ca="1">F34-C34</f>
        <v>0</v>
      </c>
      <c r="G35" s="106"/>
    </row>
    <row r="36" spans="2:8" x14ac:dyDescent="0.25">
      <c r="C36" s="106"/>
      <c r="D36" s="106"/>
      <c r="F36" s="106"/>
      <c r="G36" s="106"/>
      <c r="H36" s="106"/>
    </row>
    <row r="37" spans="2:8" ht="15.75" x14ac:dyDescent="0.25">
      <c r="B37" s="478" t="s">
        <v>660</v>
      </c>
      <c r="C37" s="479">
        <f>EconomiaT48!C24</f>
        <v>9386456.0147551969</v>
      </c>
      <c r="D37" s="106"/>
      <c r="E37" s="4" t="s">
        <v>661</v>
      </c>
      <c r="F37" s="100">
        <f>C27-F27</f>
        <v>5573868</v>
      </c>
      <c r="G37" s="100"/>
    </row>
    <row r="38" spans="2:8" x14ac:dyDescent="0.25">
      <c r="C38" s="100">
        <f>C37-C21</f>
        <v>6344055</v>
      </c>
      <c r="D38" s="106"/>
      <c r="F38" s="106"/>
      <c r="G38" s="106"/>
    </row>
    <row r="39" spans="2:8" x14ac:dyDescent="0.25">
      <c r="C39" s="106"/>
      <c r="D39" s="106"/>
      <c r="F39" s="106"/>
      <c r="G39" s="106"/>
    </row>
  </sheetData>
  <mergeCells count="5">
    <mergeCell ref="B2:G2"/>
    <mergeCell ref="I2:S2"/>
    <mergeCell ref="B3:G3"/>
    <mergeCell ref="B4:C4"/>
    <mergeCell ref="E4:F4"/>
  </mergeCells>
  <conditionalFormatting sqref="F12:F17">
    <cfRule type="cellIs" dxfId="40" priority="48" operator="lessThan">
      <formula>0</formula>
    </cfRule>
    <cfRule type="cellIs" dxfId="39" priority="49" operator="greaterThan">
      <formula>0</formula>
    </cfRule>
  </conditionalFormatting>
  <conditionalFormatting sqref="F37">
    <cfRule type="cellIs" dxfId="38" priority="47" operator="lessThan">
      <formula>0</formula>
    </cfRule>
  </conditionalFormatting>
  <conditionalFormatting sqref="C38">
    <cfRule type="cellIs" dxfId="37" priority="45" operator="greaterThan">
      <formula>0</formula>
    </cfRule>
    <cfRule type="cellIs" dxfId="36" priority="46" operator="lessThan">
      <formula>0</formula>
    </cfRule>
  </conditionalFormatting>
  <conditionalFormatting sqref="O4">
    <cfRule type="cellIs" dxfId="35" priority="35" operator="lessThan">
      <formula>0</formula>
    </cfRule>
    <cfRule type="cellIs" dxfId="34" priority="36" operator="greaterThan">
      <formula>0</formula>
    </cfRule>
  </conditionalFormatting>
  <conditionalFormatting sqref="O4 Q4">
    <cfRule type="cellIs" dxfId="33" priority="33" operator="lessThan">
      <formula>0</formula>
    </cfRule>
    <cfRule type="cellIs" dxfId="32" priority="34" operator="greaterThan">
      <formula>0</formula>
    </cfRule>
  </conditionalFormatting>
  <conditionalFormatting sqref="O5">
    <cfRule type="cellIs" dxfId="31" priority="31" operator="lessThan">
      <formula>0</formula>
    </cfRule>
    <cfRule type="cellIs" dxfId="30" priority="32" operator="greaterThan">
      <formula>0</formula>
    </cfRule>
  </conditionalFormatting>
  <conditionalFormatting sqref="O5 Q5">
    <cfRule type="cellIs" dxfId="29" priority="29" operator="lessThan">
      <formula>0</formula>
    </cfRule>
    <cfRule type="cellIs" dxfId="28" priority="30" operator="greaterThan">
      <formula>0</formula>
    </cfRule>
  </conditionalFormatting>
  <conditionalFormatting sqref="O6">
    <cfRule type="cellIs" dxfId="27" priority="27" operator="lessThan">
      <formula>0</formula>
    </cfRule>
    <cfRule type="cellIs" dxfId="26" priority="28" operator="greaterThan">
      <formula>0</formula>
    </cfRule>
  </conditionalFormatting>
  <conditionalFormatting sqref="O6 Q6">
    <cfRule type="cellIs" dxfId="25" priority="25" operator="lessThan">
      <formula>0</formula>
    </cfRule>
    <cfRule type="cellIs" dxfId="24" priority="26" operator="greaterThan">
      <formula>0</formula>
    </cfRule>
  </conditionalFormatting>
  <conditionalFormatting sqref="O7">
    <cfRule type="cellIs" dxfId="23" priority="23" operator="lessThan">
      <formula>0</formula>
    </cfRule>
    <cfRule type="cellIs" dxfId="22" priority="24" operator="greaterThan">
      <formula>0</formula>
    </cfRule>
  </conditionalFormatting>
  <conditionalFormatting sqref="O7 Q7">
    <cfRule type="cellIs" dxfId="21" priority="21" operator="lessThan">
      <formula>0</formula>
    </cfRule>
    <cfRule type="cellIs" dxfId="20" priority="22" operator="greaterThan">
      <formula>0</formula>
    </cfRule>
  </conditionalFormatting>
  <conditionalFormatting sqref="O8">
    <cfRule type="cellIs" dxfId="19" priority="19" operator="lessThan">
      <formula>0</formula>
    </cfRule>
    <cfRule type="cellIs" dxfId="18" priority="20" operator="greaterThan">
      <formula>0</formula>
    </cfRule>
  </conditionalFormatting>
  <conditionalFormatting sqref="O8 Q8">
    <cfRule type="cellIs" dxfId="17" priority="17" operator="lessThan">
      <formula>0</formula>
    </cfRule>
    <cfRule type="cellIs" dxfId="16" priority="18" operator="greaterThan">
      <formula>0</formula>
    </cfRule>
  </conditionalFormatting>
  <conditionalFormatting sqref="O9">
    <cfRule type="cellIs" dxfId="15" priority="15" operator="lessThan">
      <formula>0</formula>
    </cfRule>
    <cfRule type="cellIs" dxfId="14" priority="16" operator="greaterThan">
      <formula>0</formula>
    </cfRule>
  </conditionalFormatting>
  <conditionalFormatting sqref="O9 Q9">
    <cfRule type="cellIs" dxfId="13" priority="13" operator="lessThan">
      <formula>0</formula>
    </cfRule>
    <cfRule type="cellIs" dxfId="12" priority="14" operator="greaterThan">
      <formula>0</formula>
    </cfRule>
  </conditionalFormatting>
  <conditionalFormatting sqref="O10">
    <cfRule type="cellIs" dxfId="11" priority="11" operator="lessThan">
      <formula>0</formula>
    </cfRule>
    <cfRule type="cellIs" dxfId="10" priority="12" operator="greaterThan">
      <formula>0</formula>
    </cfRule>
  </conditionalFormatting>
  <conditionalFormatting sqref="O10 Q10">
    <cfRule type="cellIs" dxfId="9" priority="9" operator="lessThan">
      <formula>0</formula>
    </cfRule>
    <cfRule type="cellIs" dxfId="8" priority="10" operator="greaterThan">
      <formula>0</formula>
    </cfRule>
  </conditionalFormatting>
  <conditionalFormatting sqref="O11">
    <cfRule type="cellIs" dxfId="7" priority="7" operator="lessThan">
      <formula>0</formula>
    </cfRule>
    <cfRule type="cellIs" dxfId="6" priority="8" operator="greaterThan">
      <formula>0</formula>
    </cfRule>
  </conditionalFormatting>
  <conditionalFormatting sqref="O11 Q11">
    <cfRule type="cellIs" dxfId="5" priority="5" operator="lessThan">
      <formula>0</formula>
    </cfRule>
    <cfRule type="cellIs" dxfId="4" priority="6" operator="greaterThan">
      <formula>0</formula>
    </cfRule>
  </conditionalFormatting>
  <conditionalFormatting sqref="O12">
    <cfRule type="cellIs" dxfId="3" priority="3" operator="lessThan">
      <formula>0</formula>
    </cfRule>
    <cfRule type="cellIs" dxfId="2" priority="4" operator="greaterThan">
      <formula>0</formula>
    </cfRule>
  </conditionalFormatting>
  <conditionalFormatting sqref="O12 Q12">
    <cfRule type="cellIs" dxfId="1" priority="1" operator="lessThan">
      <formula>0</formula>
    </cfRule>
    <cfRule type="cellIs" dxfId="0" priority="2" operator="greaterThan">
      <formula>0</formula>
    </cfRule>
  </conditionalFormatting>
  <pageMargins left="0.7" right="0.7" top="0.75" bottom="0.75" header="0.3" footer="0.3"/>
  <pageSetup paperSize="9" orientation="portrait" r:id="rId1"/>
  <legacy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W38"/>
  <sheetViews>
    <sheetView workbookViewId="0">
      <selection activeCell="G10" sqref="G10"/>
    </sheetView>
  </sheetViews>
  <sheetFormatPr defaultColWidth="11.42578125" defaultRowHeight="15" x14ac:dyDescent="0.25"/>
  <cols>
    <col min="1" max="1" width="22.42578125" bestFit="1" customWidth="1"/>
    <col min="2" max="2" width="5.85546875" bestFit="1" customWidth="1"/>
    <col min="3" max="3" width="5.28515625" bestFit="1" customWidth="1"/>
    <col min="4" max="4" width="4.85546875" bestFit="1" customWidth="1"/>
    <col min="5" max="5" width="4.42578125" bestFit="1" customWidth="1"/>
    <col min="6" max="6" width="5.7109375" customWidth="1"/>
    <col min="7" max="7" width="22.42578125" bestFit="1" customWidth="1"/>
    <col min="8" max="8" width="5.85546875" bestFit="1" customWidth="1"/>
    <col min="9" max="9" width="5.28515625" bestFit="1" customWidth="1"/>
    <col min="10" max="10" width="4.7109375" bestFit="1" customWidth="1"/>
    <col min="11" max="11" width="4.42578125" bestFit="1" customWidth="1"/>
    <col min="12" max="12" width="5.7109375"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8" max="18" width="5.28515625" customWidth="1"/>
    <col min="19" max="19" width="22.42578125" bestFit="1" customWidth="1"/>
    <col min="20" max="20" width="5.85546875" bestFit="1" customWidth="1"/>
    <col min="21" max="21" width="5.28515625" bestFit="1" customWidth="1"/>
    <col min="22" max="22" width="4.85546875" bestFit="1" customWidth="1"/>
    <col min="23" max="23" width="4.42578125" bestFit="1" customWidth="1"/>
  </cols>
  <sheetData>
    <row r="1" spans="1:23" s="4" customFormat="1" x14ac:dyDescent="0.25">
      <c r="A1" s="4" t="s">
        <v>760</v>
      </c>
      <c r="B1" s="4" t="s">
        <v>757</v>
      </c>
      <c r="C1" s="4" t="s">
        <v>758</v>
      </c>
      <c r="D1" s="4" t="s">
        <v>736</v>
      </c>
      <c r="E1" s="4" t="s">
        <v>759</v>
      </c>
      <c r="G1" s="4" t="s">
        <v>739</v>
      </c>
      <c r="H1" s="4" t="s">
        <v>757</v>
      </c>
      <c r="I1" s="4" t="s">
        <v>758</v>
      </c>
      <c r="J1" s="4" t="s">
        <v>736</v>
      </c>
      <c r="K1" s="4" t="s">
        <v>759</v>
      </c>
      <c r="M1" s="4" t="s">
        <v>488</v>
      </c>
      <c r="N1" s="4" t="s">
        <v>757</v>
      </c>
      <c r="O1" s="4" t="s">
        <v>758</v>
      </c>
      <c r="P1" s="4" t="s">
        <v>736</v>
      </c>
      <c r="Q1" s="4" t="s">
        <v>759</v>
      </c>
      <c r="S1" s="4" t="s">
        <v>63</v>
      </c>
      <c r="T1" s="4" t="s">
        <v>757</v>
      </c>
      <c r="U1" s="4" t="s">
        <v>758</v>
      </c>
      <c r="V1" s="4" t="s">
        <v>736</v>
      </c>
      <c r="W1" s="4" t="s">
        <v>759</v>
      </c>
    </row>
    <row r="2" spans="1:23" x14ac:dyDescent="0.25">
      <c r="A2" t="s">
        <v>740</v>
      </c>
      <c r="B2">
        <v>2</v>
      </c>
      <c r="C2">
        <v>3</v>
      </c>
      <c r="D2">
        <v>1.5</v>
      </c>
      <c r="E2">
        <f>D2</f>
        <v>1.5</v>
      </c>
      <c r="G2" t="s">
        <v>740</v>
      </c>
      <c r="H2">
        <v>2</v>
      </c>
      <c r="I2">
        <v>3</v>
      </c>
      <c r="J2">
        <v>3</v>
      </c>
      <c r="K2">
        <f>J2</f>
        <v>3</v>
      </c>
      <c r="M2" t="s">
        <v>740</v>
      </c>
      <c r="N2">
        <v>2</v>
      </c>
      <c r="O2">
        <v>3</v>
      </c>
      <c r="P2">
        <v>3</v>
      </c>
      <c r="Q2">
        <f>P2</f>
        <v>3</v>
      </c>
      <c r="S2" t="s">
        <v>740</v>
      </c>
      <c r="T2">
        <v>2</v>
      </c>
      <c r="U2">
        <v>3</v>
      </c>
      <c r="V2">
        <v>1.5</v>
      </c>
      <c r="W2">
        <f>V2</f>
        <v>1.5</v>
      </c>
    </row>
    <row r="3" spans="1:23" x14ac:dyDescent="0.25">
      <c r="A3" t="s">
        <v>741</v>
      </c>
      <c r="B3">
        <v>3</v>
      </c>
      <c r="C3">
        <v>4</v>
      </c>
      <c r="D3">
        <v>2</v>
      </c>
      <c r="E3">
        <f>E2+D3</f>
        <v>3.5</v>
      </c>
      <c r="G3" t="s">
        <v>741</v>
      </c>
      <c r="H3">
        <v>3</v>
      </c>
      <c r="I3">
        <v>4</v>
      </c>
      <c r="J3">
        <v>3</v>
      </c>
      <c r="K3">
        <f>K2+J3</f>
        <v>6</v>
      </c>
      <c r="M3" t="s">
        <v>741</v>
      </c>
      <c r="N3">
        <v>3</v>
      </c>
      <c r="O3">
        <v>4</v>
      </c>
      <c r="P3">
        <v>3</v>
      </c>
      <c r="Q3">
        <f>Q2+P3</f>
        <v>6</v>
      </c>
      <c r="S3" t="s">
        <v>741</v>
      </c>
      <c r="T3">
        <v>3</v>
      </c>
      <c r="U3">
        <v>4</v>
      </c>
      <c r="V3">
        <v>2</v>
      </c>
      <c r="W3">
        <f>W2+V3</f>
        <v>3.5</v>
      </c>
    </row>
    <row r="4" spans="1:23" x14ac:dyDescent="0.25">
      <c r="A4" t="s">
        <v>742</v>
      </c>
      <c r="B4">
        <v>4</v>
      </c>
      <c r="C4">
        <v>5</v>
      </c>
      <c r="D4">
        <v>2</v>
      </c>
      <c r="E4">
        <f t="shared" ref="E4:E17" si="0">E3+D4</f>
        <v>5.5</v>
      </c>
      <c r="G4" t="s">
        <v>742</v>
      </c>
      <c r="H4">
        <v>4</v>
      </c>
      <c r="I4">
        <v>5</v>
      </c>
      <c r="J4">
        <v>4</v>
      </c>
      <c r="K4">
        <f t="shared" ref="K4:K17" si="1">K3+J4</f>
        <v>10</v>
      </c>
      <c r="M4" t="s">
        <v>742</v>
      </c>
      <c r="N4">
        <v>4</v>
      </c>
      <c r="O4">
        <v>5</v>
      </c>
      <c r="P4">
        <v>3</v>
      </c>
      <c r="Q4">
        <f t="shared" ref="Q4:Q17" si="2">Q3+P4</f>
        <v>9</v>
      </c>
      <c r="S4" t="s">
        <v>742</v>
      </c>
      <c r="T4">
        <v>4</v>
      </c>
      <c r="U4">
        <v>5</v>
      </c>
      <c r="V4">
        <v>2</v>
      </c>
      <c r="W4">
        <f t="shared" ref="W4:W17" si="3">W3+V4</f>
        <v>5.5</v>
      </c>
    </row>
    <row r="5" spans="1:23" x14ac:dyDescent="0.25">
      <c r="A5" t="s">
        <v>743</v>
      </c>
      <c r="B5">
        <v>5</v>
      </c>
      <c r="C5">
        <v>6</v>
      </c>
      <c r="D5">
        <v>2</v>
      </c>
      <c r="E5">
        <f t="shared" si="0"/>
        <v>7.5</v>
      </c>
      <c r="G5" t="s">
        <v>743</v>
      </c>
      <c r="H5">
        <v>5</v>
      </c>
      <c r="I5">
        <v>6</v>
      </c>
      <c r="J5">
        <v>4</v>
      </c>
      <c r="K5">
        <f t="shared" si="1"/>
        <v>14</v>
      </c>
      <c r="M5" t="s">
        <v>743</v>
      </c>
      <c r="N5">
        <v>5</v>
      </c>
      <c r="O5">
        <v>6</v>
      </c>
      <c r="P5">
        <v>3</v>
      </c>
      <c r="Q5">
        <f t="shared" si="2"/>
        <v>12</v>
      </c>
      <c r="S5" t="s">
        <v>743</v>
      </c>
      <c r="T5">
        <v>5</v>
      </c>
      <c r="U5">
        <v>6</v>
      </c>
      <c r="V5">
        <v>3</v>
      </c>
      <c r="W5">
        <f t="shared" si="3"/>
        <v>8.5</v>
      </c>
    </row>
    <row r="6" spans="1:23" x14ac:dyDescent="0.25">
      <c r="A6" t="s">
        <v>744</v>
      </c>
      <c r="B6">
        <v>6</v>
      </c>
      <c r="C6">
        <v>7</v>
      </c>
      <c r="D6">
        <v>3</v>
      </c>
      <c r="E6">
        <f t="shared" si="0"/>
        <v>10.5</v>
      </c>
      <c r="G6" t="s">
        <v>744</v>
      </c>
      <c r="H6">
        <v>6</v>
      </c>
      <c r="I6">
        <v>7</v>
      </c>
      <c r="J6">
        <v>4</v>
      </c>
      <c r="K6">
        <f t="shared" si="1"/>
        <v>18</v>
      </c>
      <c r="M6" t="s">
        <v>744</v>
      </c>
      <c r="N6">
        <v>6</v>
      </c>
      <c r="O6">
        <v>7</v>
      </c>
      <c r="P6">
        <v>4</v>
      </c>
      <c r="Q6">
        <f t="shared" si="2"/>
        <v>16</v>
      </c>
      <c r="S6" t="s">
        <v>744</v>
      </c>
      <c r="T6">
        <v>6</v>
      </c>
      <c r="U6">
        <v>7</v>
      </c>
      <c r="V6">
        <v>2</v>
      </c>
      <c r="W6">
        <f t="shared" si="3"/>
        <v>10.5</v>
      </c>
    </row>
    <row r="7" spans="1:23" x14ac:dyDescent="0.25">
      <c r="A7" t="s">
        <v>745</v>
      </c>
      <c r="B7">
        <v>7</v>
      </c>
      <c r="C7">
        <v>8</v>
      </c>
      <c r="D7">
        <v>3</v>
      </c>
      <c r="E7">
        <f t="shared" si="0"/>
        <v>13.5</v>
      </c>
      <c r="G7" t="s">
        <v>745</v>
      </c>
      <c r="H7">
        <v>7</v>
      </c>
      <c r="I7">
        <v>8</v>
      </c>
      <c r="J7">
        <v>6</v>
      </c>
      <c r="K7">
        <f t="shared" si="1"/>
        <v>24</v>
      </c>
      <c r="M7" t="s">
        <v>745</v>
      </c>
      <c r="N7">
        <v>7</v>
      </c>
      <c r="O7">
        <v>8</v>
      </c>
      <c r="P7">
        <v>5</v>
      </c>
      <c r="Q7">
        <f t="shared" si="2"/>
        <v>21</v>
      </c>
      <c r="S7" t="s">
        <v>745</v>
      </c>
      <c r="T7">
        <v>7</v>
      </c>
      <c r="U7">
        <v>8</v>
      </c>
      <c r="V7">
        <v>4</v>
      </c>
      <c r="W7">
        <f t="shared" si="3"/>
        <v>14.5</v>
      </c>
    </row>
    <row r="8" spans="1:23" x14ac:dyDescent="0.25">
      <c r="A8" t="s">
        <v>746</v>
      </c>
      <c r="B8">
        <v>8</v>
      </c>
      <c r="C8">
        <v>9</v>
      </c>
      <c r="D8">
        <v>3</v>
      </c>
      <c r="E8">
        <f t="shared" si="0"/>
        <v>16.5</v>
      </c>
      <c r="G8" t="s">
        <v>746</v>
      </c>
      <c r="H8">
        <v>8</v>
      </c>
      <c r="I8">
        <v>9</v>
      </c>
      <c r="J8">
        <v>6</v>
      </c>
      <c r="K8">
        <f t="shared" si="1"/>
        <v>30</v>
      </c>
      <c r="M8" t="s">
        <v>746</v>
      </c>
      <c r="N8">
        <v>8</v>
      </c>
      <c r="O8">
        <v>9</v>
      </c>
      <c r="P8">
        <v>5</v>
      </c>
      <c r="Q8">
        <f t="shared" si="2"/>
        <v>26</v>
      </c>
      <c r="S8" t="s">
        <v>746</v>
      </c>
      <c r="T8">
        <v>8</v>
      </c>
      <c r="U8">
        <v>9</v>
      </c>
      <c r="V8">
        <v>3</v>
      </c>
      <c r="W8">
        <f t="shared" si="3"/>
        <v>17.5</v>
      </c>
    </row>
    <row r="9" spans="1:23" x14ac:dyDescent="0.25">
      <c r="A9" t="s">
        <v>747</v>
      </c>
      <c r="B9">
        <v>9</v>
      </c>
      <c r="C9">
        <v>10</v>
      </c>
      <c r="D9">
        <v>4</v>
      </c>
      <c r="E9">
        <f t="shared" si="0"/>
        <v>20.5</v>
      </c>
      <c r="G9" t="s">
        <v>747</v>
      </c>
      <c r="H9">
        <v>9</v>
      </c>
      <c r="I9">
        <v>10</v>
      </c>
      <c r="J9">
        <v>7</v>
      </c>
      <c r="K9">
        <f t="shared" si="1"/>
        <v>37</v>
      </c>
      <c r="M9" t="s">
        <v>747</v>
      </c>
      <c r="N9">
        <v>9</v>
      </c>
      <c r="O9">
        <v>10</v>
      </c>
      <c r="P9">
        <v>7</v>
      </c>
      <c r="Q9">
        <f t="shared" si="2"/>
        <v>33</v>
      </c>
      <c r="S9" t="s">
        <v>747</v>
      </c>
      <c r="T9">
        <v>9</v>
      </c>
      <c r="U9">
        <v>10</v>
      </c>
      <c r="V9">
        <v>5</v>
      </c>
      <c r="W9">
        <f t="shared" si="3"/>
        <v>22.5</v>
      </c>
    </row>
    <row r="10" spans="1:23" x14ac:dyDescent="0.25">
      <c r="A10" t="s">
        <v>748</v>
      </c>
      <c r="B10">
        <v>10</v>
      </c>
      <c r="C10">
        <v>11</v>
      </c>
      <c r="D10">
        <v>5</v>
      </c>
      <c r="E10">
        <f t="shared" si="0"/>
        <v>25.5</v>
      </c>
      <c r="G10" t="s">
        <v>748</v>
      </c>
      <c r="H10">
        <v>10</v>
      </c>
      <c r="I10">
        <v>11</v>
      </c>
      <c r="J10">
        <v>9</v>
      </c>
      <c r="K10">
        <f t="shared" si="1"/>
        <v>46</v>
      </c>
      <c r="M10" t="s">
        <v>748</v>
      </c>
      <c r="N10">
        <v>10</v>
      </c>
      <c r="O10">
        <v>11</v>
      </c>
      <c r="P10">
        <v>7</v>
      </c>
      <c r="Q10">
        <f t="shared" si="2"/>
        <v>40</v>
      </c>
      <c r="S10" t="s">
        <v>748</v>
      </c>
      <c r="T10">
        <v>10</v>
      </c>
      <c r="U10">
        <v>11</v>
      </c>
      <c r="V10">
        <v>5</v>
      </c>
      <c r="W10">
        <f t="shared" si="3"/>
        <v>27.5</v>
      </c>
    </row>
    <row r="11" spans="1:23" x14ac:dyDescent="0.25">
      <c r="A11" t="s">
        <v>749</v>
      </c>
      <c r="B11">
        <v>11</v>
      </c>
      <c r="C11">
        <v>12</v>
      </c>
      <c r="D11">
        <v>5</v>
      </c>
      <c r="E11">
        <f t="shared" si="0"/>
        <v>30.5</v>
      </c>
      <c r="G11" t="s">
        <v>749</v>
      </c>
      <c r="H11">
        <v>11</v>
      </c>
      <c r="I11">
        <v>12</v>
      </c>
      <c r="J11">
        <v>10</v>
      </c>
      <c r="K11">
        <f t="shared" si="1"/>
        <v>56</v>
      </c>
      <c r="M11" t="s">
        <v>749</v>
      </c>
      <c r="N11">
        <v>11</v>
      </c>
      <c r="O11">
        <v>12</v>
      </c>
      <c r="P11">
        <v>8</v>
      </c>
      <c r="Q11">
        <f t="shared" si="2"/>
        <v>48</v>
      </c>
      <c r="S11" t="s">
        <v>749</v>
      </c>
      <c r="T11">
        <v>11</v>
      </c>
      <c r="U11">
        <v>12</v>
      </c>
      <c r="V11">
        <v>5</v>
      </c>
      <c r="W11">
        <f t="shared" si="3"/>
        <v>32.5</v>
      </c>
    </row>
    <row r="12" spans="1:23" x14ac:dyDescent="0.25">
      <c r="A12" t="s">
        <v>750</v>
      </c>
      <c r="B12">
        <v>12</v>
      </c>
      <c r="C12">
        <v>13</v>
      </c>
      <c r="D12">
        <v>6</v>
      </c>
      <c r="E12">
        <f t="shared" si="0"/>
        <v>36.5</v>
      </c>
      <c r="G12" t="s">
        <v>750</v>
      </c>
      <c r="H12">
        <v>12</v>
      </c>
      <c r="I12">
        <v>13</v>
      </c>
      <c r="J12">
        <v>11</v>
      </c>
      <c r="K12">
        <f t="shared" si="1"/>
        <v>67</v>
      </c>
      <c r="M12" t="s">
        <v>750</v>
      </c>
      <c r="N12">
        <v>12</v>
      </c>
      <c r="O12">
        <v>13</v>
      </c>
      <c r="P12">
        <v>10</v>
      </c>
      <c r="Q12">
        <f t="shared" si="2"/>
        <v>58</v>
      </c>
      <c r="S12" t="s">
        <v>750</v>
      </c>
      <c r="T12">
        <v>12</v>
      </c>
      <c r="U12">
        <v>13</v>
      </c>
      <c r="V12">
        <v>7</v>
      </c>
      <c r="W12">
        <f t="shared" si="3"/>
        <v>39.5</v>
      </c>
    </row>
    <row r="13" spans="1:23" x14ac:dyDescent="0.25">
      <c r="A13" t="s">
        <v>751</v>
      </c>
      <c r="B13">
        <v>13</v>
      </c>
      <c r="C13">
        <v>14</v>
      </c>
      <c r="D13">
        <v>7</v>
      </c>
      <c r="E13">
        <f t="shared" si="0"/>
        <v>43.5</v>
      </c>
      <c r="G13" t="s">
        <v>751</v>
      </c>
      <c r="H13">
        <v>13</v>
      </c>
      <c r="I13">
        <v>14</v>
      </c>
      <c r="J13">
        <v>12</v>
      </c>
      <c r="K13">
        <f t="shared" si="1"/>
        <v>79</v>
      </c>
      <c r="M13" t="s">
        <v>751</v>
      </c>
      <c r="N13">
        <v>13</v>
      </c>
      <c r="O13">
        <v>14</v>
      </c>
      <c r="P13">
        <v>10</v>
      </c>
      <c r="Q13">
        <f t="shared" si="2"/>
        <v>68</v>
      </c>
      <c r="S13" t="s">
        <v>751</v>
      </c>
      <c r="T13">
        <v>13</v>
      </c>
      <c r="U13">
        <v>14</v>
      </c>
      <c r="V13">
        <v>7</v>
      </c>
      <c r="W13">
        <f t="shared" si="3"/>
        <v>46.5</v>
      </c>
    </row>
    <row r="14" spans="1:23" x14ac:dyDescent="0.25">
      <c r="A14" t="s">
        <v>752</v>
      </c>
      <c r="B14">
        <v>14</v>
      </c>
      <c r="C14">
        <v>15</v>
      </c>
      <c r="D14">
        <v>8</v>
      </c>
      <c r="E14">
        <f t="shared" si="0"/>
        <v>51.5</v>
      </c>
      <c r="G14" t="s">
        <v>752</v>
      </c>
      <c r="H14">
        <v>14</v>
      </c>
      <c r="I14">
        <v>15</v>
      </c>
      <c r="J14">
        <v>16</v>
      </c>
      <c r="K14">
        <f t="shared" si="1"/>
        <v>95</v>
      </c>
      <c r="M14" t="s">
        <v>752</v>
      </c>
      <c r="N14">
        <v>14</v>
      </c>
      <c r="O14">
        <v>15</v>
      </c>
      <c r="P14">
        <v>13</v>
      </c>
      <c r="Q14">
        <f t="shared" si="2"/>
        <v>81</v>
      </c>
      <c r="S14" t="s">
        <v>752</v>
      </c>
      <c r="T14">
        <v>14</v>
      </c>
      <c r="U14">
        <v>15</v>
      </c>
      <c r="V14">
        <v>9</v>
      </c>
      <c r="W14">
        <f t="shared" si="3"/>
        <v>55.5</v>
      </c>
    </row>
    <row r="15" spans="1:23" x14ac:dyDescent="0.25">
      <c r="A15" t="s">
        <v>753</v>
      </c>
      <c r="B15">
        <v>15</v>
      </c>
      <c r="C15">
        <v>16</v>
      </c>
      <c r="D15">
        <v>10</v>
      </c>
      <c r="E15">
        <f t="shared" si="0"/>
        <v>61.5</v>
      </c>
      <c r="G15" t="s">
        <v>753</v>
      </c>
      <c r="H15">
        <v>15</v>
      </c>
      <c r="I15">
        <v>16</v>
      </c>
      <c r="J15">
        <v>18</v>
      </c>
      <c r="K15">
        <f t="shared" si="1"/>
        <v>113</v>
      </c>
      <c r="M15" t="s">
        <v>753</v>
      </c>
      <c r="N15">
        <v>15</v>
      </c>
      <c r="O15">
        <v>16</v>
      </c>
      <c r="P15">
        <v>15</v>
      </c>
      <c r="Q15">
        <f t="shared" si="2"/>
        <v>96</v>
      </c>
      <c r="S15" t="s">
        <v>753</v>
      </c>
      <c r="T15">
        <v>15</v>
      </c>
      <c r="U15">
        <v>16</v>
      </c>
      <c r="V15">
        <v>10</v>
      </c>
      <c r="W15">
        <f t="shared" si="3"/>
        <v>65.5</v>
      </c>
    </row>
    <row r="16" spans="1:23" x14ac:dyDescent="0.25">
      <c r="A16" t="s">
        <v>754</v>
      </c>
      <c r="B16">
        <v>16</v>
      </c>
      <c r="C16">
        <v>17</v>
      </c>
      <c r="D16">
        <v>11</v>
      </c>
      <c r="E16">
        <f t="shared" si="0"/>
        <v>72.5</v>
      </c>
      <c r="G16" t="s">
        <v>754</v>
      </c>
      <c r="H16">
        <v>16</v>
      </c>
      <c r="I16">
        <v>17</v>
      </c>
      <c r="J16">
        <v>23</v>
      </c>
      <c r="K16">
        <f t="shared" si="1"/>
        <v>136</v>
      </c>
      <c r="M16" t="s">
        <v>754</v>
      </c>
      <c r="N16">
        <v>16</v>
      </c>
      <c r="O16">
        <v>17</v>
      </c>
      <c r="P16">
        <v>19</v>
      </c>
      <c r="Q16">
        <f t="shared" si="2"/>
        <v>115</v>
      </c>
      <c r="S16" t="s">
        <v>754</v>
      </c>
      <c r="T16">
        <v>16</v>
      </c>
      <c r="U16">
        <v>17</v>
      </c>
      <c r="V16">
        <v>12</v>
      </c>
      <c r="W16">
        <f t="shared" si="3"/>
        <v>77.5</v>
      </c>
    </row>
    <row r="17" spans="1:23" x14ac:dyDescent="0.25">
      <c r="A17" t="s">
        <v>755</v>
      </c>
      <c r="B17">
        <v>17</v>
      </c>
      <c r="C17">
        <v>18</v>
      </c>
      <c r="D17">
        <v>14</v>
      </c>
      <c r="E17">
        <f t="shared" si="0"/>
        <v>86.5</v>
      </c>
      <c r="G17" t="s">
        <v>755</v>
      </c>
      <c r="H17">
        <v>17</v>
      </c>
      <c r="I17">
        <v>18</v>
      </c>
      <c r="J17">
        <v>36</v>
      </c>
      <c r="K17">
        <f t="shared" si="1"/>
        <v>172</v>
      </c>
      <c r="M17" t="s">
        <v>755</v>
      </c>
      <c r="N17">
        <v>17</v>
      </c>
      <c r="O17">
        <v>18</v>
      </c>
      <c r="P17">
        <v>26</v>
      </c>
      <c r="Q17">
        <f t="shared" si="2"/>
        <v>141</v>
      </c>
      <c r="S17" t="s">
        <v>755</v>
      </c>
      <c r="T17">
        <v>17</v>
      </c>
      <c r="U17">
        <v>18</v>
      </c>
      <c r="V17">
        <v>15</v>
      </c>
      <c r="W17">
        <f t="shared" si="3"/>
        <v>92.5</v>
      </c>
    </row>
    <row r="18" spans="1:23" x14ac:dyDescent="0.25">
      <c r="A18" t="s">
        <v>756</v>
      </c>
      <c r="B18">
        <v>18</v>
      </c>
      <c r="C18">
        <v>19</v>
      </c>
      <c r="D18">
        <v>19</v>
      </c>
      <c r="G18" t="s">
        <v>756</v>
      </c>
      <c r="H18">
        <v>18</v>
      </c>
      <c r="I18">
        <v>19</v>
      </c>
      <c r="M18" t="s">
        <v>756</v>
      </c>
      <c r="N18">
        <v>18</v>
      </c>
      <c r="O18">
        <v>19</v>
      </c>
      <c r="P18">
        <v>58</v>
      </c>
      <c r="S18" t="s">
        <v>756</v>
      </c>
      <c r="T18">
        <v>18</v>
      </c>
      <c r="U18">
        <v>19</v>
      </c>
      <c r="V18">
        <v>21</v>
      </c>
    </row>
    <row r="21" spans="1:23" x14ac:dyDescent="0.25">
      <c r="A21" s="4" t="s">
        <v>761</v>
      </c>
      <c r="B21" s="4" t="s">
        <v>757</v>
      </c>
      <c r="C21" s="4" t="s">
        <v>758</v>
      </c>
      <c r="D21" s="4" t="s">
        <v>736</v>
      </c>
      <c r="E21" s="4" t="s">
        <v>759</v>
      </c>
      <c r="G21" s="4" t="s">
        <v>762</v>
      </c>
      <c r="H21" s="4" t="s">
        <v>757</v>
      </c>
      <c r="I21" s="4" t="s">
        <v>758</v>
      </c>
      <c r="J21" s="4" t="s">
        <v>736</v>
      </c>
      <c r="K21" s="4" t="s">
        <v>759</v>
      </c>
      <c r="M21" s="4" t="s">
        <v>0</v>
      </c>
      <c r="N21" s="4" t="s">
        <v>757</v>
      </c>
      <c r="O21" s="4" t="s">
        <v>758</v>
      </c>
      <c r="P21" s="4" t="s">
        <v>736</v>
      </c>
      <c r="Q21" s="4" t="s">
        <v>759</v>
      </c>
      <c r="S21" s="4" t="s">
        <v>61</v>
      </c>
      <c r="T21">
        <v>19</v>
      </c>
    </row>
    <row r="22" spans="1:23" x14ac:dyDescent="0.25">
      <c r="A22" t="s">
        <v>740</v>
      </c>
      <c r="B22">
        <v>2</v>
      </c>
      <c r="C22">
        <v>3</v>
      </c>
      <c r="D22">
        <v>2</v>
      </c>
      <c r="E22">
        <f>D22</f>
        <v>2</v>
      </c>
      <c r="G22" t="s">
        <v>740</v>
      </c>
      <c r="H22">
        <v>2</v>
      </c>
      <c r="I22">
        <v>3</v>
      </c>
      <c r="J22">
        <v>2</v>
      </c>
      <c r="K22">
        <f>J22</f>
        <v>2</v>
      </c>
      <c r="M22" t="s">
        <v>740</v>
      </c>
      <c r="N22">
        <v>2</v>
      </c>
      <c r="O22">
        <v>3</v>
      </c>
      <c r="P22">
        <v>1</v>
      </c>
      <c r="Q22">
        <f>P22</f>
        <v>1</v>
      </c>
      <c r="S22" t="s">
        <v>763</v>
      </c>
      <c r="T22" s="557">
        <v>0.15</v>
      </c>
    </row>
    <row r="23" spans="1:23" x14ac:dyDescent="0.25">
      <c r="A23" t="s">
        <v>741</v>
      </c>
      <c r="B23">
        <v>3</v>
      </c>
      <c r="C23">
        <v>4</v>
      </c>
      <c r="D23">
        <v>2</v>
      </c>
      <c r="E23">
        <f>E22+D23</f>
        <v>4</v>
      </c>
      <c r="G23" t="s">
        <v>741</v>
      </c>
      <c r="H23">
        <v>3</v>
      </c>
      <c r="I23">
        <v>4</v>
      </c>
      <c r="J23">
        <v>3</v>
      </c>
      <c r="K23">
        <f>K22+J23</f>
        <v>5</v>
      </c>
      <c r="M23" t="s">
        <v>741</v>
      </c>
      <c r="N23">
        <v>3</v>
      </c>
      <c r="O23">
        <v>4</v>
      </c>
      <c r="P23">
        <v>1</v>
      </c>
      <c r="Q23">
        <f>Q22+P23</f>
        <v>2</v>
      </c>
      <c r="S23" t="s">
        <v>764</v>
      </c>
      <c r="T23" t="s">
        <v>766</v>
      </c>
    </row>
    <row r="24" spans="1:23" x14ac:dyDescent="0.25">
      <c r="A24" t="s">
        <v>742</v>
      </c>
      <c r="B24">
        <v>4</v>
      </c>
      <c r="C24">
        <v>5</v>
      </c>
      <c r="D24">
        <v>3</v>
      </c>
      <c r="E24">
        <f t="shared" ref="E24:E37" si="4">E23+D24</f>
        <v>7</v>
      </c>
      <c r="G24" t="s">
        <v>742</v>
      </c>
      <c r="H24">
        <v>4</v>
      </c>
      <c r="I24">
        <v>5</v>
      </c>
      <c r="J24">
        <v>3</v>
      </c>
      <c r="K24">
        <f t="shared" ref="K24:K37" si="5">K23+J24</f>
        <v>8</v>
      </c>
      <c r="M24" t="s">
        <v>742</v>
      </c>
      <c r="N24">
        <v>4</v>
      </c>
      <c r="O24">
        <v>5</v>
      </c>
      <c r="P24">
        <v>1</v>
      </c>
      <c r="Q24">
        <f t="shared" ref="Q24:Q37" si="6">Q23+P24</f>
        <v>3</v>
      </c>
      <c r="S24" t="s">
        <v>765</v>
      </c>
      <c r="T24" s="557">
        <v>1</v>
      </c>
    </row>
    <row r="25" spans="1:23" x14ac:dyDescent="0.25">
      <c r="A25" t="s">
        <v>743</v>
      </c>
      <c r="B25">
        <v>5</v>
      </c>
      <c r="C25">
        <v>6</v>
      </c>
      <c r="D25">
        <v>3</v>
      </c>
      <c r="E25">
        <f t="shared" si="4"/>
        <v>10</v>
      </c>
      <c r="G25" t="s">
        <v>743</v>
      </c>
      <c r="H25">
        <v>5</v>
      </c>
      <c r="I25">
        <v>6</v>
      </c>
      <c r="J25">
        <v>4</v>
      </c>
      <c r="K25">
        <f t="shared" si="5"/>
        <v>12</v>
      </c>
      <c r="M25" t="s">
        <v>743</v>
      </c>
      <c r="N25">
        <v>5</v>
      </c>
      <c r="O25">
        <v>6</v>
      </c>
      <c r="P25">
        <v>1</v>
      </c>
      <c r="Q25">
        <f t="shared" si="6"/>
        <v>4</v>
      </c>
    </row>
    <row r="26" spans="1:23" x14ac:dyDescent="0.25">
      <c r="A26" t="s">
        <v>744</v>
      </c>
      <c r="B26">
        <v>6</v>
      </c>
      <c r="C26">
        <v>7</v>
      </c>
      <c r="D26">
        <v>4</v>
      </c>
      <c r="E26">
        <f t="shared" si="4"/>
        <v>14</v>
      </c>
      <c r="G26" t="s">
        <v>744</v>
      </c>
      <c r="H26">
        <v>6</v>
      </c>
      <c r="I26">
        <v>7</v>
      </c>
      <c r="J26">
        <v>4</v>
      </c>
      <c r="K26">
        <f t="shared" si="5"/>
        <v>16</v>
      </c>
      <c r="M26" t="s">
        <v>744</v>
      </c>
      <c r="N26">
        <v>6</v>
      </c>
      <c r="O26">
        <v>7</v>
      </c>
      <c r="P26">
        <v>1</v>
      </c>
      <c r="Q26">
        <f t="shared" si="6"/>
        <v>5</v>
      </c>
    </row>
    <row r="27" spans="1:23" x14ac:dyDescent="0.25">
      <c r="A27" t="s">
        <v>745</v>
      </c>
      <c r="B27">
        <v>7</v>
      </c>
      <c r="C27">
        <v>8</v>
      </c>
      <c r="D27">
        <v>4</v>
      </c>
      <c r="E27">
        <f t="shared" si="4"/>
        <v>18</v>
      </c>
      <c r="G27" t="s">
        <v>745</v>
      </c>
      <c r="H27">
        <v>7</v>
      </c>
      <c r="I27">
        <v>8</v>
      </c>
      <c r="J27">
        <v>5</v>
      </c>
      <c r="K27">
        <f t="shared" si="5"/>
        <v>21</v>
      </c>
      <c r="M27" t="s">
        <v>745</v>
      </c>
      <c r="N27">
        <v>7</v>
      </c>
      <c r="O27">
        <v>8</v>
      </c>
      <c r="P27">
        <v>1</v>
      </c>
      <c r="Q27">
        <f t="shared" si="6"/>
        <v>6</v>
      </c>
    </row>
    <row r="28" spans="1:23" x14ac:dyDescent="0.25">
      <c r="A28" t="s">
        <v>746</v>
      </c>
      <c r="B28">
        <v>8</v>
      </c>
      <c r="C28">
        <v>9</v>
      </c>
      <c r="D28">
        <v>5</v>
      </c>
      <c r="E28">
        <f t="shared" si="4"/>
        <v>23</v>
      </c>
      <c r="G28" t="s">
        <v>746</v>
      </c>
      <c r="H28">
        <v>8</v>
      </c>
      <c r="I28">
        <v>9</v>
      </c>
      <c r="J28">
        <v>6</v>
      </c>
      <c r="K28">
        <f t="shared" si="5"/>
        <v>27</v>
      </c>
      <c r="M28" t="s">
        <v>746</v>
      </c>
      <c r="N28">
        <v>8</v>
      </c>
      <c r="O28">
        <v>9</v>
      </c>
      <c r="P28">
        <v>1</v>
      </c>
      <c r="Q28">
        <f t="shared" si="6"/>
        <v>7</v>
      </c>
    </row>
    <row r="29" spans="1:23" x14ac:dyDescent="0.25">
      <c r="A29" t="s">
        <v>747</v>
      </c>
      <c r="B29">
        <v>9</v>
      </c>
      <c r="C29">
        <v>10</v>
      </c>
      <c r="D29">
        <v>6</v>
      </c>
      <c r="E29">
        <f t="shared" si="4"/>
        <v>29</v>
      </c>
      <c r="G29" t="s">
        <v>747</v>
      </c>
      <c r="H29">
        <v>9</v>
      </c>
      <c r="I29">
        <v>10</v>
      </c>
      <c r="J29">
        <v>6</v>
      </c>
      <c r="K29">
        <f t="shared" si="5"/>
        <v>33</v>
      </c>
      <c r="M29" t="s">
        <v>747</v>
      </c>
      <c r="N29">
        <v>9</v>
      </c>
      <c r="O29">
        <v>10</v>
      </c>
      <c r="P29">
        <v>1</v>
      </c>
      <c r="Q29">
        <f t="shared" si="6"/>
        <v>8</v>
      </c>
    </row>
    <row r="30" spans="1:23" x14ac:dyDescent="0.25">
      <c r="A30" t="s">
        <v>748</v>
      </c>
      <c r="B30">
        <v>10</v>
      </c>
      <c r="C30">
        <v>11</v>
      </c>
      <c r="D30">
        <v>7</v>
      </c>
      <c r="E30">
        <f t="shared" si="4"/>
        <v>36</v>
      </c>
      <c r="G30" t="s">
        <v>748</v>
      </c>
      <c r="H30">
        <v>10</v>
      </c>
      <c r="I30">
        <v>11</v>
      </c>
      <c r="J30">
        <v>7</v>
      </c>
      <c r="K30">
        <f t="shared" si="5"/>
        <v>40</v>
      </c>
      <c r="M30" t="s">
        <v>748</v>
      </c>
      <c r="N30">
        <v>10</v>
      </c>
      <c r="O30">
        <v>11</v>
      </c>
      <c r="P30">
        <v>2</v>
      </c>
      <c r="Q30">
        <f t="shared" si="6"/>
        <v>10</v>
      </c>
    </row>
    <row r="31" spans="1:23" x14ac:dyDescent="0.25">
      <c r="A31" t="s">
        <v>749</v>
      </c>
      <c r="B31">
        <v>11</v>
      </c>
      <c r="C31">
        <v>12</v>
      </c>
      <c r="D31">
        <v>7</v>
      </c>
      <c r="E31">
        <f t="shared" si="4"/>
        <v>43</v>
      </c>
      <c r="G31" t="s">
        <v>749</v>
      </c>
      <c r="H31">
        <v>11</v>
      </c>
      <c r="I31">
        <v>12</v>
      </c>
      <c r="J31">
        <v>9</v>
      </c>
      <c r="K31">
        <f t="shared" si="5"/>
        <v>49</v>
      </c>
      <c r="M31" t="s">
        <v>749</v>
      </c>
      <c r="N31">
        <v>11</v>
      </c>
      <c r="O31">
        <v>12</v>
      </c>
      <c r="P31">
        <v>2</v>
      </c>
      <c r="Q31">
        <f t="shared" si="6"/>
        <v>12</v>
      </c>
    </row>
    <row r="32" spans="1:23" x14ac:dyDescent="0.25">
      <c r="A32" t="s">
        <v>750</v>
      </c>
      <c r="B32">
        <v>12</v>
      </c>
      <c r="C32">
        <v>13</v>
      </c>
      <c r="D32">
        <v>9</v>
      </c>
      <c r="E32">
        <f t="shared" si="4"/>
        <v>52</v>
      </c>
      <c r="G32" t="s">
        <v>750</v>
      </c>
      <c r="H32">
        <v>12</v>
      </c>
      <c r="I32">
        <v>13</v>
      </c>
      <c r="J32">
        <v>10</v>
      </c>
      <c r="K32">
        <f t="shared" si="5"/>
        <v>59</v>
      </c>
      <c r="M32" t="s">
        <v>750</v>
      </c>
      <c r="N32">
        <v>12</v>
      </c>
      <c r="O32">
        <v>13</v>
      </c>
      <c r="P32">
        <v>2</v>
      </c>
      <c r="Q32">
        <f t="shared" si="6"/>
        <v>14</v>
      </c>
    </row>
    <row r="33" spans="1:17" x14ac:dyDescent="0.25">
      <c r="A33" t="s">
        <v>751</v>
      </c>
      <c r="B33">
        <v>13</v>
      </c>
      <c r="C33">
        <v>14</v>
      </c>
      <c r="D33">
        <v>10</v>
      </c>
      <c r="E33">
        <f t="shared" si="4"/>
        <v>62</v>
      </c>
      <c r="G33" t="s">
        <v>751</v>
      </c>
      <c r="H33">
        <v>13</v>
      </c>
      <c r="I33">
        <v>14</v>
      </c>
      <c r="J33">
        <v>11</v>
      </c>
      <c r="K33">
        <f t="shared" si="5"/>
        <v>70</v>
      </c>
      <c r="M33" t="s">
        <v>751</v>
      </c>
      <c r="N33">
        <v>13</v>
      </c>
      <c r="O33">
        <v>14</v>
      </c>
      <c r="P33">
        <v>2</v>
      </c>
      <c r="Q33">
        <f t="shared" si="6"/>
        <v>16</v>
      </c>
    </row>
    <row r="34" spans="1:17" x14ac:dyDescent="0.25">
      <c r="A34" t="s">
        <v>752</v>
      </c>
      <c r="B34">
        <v>14</v>
      </c>
      <c r="C34">
        <v>15</v>
      </c>
      <c r="D34">
        <v>12</v>
      </c>
      <c r="E34">
        <f t="shared" si="4"/>
        <v>74</v>
      </c>
      <c r="G34" t="s">
        <v>752</v>
      </c>
      <c r="H34">
        <v>14</v>
      </c>
      <c r="I34">
        <v>15</v>
      </c>
      <c r="J34">
        <v>13</v>
      </c>
      <c r="K34">
        <f t="shared" si="5"/>
        <v>83</v>
      </c>
      <c r="M34" t="s">
        <v>752</v>
      </c>
      <c r="N34">
        <v>14</v>
      </c>
      <c r="O34">
        <v>15</v>
      </c>
      <c r="P34">
        <v>2</v>
      </c>
      <c r="Q34">
        <f t="shared" si="6"/>
        <v>18</v>
      </c>
    </row>
    <row r="35" spans="1:17" x14ac:dyDescent="0.25">
      <c r="A35" t="s">
        <v>753</v>
      </c>
      <c r="B35">
        <v>15</v>
      </c>
      <c r="C35">
        <v>16</v>
      </c>
      <c r="D35">
        <v>14</v>
      </c>
      <c r="E35">
        <f t="shared" si="4"/>
        <v>88</v>
      </c>
      <c r="G35" t="s">
        <v>753</v>
      </c>
      <c r="H35">
        <v>15</v>
      </c>
      <c r="I35">
        <v>16</v>
      </c>
      <c r="J35">
        <v>16</v>
      </c>
      <c r="K35">
        <f t="shared" si="5"/>
        <v>99</v>
      </c>
      <c r="M35" t="s">
        <v>753</v>
      </c>
      <c r="N35">
        <v>15</v>
      </c>
      <c r="O35">
        <v>16</v>
      </c>
      <c r="P35">
        <v>3</v>
      </c>
      <c r="Q35">
        <f t="shared" si="6"/>
        <v>21</v>
      </c>
    </row>
    <row r="36" spans="1:17" x14ac:dyDescent="0.25">
      <c r="A36" t="s">
        <v>754</v>
      </c>
      <c r="B36">
        <v>16</v>
      </c>
      <c r="C36">
        <v>17</v>
      </c>
      <c r="D36">
        <v>17</v>
      </c>
      <c r="E36">
        <f t="shared" si="4"/>
        <v>105</v>
      </c>
      <c r="G36" t="s">
        <v>754</v>
      </c>
      <c r="H36">
        <v>16</v>
      </c>
      <c r="I36">
        <v>17</v>
      </c>
      <c r="J36">
        <v>20</v>
      </c>
      <c r="K36">
        <f t="shared" si="5"/>
        <v>119</v>
      </c>
      <c r="M36" t="s">
        <v>754</v>
      </c>
      <c r="N36">
        <v>16</v>
      </c>
      <c r="O36">
        <v>17</v>
      </c>
      <c r="P36">
        <v>4</v>
      </c>
      <c r="Q36">
        <f t="shared" si="6"/>
        <v>25</v>
      </c>
    </row>
    <row r="37" spans="1:17" x14ac:dyDescent="0.25">
      <c r="A37" t="s">
        <v>755</v>
      </c>
      <c r="B37">
        <v>17</v>
      </c>
      <c r="C37">
        <v>18</v>
      </c>
      <c r="D37">
        <v>23</v>
      </c>
      <c r="E37">
        <f t="shared" si="4"/>
        <v>128</v>
      </c>
      <c r="G37" t="s">
        <v>755</v>
      </c>
      <c r="H37">
        <v>17</v>
      </c>
      <c r="I37">
        <v>18</v>
      </c>
      <c r="J37">
        <v>29</v>
      </c>
      <c r="K37">
        <f t="shared" si="5"/>
        <v>148</v>
      </c>
      <c r="M37" t="s">
        <v>755</v>
      </c>
      <c r="N37">
        <v>17</v>
      </c>
      <c r="O37">
        <v>18</v>
      </c>
      <c r="P37">
        <v>4</v>
      </c>
      <c r="Q37">
        <f t="shared" si="6"/>
        <v>29</v>
      </c>
    </row>
    <row r="38" spans="1:17" x14ac:dyDescent="0.25">
      <c r="A38" t="s">
        <v>756</v>
      </c>
      <c r="B38">
        <v>18</v>
      </c>
      <c r="C38">
        <v>19</v>
      </c>
      <c r="D38">
        <v>41</v>
      </c>
      <c r="G38" t="s">
        <v>756</v>
      </c>
      <c r="H38">
        <v>18</v>
      </c>
      <c r="I38">
        <v>19</v>
      </c>
      <c r="M38" t="s">
        <v>756</v>
      </c>
      <c r="N38">
        <v>18</v>
      </c>
      <c r="O38">
        <v>19</v>
      </c>
      <c r="P38">
        <v>4</v>
      </c>
    </row>
  </sheetData>
  <pageMargins left="0.7" right="0.7" top="0.75" bottom="0.75" header="0.3" footer="0.3"/>
  <pageSetup paperSize="9" scale="69"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1:N177"/>
  <sheetViews>
    <sheetView workbookViewId="0">
      <selection activeCell="Q22" sqref="Q22"/>
    </sheetView>
  </sheetViews>
  <sheetFormatPr defaultColWidth="11.42578125" defaultRowHeight="15" x14ac:dyDescent="0.25"/>
  <cols>
    <col min="12" max="12" width="6" bestFit="1" customWidth="1"/>
    <col min="13" max="13" width="4.85546875" bestFit="1" customWidth="1"/>
    <col min="14" max="14" width="8" bestFit="1" customWidth="1"/>
  </cols>
  <sheetData>
    <row r="1" spans="12:14" x14ac:dyDescent="0.25">
      <c r="L1" s="4" t="s">
        <v>60</v>
      </c>
      <c r="M1" s="4" t="s">
        <v>214</v>
      </c>
      <c r="N1" s="4" t="s">
        <v>104</v>
      </c>
    </row>
    <row r="2" spans="12:14" x14ac:dyDescent="0.25">
      <c r="L2" t="s">
        <v>420</v>
      </c>
      <c r="M2" t="s">
        <v>28</v>
      </c>
      <c r="N2">
        <v>5960</v>
      </c>
    </row>
    <row r="3" spans="12:14" x14ac:dyDescent="0.25">
      <c r="M3" t="s">
        <v>29</v>
      </c>
      <c r="N3">
        <v>5960</v>
      </c>
    </row>
    <row r="4" spans="12:14" x14ac:dyDescent="0.25">
      <c r="M4" t="s">
        <v>30</v>
      </c>
      <c r="N4">
        <v>5960</v>
      </c>
    </row>
    <row r="5" spans="12:14" x14ac:dyDescent="0.25">
      <c r="M5" t="s">
        <v>31</v>
      </c>
      <c r="N5">
        <v>5960</v>
      </c>
    </row>
    <row r="6" spans="12:14" x14ac:dyDescent="0.25">
      <c r="M6" t="s">
        <v>32</v>
      </c>
      <c r="N6">
        <v>6010</v>
      </c>
    </row>
    <row r="7" spans="12:14" x14ac:dyDescent="0.25">
      <c r="M7" t="s">
        <v>33</v>
      </c>
      <c r="N7">
        <v>6010</v>
      </c>
    </row>
    <row r="8" spans="12:14" x14ac:dyDescent="0.25">
      <c r="M8" t="s">
        <v>34</v>
      </c>
      <c r="N8">
        <v>6010</v>
      </c>
    </row>
    <row r="9" spans="12:14" x14ac:dyDescent="0.25">
      <c r="M9" t="s">
        <v>35</v>
      </c>
      <c r="N9">
        <v>6010</v>
      </c>
    </row>
    <row r="10" spans="12:14" x14ac:dyDescent="0.25">
      <c r="M10" t="s">
        <v>36</v>
      </c>
      <c r="N10">
        <v>6010</v>
      </c>
    </row>
    <row r="11" spans="12:14" x14ac:dyDescent="0.25">
      <c r="M11" t="s">
        <v>37</v>
      </c>
      <c r="N11">
        <v>6010</v>
      </c>
    </row>
    <row r="12" spans="12:14" x14ac:dyDescent="0.25">
      <c r="M12" t="s">
        <v>38</v>
      </c>
      <c r="N12">
        <v>6010</v>
      </c>
    </row>
    <row r="13" spans="12:14" x14ac:dyDescent="0.25">
      <c r="M13" t="s">
        <v>39</v>
      </c>
      <c r="N13">
        <v>6010</v>
      </c>
    </row>
    <row r="14" spans="12:14" x14ac:dyDescent="0.25">
      <c r="M14" t="s">
        <v>40</v>
      </c>
      <c r="N14">
        <v>6010</v>
      </c>
    </row>
    <row r="15" spans="12:14" x14ac:dyDescent="0.25">
      <c r="M15" t="s">
        <v>41</v>
      </c>
      <c r="N15">
        <v>6010</v>
      </c>
    </row>
    <row r="16" spans="12:14" x14ac:dyDescent="0.25">
      <c r="M16" t="s">
        <v>42</v>
      </c>
      <c r="N16">
        <v>7420</v>
      </c>
    </row>
    <row r="17" spans="12:14" x14ac:dyDescent="0.25">
      <c r="M17" t="s">
        <v>43</v>
      </c>
      <c r="N17">
        <v>7420</v>
      </c>
    </row>
    <row r="18" spans="12:14" x14ac:dyDescent="0.25">
      <c r="L18" t="s">
        <v>421</v>
      </c>
      <c r="M18" t="s">
        <v>28</v>
      </c>
      <c r="N18">
        <v>7420</v>
      </c>
    </row>
    <row r="19" spans="12:14" x14ac:dyDescent="0.25">
      <c r="M19" t="s">
        <v>29</v>
      </c>
      <c r="N19">
        <v>9400</v>
      </c>
    </row>
    <row r="20" spans="12:14" x14ac:dyDescent="0.25">
      <c r="M20" t="s">
        <v>30</v>
      </c>
      <c r="N20">
        <v>9670</v>
      </c>
    </row>
    <row r="21" spans="12:14" x14ac:dyDescent="0.25">
      <c r="M21" t="s">
        <v>31</v>
      </c>
      <c r="N21">
        <v>9250</v>
      </c>
    </row>
    <row r="22" spans="12:14" x14ac:dyDescent="0.25">
      <c r="M22" t="s">
        <v>32</v>
      </c>
      <c r="N22">
        <v>9600</v>
      </c>
    </row>
    <row r="23" spans="12:14" x14ac:dyDescent="0.25">
      <c r="M23" t="s">
        <v>33</v>
      </c>
      <c r="N23">
        <v>9890</v>
      </c>
    </row>
    <row r="24" spans="12:14" x14ac:dyDescent="0.25">
      <c r="M24" t="s">
        <v>34</v>
      </c>
      <c r="N24">
        <v>9890</v>
      </c>
    </row>
    <row r="25" spans="12:14" x14ac:dyDescent="0.25">
      <c r="M25" t="s">
        <v>35</v>
      </c>
      <c r="N25">
        <v>9890</v>
      </c>
    </row>
    <row r="26" spans="12:14" x14ac:dyDescent="0.25">
      <c r="M26" t="s">
        <v>36</v>
      </c>
      <c r="N26">
        <v>9890</v>
      </c>
    </row>
    <row r="27" spans="12:14" x14ac:dyDescent="0.25">
      <c r="M27" t="s">
        <v>37</v>
      </c>
      <c r="N27">
        <v>11234</v>
      </c>
    </row>
    <row r="28" spans="12:14" x14ac:dyDescent="0.25">
      <c r="M28" t="s">
        <v>38</v>
      </c>
      <c r="N28">
        <v>11254</v>
      </c>
    </row>
    <row r="29" spans="12:14" x14ac:dyDescent="0.25">
      <c r="M29" t="s">
        <v>39</v>
      </c>
      <c r="N29">
        <v>11254</v>
      </c>
    </row>
    <row r="30" spans="12:14" x14ac:dyDescent="0.25">
      <c r="M30" t="s">
        <v>40</v>
      </c>
      <c r="N30">
        <v>11254</v>
      </c>
    </row>
    <row r="31" spans="12:14" x14ac:dyDescent="0.25">
      <c r="M31" t="s">
        <v>41</v>
      </c>
      <c r="N31">
        <v>11194</v>
      </c>
    </row>
    <row r="32" spans="12:14" x14ac:dyDescent="0.25">
      <c r="M32" t="s">
        <v>42</v>
      </c>
      <c r="N32">
        <v>14544</v>
      </c>
    </row>
    <row r="33" spans="12:14" x14ac:dyDescent="0.25">
      <c r="M33" t="s">
        <v>43</v>
      </c>
      <c r="N33">
        <v>16314</v>
      </c>
    </row>
    <row r="34" spans="12:14" x14ac:dyDescent="0.25">
      <c r="L34" t="s">
        <v>422</v>
      </c>
      <c r="M34" t="s">
        <v>28</v>
      </c>
      <c r="N34">
        <v>16314</v>
      </c>
    </row>
    <row r="35" spans="12:14" x14ac:dyDescent="0.25">
      <c r="M35" t="s">
        <v>29</v>
      </c>
      <c r="N35">
        <v>16384</v>
      </c>
    </row>
    <row r="36" spans="12:14" x14ac:dyDescent="0.25">
      <c r="M36" t="s">
        <v>30</v>
      </c>
      <c r="N36">
        <v>16504</v>
      </c>
    </row>
    <row r="37" spans="12:14" x14ac:dyDescent="0.25">
      <c r="M37" t="s">
        <v>31</v>
      </c>
      <c r="N37">
        <v>16694</v>
      </c>
    </row>
    <row r="38" spans="12:14" x14ac:dyDescent="0.25">
      <c r="M38" t="s">
        <v>32</v>
      </c>
      <c r="N38">
        <v>17084</v>
      </c>
    </row>
    <row r="39" spans="12:14" x14ac:dyDescent="0.25">
      <c r="M39" t="s">
        <v>33</v>
      </c>
      <c r="N39">
        <v>17654</v>
      </c>
    </row>
    <row r="40" spans="12:14" x14ac:dyDescent="0.25">
      <c r="M40" t="s">
        <v>34</v>
      </c>
      <c r="N40">
        <v>17074</v>
      </c>
    </row>
    <row r="41" spans="12:14" x14ac:dyDescent="0.25">
      <c r="M41" t="s">
        <v>35</v>
      </c>
      <c r="N41">
        <v>17314</v>
      </c>
    </row>
    <row r="42" spans="12:14" x14ac:dyDescent="0.25">
      <c r="M42" t="s">
        <v>36</v>
      </c>
      <c r="N42">
        <v>17314</v>
      </c>
    </row>
    <row r="43" spans="12:14" x14ac:dyDescent="0.25">
      <c r="M43" t="s">
        <v>37</v>
      </c>
      <c r="N43">
        <v>17434</v>
      </c>
    </row>
    <row r="44" spans="12:14" x14ac:dyDescent="0.25">
      <c r="M44" t="s">
        <v>38</v>
      </c>
      <c r="N44">
        <v>17434</v>
      </c>
    </row>
    <row r="45" spans="12:14" x14ac:dyDescent="0.25">
      <c r="M45" t="s">
        <v>39</v>
      </c>
      <c r="N45">
        <v>17954</v>
      </c>
    </row>
    <row r="46" spans="12:14" x14ac:dyDescent="0.25">
      <c r="M46" t="s">
        <v>40</v>
      </c>
      <c r="N46">
        <v>17954</v>
      </c>
    </row>
    <row r="47" spans="12:14" x14ac:dyDescent="0.25">
      <c r="M47" t="s">
        <v>41</v>
      </c>
      <c r="N47">
        <v>17954</v>
      </c>
    </row>
    <row r="48" spans="12:14" x14ac:dyDescent="0.25">
      <c r="M48" t="s">
        <v>42</v>
      </c>
      <c r="N48">
        <v>19764</v>
      </c>
    </row>
    <row r="49" spans="12:14" x14ac:dyDescent="0.25">
      <c r="M49" t="s">
        <v>43</v>
      </c>
      <c r="N49">
        <v>19612</v>
      </c>
    </row>
    <row r="50" spans="12:14" x14ac:dyDescent="0.25">
      <c r="L50" t="s">
        <v>423</v>
      </c>
      <c r="M50" t="s">
        <v>28</v>
      </c>
      <c r="N50">
        <v>20232</v>
      </c>
    </row>
    <row r="51" spans="12:14" x14ac:dyDescent="0.25">
      <c r="M51" t="s">
        <v>29</v>
      </c>
      <c r="N51">
        <v>20562</v>
      </c>
    </row>
    <row r="52" spans="12:14" x14ac:dyDescent="0.25">
      <c r="M52" t="s">
        <v>30</v>
      </c>
      <c r="N52">
        <v>20932</v>
      </c>
    </row>
    <row r="53" spans="12:14" x14ac:dyDescent="0.25">
      <c r="M53" t="s">
        <v>31</v>
      </c>
      <c r="N53">
        <v>20932</v>
      </c>
    </row>
    <row r="54" spans="12:14" x14ac:dyDescent="0.25">
      <c r="M54" t="s">
        <v>32</v>
      </c>
      <c r="N54">
        <v>21092</v>
      </c>
    </row>
    <row r="55" spans="12:14" x14ac:dyDescent="0.25">
      <c r="M55" t="s">
        <v>33</v>
      </c>
      <c r="N55">
        <v>21632</v>
      </c>
    </row>
    <row r="56" spans="12:14" x14ac:dyDescent="0.25">
      <c r="M56" t="s">
        <v>34</v>
      </c>
      <c r="N56">
        <v>21632</v>
      </c>
    </row>
    <row r="57" spans="12:14" x14ac:dyDescent="0.25">
      <c r="M57" t="s">
        <v>35</v>
      </c>
      <c r="N57">
        <v>21792</v>
      </c>
    </row>
    <row r="58" spans="12:14" x14ac:dyDescent="0.25">
      <c r="M58" t="s">
        <v>36</v>
      </c>
      <c r="N58">
        <v>21792</v>
      </c>
    </row>
    <row r="59" spans="12:14" x14ac:dyDescent="0.25">
      <c r="M59" t="s">
        <v>37</v>
      </c>
      <c r="N59">
        <v>23472</v>
      </c>
    </row>
    <row r="60" spans="12:14" x14ac:dyDescent="0.25">
      <c r="M60" t="s">
        <v>38</v>
      </c>
      <c r="N60">
        <v>23472</v>
      </c>
    </row>
    <row r="61" spans="12:14" x14ac:dyDescent="0.25">
      <c r="M61" t="s">
        <v>39</v>
      </c>
      <c r="N61">
        <v>23902</v>
      </c>
    </row>
    <row r="62" spans="12:14" x14ac:dyDescent="0.25">
      <c r="M62" t="s">
        <v>40</v>
      </c>
      <c r="N62">
        <v>23902</v>
      </c>
    </row>
    <row r="63" spans="12:14" x14ac:dyDescent="0.25">
      <c r="M63" t="s">
        <v>41</v>
      </c>
      <c r="N63">
        <v>23532</v>
      </c>
    </row>
    <row r="64" spans="12:14" x14ac:dyDescent="0.25">
      <c r="M64" t="s">
        <v>42</v>
      </c>
      <c r="N64">
        <v>24332</v>
      </c>
    </row>
    <row r="65" spans="12:14" x14ac:dyDescent="0.25">
      <c r="M65" t="s">
        <v>43</v>
      </c>
      <c r="N65">
        <v>24424</v>
      </c>
    </row>
    <row r="66" spans="12:14" x14ac:dyDescent="0.25">
      <c r="L66" t="s">
        <v>500</v>
      </c>
      <c r="M66" t="s">
        <v>28</v>
      </c>
      <c r="N66">
        <v>25274</v>
      </c>
    </row>
    <row r="67" spans="12:14" x14ac:dyDescent="0.25">
      <c r="M67" t="s">
        <v>29</v>
      </c>
      <c r="N67">
        <v>25274</v>
      </c>
    </row>
    <row r="68" spans="12:14" x14ac:dyDescent="0.25">
      <c r="M68" t="s">
        <v>30</v>
      </c>
      <c r="N68">
        <v>25000</v>
      </c>
    </row>
    <row r="69" spans="12:14" x14ac:dyDescent="0.25">
      <c r="M69" t="s">
        <v>31</v>
      </c>
      <c r="N69">
        <v>25410</v>
      </c>
    </row>
    <row r="70" spans="12:14" x14ac:dyDescent="0.25">
      <c r="M70" t="s">
        <v>32</v>
      </c>
      <c r="N70">
        <v>26500</v>
      </c>
    </row>
    <row r="71" spans="12:14" x14ac:dyDescent="0.25">
      <c r="M71" t="s">
        <v>33</v>
      </c>
      <c r="N71">
        <v>29244</v>
      </c>
    </row>
    <row r="72" spans="12:14" x14ac:dyDescent="0.25">
      <c r="M72" t="s">
        <v>34</v>
      </c>
      <c r="N72">
        <v>29284</v>
      </c>
    </row>
    <row r="73" spans="12:14" x14ac:dyDescent="0.25">
      <c r="M73" t="s">
        <v>35</v>
      </c>
      <c r="N73">
        <v>29344</v>
      </c>
    </row>
    <row r="74" spans="12:14" x14ac:dyDescent="0.25">
      <c r="M74" t="s">
        <v>36</v>
      </c>
      <c r="N74">
        <v>29384</v>
      </c>
    </row>
    <row r="75" spans="12:14" x14ac:dyDescent="0.25">
      <c r="M75" t="s">
        <v>37</v>
      </c>
      <c r="N75">
        <v>32154</v>
      </c>
    </row>
    <row r="76" spans="12:14" x14ac:dyDescent="0.25">
      <c r="M76" t="s">
        <v>38</v>
      </c>
      <c r="N76">
        <v>31604</v>
      </c>
    </row>
    <row r="77" spans="12:14" x14ac:dyDescent="0.25">
      <c r="M77" t="s">
        <v>39</v>
      </c>
      <c r="N77">
        <v>31884</v>
      </c>
    </row>
    <row r="78" spans="12:14" x14ac:dyDescent="0.25">
      <c r="M78" t="s">
        <v>40</v>
      </c>
      <c r="N78">
        <v>31884</v>
      </c>
    </row>
    <row r="79" spans="12:14" x14ac:dyDescent="0.25">
      <c r="M79" t="s">
        <v>41</v>
      </c>
      <c r="N79">
        <v>31884</v>
      </c>
    </row>
    <row r="80" spans="12:14" x14ac:dyDescent="0.25">
      <c r="M80" t="s">
        <v>42</v>
      </c>
      <c r="N80">
        <v>32864</v>
      </c>
    </row>
    <row r="81" spans="12:14" x14ac:dyDescent="0.25">
      <c r="M81" t="s">
        <v>43</v>
      </c>
      <c r="N81">
        <v>33280</v>
      </c>
    </row>
    <row r="82" spans="12:14" x14ac:dyDescent="0.25">
      <c r="L82" t="s">
        <v>585</v>
      </c>
      <c r="M82" t="s">
        <v>28</v>
      </c>
      <c r="N82">
        <v>33360</v>
      </c>
    </row>
    <row r="83" spans="12:14" x14ac:dyDescent="0.25">
      <c r="M83" t="s">
        <v>29</v>
      </c>
      <c r="N83">
        <v>33360</v>
      </c>
    </row>
    <row r="84" spans="12:14" x14ac:dyDescent="0.25">
      <c r="M84" t="s">
        <v>30</v>
      </c>
      <c r="N84">
        <v>33360</v>
      </c>
    </row>
    <row r="85" spans="12:14" x14ac:dyDescent="0.25">
      <c r="M85" t="s">
        <v>31</v>
      </c>
      <c r="N85">
        <v>33360</v>
      </c>
    </row>
    <row r="86" spans="12:14" x14ac:dyDescent="0.25">
      <c r="M86" t="s">
        <v>32</v>
      </c>
      <c r="N86">
        <v>33360</v>
      </c>
    </row>
    <row r="87" spans="12:14" x14ac:dyDescent="0.25">
      <c r="M87" t="s">
        <v>33</v>
      </c>
      <c r="N87">
        <v>36240</v>
      </c>
    </row>
    <row r="88" spans="12:14" x14ac:dyDescent="0.25">
      <c r="M88" t="s">
        <v>34</v>
      </c>
      <c r="N88">
        <v>36240</v>
      </c>
    </row>
    <row r="89" spans="12:14" x14ac:dyDescent="0.25">
      <c r="M89" t="s">
        <v>35</v>
      </c>
      <c r="N89">
        <v>36630</v>
      </c>
    </row>
    <row r="90" spans="12:14" x14ac:dyDescent="0.25">
      <c r="M90" t="s">
        <v>36</v>
      </c>
      <c r="N90">
        <v>36260</v>
      </c>
    </row>
    <row r="91" spans="12:14" x14ac:dyDescent="0.25">
      <c r="M91" t="s">
        <v>37</v>
      </c>
      <c r="N91">
        <v>39740</v>
      </c>
    </row>
    <row r="92" spans="12:14" x14ac:dyDescent="0.25">
      <c r="M92" t="s">
        <v>38</v>
      </c>
      <c r="N92">
        <v>41218</v>
      </c>
    </row>
    <row r="93" spans="12:14" x14ac:dyDescent="0.25">
      <c r="M93" t="s">
        <v>39</v>
      </c>
      <c r="N93">
        <v>41560</v>
      </c>
    </row>
    <row r="94" spans="12:14" x14ac:dyDescent="0.25">
      <c r="M94" t="s">
        <v>40</v>
      </c>
      <c r="N94">
        <v>41560</v>
      </c>
    </row>
    <row r="95" spans="12:14" x14ac:dyDescent="0.25">
      <c r="M95" t="s">
        <v>41</v>
      </c>
      <c r="N95">
        <v>41560</v>
      </c>
    </row>
    <row r="96" spans="12:14" x14ac:dyDescent="0.25">
      <c r="M96" t="s">
        <v>42</v>
      </c>
      <c r="N96">
        <v>43120</v>
      </c>
    </row>
    <row r="97" spans="12:14" x14ac:dyDescent="0.25">
      <c r="M97" t="s">
        <v>43</v>
      </c>
      <c r="N97">
        <v>43220</v>
      </c>
    </row>
    <row r="98" spans="12:14" x14ac:dyDescent="0.25">
      <c r="L98" t="s">
        <v>586</v>
      </c>
      <c r="M98" t="s">
        <v>28</v>
      </c>
      <c r="N98">
        <v>43680</v>
      </c>
    </row>
    <row r="99" spans="12:14" x14ac:dyDescent="0.25">
      <c r="M99" t="s">
        <v>29</v>
      </c>
      <c r="N99">
        <v>43680</v>
      </c>
    </row>
    <row r="100" spans="12:14" x14ac:dyDescent="0.25">
      <c r="M100" t="s">
        <v>30</v>
      </c>
      <c r="N100">
        <v>43680</v>
      </c>
    </row>
    <row r="101" spans="12:14" x14ac:dyDescent="0.25">
      <c r="M101" t="s">
        <v>31</v>
      </c>
      <c r="N101">
        <v>45900</v>
      </c>
    </row>
    <row r="102" spans="12:14" x14ac:dyDescent="0.25">
      <c r="M102" t="s">
        <v>32</v>
      </c>
      <c r="N102">
        <v>48240</v>
      </c>
    </row>
    <row r="103" spans="12:14" x14ac:dyDescent="0.25">
      <c r="M103" t="s">
        <v>33</v>
      </c>
      <c r="N103">
        <v>49440</v>
      </c>
    </row>
    <row r="104" spans="12:14" x14ac:dyDescent="0.25">
      <c r="M104" t="s">
        <v>34</v>
      </c>
      <c r="N104">
        <v>49440</v>
      </c>
    </row>
    <row r="105" spans="12:14" x14ac:dyDescent="0.25">
      <c r="M105" t="s">
        <v>35</v>
      </c>
      <c r="N105">
        <v>49520</v>
      </c>
    </row>
    <row r="106" spans="12:14" x14ac:dyDescent="0.25">
      <c r="M106" t="s">
        <v>36</v>
      </c>
      <c r="N106">
        <v>49560</v>
      </c>
    </row>
    <row r="107" spans="12:14" x14ac:dyDescent="0.25">
      <c r="M107" t="s">
        <v>37</v>
      </c>
      <c r="N107">
        <v>56970</v>
      </c>
    </row>
    <row r="108" spans="12:14" x14ac:dyDescent="0.25">
      <c r="M108" t="s">
        <v>38</v>
      </c>
      <c r="N108">
        <v>56990</v>
      </c>
    </row>
    <row r="109" spans="12:14" x14ac:dyDescent="0.25">
      <c r="M109" t="s">
        <v>39</v>
      </c>
      <c r="N109">
        <v>59950</v>
      </c>
    </row>
    <row r="110" spans="12:14" x14ac:dyDescent="0.25">
      <c r="M110" t="s">
        <v>40</v>
      </c>
      <c r="N110">
        <v>59950</v>
      </c>
    </row>
    <row r="111" spans="12:14" x14ac:dyDescent="0.25">
      <c r="M111" t="s">
        <v>41</v>
      </c>
      <c r="N111">
        <v>60010</v>
      </c>
    </row>
    <row r="112" spans="12:14" x14ac:dyDescent="0.25">
      <c r="M112" t="s">
        <v>42</v>
      </c>
      <c r="N112">
        <v>61160</v>
      </c>
    </row>
    <row r="113" spans="12:14" x14ac:dyDescent="0.25">
      <c r="M113" t="s">
        <v>43</v>
      </c>
      <c r="N113">
        <v>61360</v>
      </c>
    </row>
    <row r="114" spans="12:14" x14ac:dyDescent="0.25">
      <c r="L114" t="s">
        <v>629</v>
      </c>
      <c r="M114" t="s">
        <v>28</v>
      </c>
      <c r="N114">
        <v>62080</v>
      </c>
    </row>
    <row r="115" spans="12:14" x14ac:dyDescent="0.25">
      <c r="M115" t="s">
        <v>29</v>
      </c>
      <c r="N115">
        <v>62610</v>
      </c>
    </row>
    <row r="116" spans="12:14" x14ac:dyDescent="0.25">
      <c r="M116" t="s">
        <v>30</v>
      </c>
      <c r="N116">
        <v>62180</v>
      </c>
    </row>
    <row r="117" spans="12:14" x14ac:dyDescent="0.25">
      <c r="M117" t="s">
        <v>31</v>
      </c>
      <c r="N117">
        <v>64420</v>
      </c>
    </row>
    <row r="118" spans="12:14" x14ac:dyDescent="0.25">
      <c r="M118" t="s">
        <v>32</v>
      </c>
      <c r="N118">
        <v>65270</v>
      </c>
    </row>
    <row r="119" spans="12:14" x14ac:dyDescent="0.25">
      <c r="M119" t="s">
        <v>33</v>
      </c>
      <c r="N119">
        <v>65470</v>
      </c>
    </row>
    <row r="120" spans="12:14" x14ac:dyDescent="0.25">
      <c r="M120" t="s">
        <v>34</v>
      </c>
      <c r="N120">
        <v>65670</v>
      </c>
    </row>
    <row r="121" spans="12:14" x14ac:dyDescent="0.25">
      <c r="M121" t="s">
        <v>35</v>
      </c>
      <c r="N121">
        <v>66550</v>
      </c>
    </row>
    <row r="122" spans="12:14" x14ac:dyDescent="0.25">
      <c r="M122" t="s">
        <v>36</v>
      </c>
      <c r="N122">
        <v>66550</v>
      </c>
    </row>
    <row r="123" spans="12:14" x14ac:dyDescent="0.25">
      <c r="M123" t="s">
        <v>37</v>
      </c>
      <c r="N123">
        <v>68690</v>
      </c>
    </row>
    <row r="124" spans="12:14" x14ac:dyDescent="0.25">
      <c r="M124" t="s">
        <v>38</v>
      </c>
      <c r="N124">
        <v>68710</v>
      </c>
    </row>
    <row r="125" spans="12:14" x14ac:dyDescent="0.25">
      <c r="M125" t="s">
        <v>39</v>
      </c>
      <c r="N125">
        <v>69590</v>
      </c>
    </row>
    <row r="126" spans="12:14" x14ac:dyDescent="0.25">
      <c r="M126" t="s">
        <v>40</v>
      </c>
      <c r="N126">
        <v>69590</v>
      </c>
    </row>
    <row r="127" spans="12:14" x14ac:dyDescent="0.25">
      <c r="M127" t="s">
        <v>41</v>
      </c>
      <c r="N127">
        <v>69710</v>
      </c>
    </row>
    <row r="128" spans="12:14" x14ac:dyDescent="0.25">
      <c r="M128" t="s">
        <v>42</v>
      </c>
      <c r="N128">
        <v>71090</v>
      </c>
    </row>
    <row r="129" spans="12:14" x14ac:dyDescent="0.25">
      <c r="M129" t="s">
        <v>43</v>
      </c>
      <c r="N129">
        <v>71850</v>
      </c>
    </row>
    <row r="130" spans="12:14" x14ac:dyDescent="0.25">
      <c r="L130" t="s">
        <v>709</v>
      </c>
      <c r="M130" t="s">
        <v>28</v>
      </c>
      <c r="N130">
        <v>72610</v>
      </c>
    </row>
    <row r="131" spans="12:14" x14ac:dyDescent="0.25">
      <c r="M131" t="s">
        <v>29</v>
      </c>
      <c r="N131">
        <v>72310</v>
      </c>
    </row>
    <row r="132" spans="12:14" x14ac:dyDescent="0.25">
      <c r="M132" t="s">
        <v>30</v>
      </c>
      <c r="N132">
        <v>72310</v>
      </c>
    </row>
    <row r="133" spans="12:14" x14ac:dyDescent="0.25">
      <c r="M133" t="s">
        <v>31</v>
      </c>
      <c r="N133">
        <v>73770</v>
      </c>
    </row>
    <row r="134" spans="12:14" x14ac:dyDescent="0.25">
      <c r="M134" t="s">
        <v>32</v>
      </c>
      <c r="N134">
        <v>76580</v>
      </c>
    </row>
    <row r="135" spans="12:14" x14ac:dyDescent="0.25">
      <c r="M135" t="s">
        <v>33</v>
      </c>
      <c r="N135">
        <v>77130</v>
      </c>
    </row>
    <row r="136" spans="12:14" x14ac:dyDescent="0.25">
      <c r="M136" t="s">
        <v>34</v>
      </c>
      <c r="N136">
        <v>77130</v>
      </c>
    </row>
    <row r="137" spans="12:14" x14ac:dyDescent="0.25">
      <c r="M137" t="s">
        <v>35</v>
      </c>
      <c r="N137">
        <v>77250</v>
      </c>
    </row>
    <row r="138" spans="12:14" x14ac:dyDescent="0.25">
      <c r="M138" t="s">
        <v>36</v>
      </c>
      <c r="N138">
        <v>81147</v>
      </c>
    </row>
    <row r="139" spans="12:14" x14ac:dyDescent="0.25">
      <c r="M139" t="s">
        <v>37</v>
      </c>
      <c r="N139">
        <v>82690</v>
      </c>
    </row>
    <row r="140" spans="12:14" x14ac:dyDescent="0.25">
      <c r="M140" t="s">
        <v>38</v>
      </c>
      <c r="N140">
        <v>82690</v>
      </c>
    </row>
    <row r="141" spans="12:14" x14ac:dyDescent="0.25">
      <c r="M141" t="s">
        <v>39</v>
      </c>
      <c r="N141">
        <v>83870</v>
      </c>
    </row>
    <row r="142" spans="12:14" x14ac:dyDescent="0.25">
      <c r="M142" t="s">
        <v>40</v>
      </c>
      <c r="N142">
        <v>83870</v>
      </c>
    </row>
    <row r="143" spans="12:14" x14ac:dyDescent="0.25">
      <c r="M143" t="s">
        <v>41</v>
      </c>
      <c r="N143">
        <v>83870</v>
      </c>
    </row>
    <row r="144" spans="12:14" x14ac:dyDescent="0.25">
      <c r="M144" t="s">
        <v>42</v>
      </c>
      <c r="N144">
        <v>83870</v>
      </c>
    </row>
    <row r="145" spans="12:14" x14ac:dyDescent="0.25">
      <c r="M145" t="s">
        <v>43</v>
      </c>
      <c r="N145">
        <v>85220</v>
      </c>
    </row>
    <row r="146" spans="12:14" x14ac:dyDescent="0.25">
      <c r="L146" t="s">
        <v>785</v>
      </c>
      <c r="M146" t="s">
        <v>28</v>
      </c>
      <c r="N146">
        <v>86000</v>
      </c>
    </row>
    <row r="147" spans="12:14" x14ac:dyDescent="0.25">
      <c r="M147" t="s">
        <v>29</v>
      </c>
      <c r="N147">
        <v>86000</v>
      </c>
    </row>
    <row r="148" spans="12:14" x14ac:dyDescent="0.25">
      <c r="M148" t="s">
        <v>30</v>
      </c>
      <c r="N148">
        <v>86000</v>
      </c>
    </row>
    <row r="149" spans="12:14" x14ac:dyDescent="0.25">
      <c r="M149" t="s">
        <v>31</v>
      </c>
      <c r="N149">
        <v>87740</v>
      </c>
    </row>
    <row r="150" spans="12:14" x14ac:dyDescent="0.25">
      <c r="M150" t="s">
        <v>32</v>
      </c>
      <c r="N150">
        <v>89070</v>
      </c>
    </row>
    <row r="151" spans="12:14" x14ac:dyDescent="0.25">
      <c r="M151" t="s">
        <v>33</v>
      </c>
      <c r="N151">
        <v>89680</v>
      </c>
    </row>
    <row r="152" spans="12:14" x14ac:dyDescent="0.25">
      <c r="M152" t="s">
        <v>34</v>
      </c>
      <c r="N152">
        <v>90190</v>
      </c>
    </row>
    <row r="153" spans="12:14" x14ac:dyDescent="0.25">
      <c r="M153" t="s">
        <v>35</v>
      </c>
      <c r="N153">
        <v>90780</v>
      </c>
    </row>
    <row r="154" spans="12:14" x14ac:dyDescent="0.25">
      <c r="M154" t="s">
        <v>36</v>
      </c>
      <c r="N154">
        <v>143816</v>
      </c>
    </row>
    <row r="155" spans="12:14" x14ac:dyDescent="0.25">
      <c r="M155" t="s">
        <v>37</v>
      </c>
      <c r="N155">
        <v>147606</v>
      </c>
    </row>
    <row r="156" spans="12:14" x14ac:dyDescent="0.25">
      <c r="M156" t="s">
        <v>38</v>
      </c>
      <c r="N156">
        <v>147606</v>
      </c>
    </row>
    <row r="157" spans="12:14" x14ac:dyDescent="0.25">
      <c r="M157" t="s">
        <v>39</v>
      </c>
      <c r="N157">
        <v>147886</v>
      </c>
    </row>
    <row r="158" spans="12:14" x14ac:dyDescent="0.25">
      <c r="M158" t="s">
        <v>40</v>
      </c>
      <c r="N158">
        <v>147886</v>
      </c>
    </row>
    <row r="159" spans="12:14" x14ac:dyDescent="0.25">
      <c r="M159" t="s">
        <v>41</v>
      </c>
      <c r="N159">
        <v>148566</v>
      </c>
    </row>
    <row r="160" spans="12:14" x14ac:dyDescent="0.25">
      <c r="M160" t="s">
        <v>42</v>
      </c>
      <c r="N160">
        <v>150696</v>
      </c>
    </row>
    <row r="161" spans="12:14" x14ac:dyDescent="0.25">
      <c r="M161" t="s">
        <v>43</v>
      </c>
      <c r="N161">
        <v>153622</v>
      </c>
    </row>
    <row r="162" spans="12:14" x14ac:dyDescent="0.25">
      <c r="L162" t="s">
        <v>825</v>
      </c>
      <c r="M162" t="s">
        <v>28</v>
      </c>
      <c r="N162">
        <v>155382</v>
      </c>
    </row>
    <row r="163" spans="12:14" x14ac:dyDescent="0.25">
      <c r="M163" t="s">
        <v>29</v>
      </c>
      <c r="N163">
        <v>155382</v>
      </c>
    </row>
    <row r="164" spans="12:14" x14ac:dyDescent="0.25">
      <c r="M164" t="s">
        <v>30</v>
      </c>
      <c r="N164">
        <v>155382</v>
      </c>
    </row>
    <row r="165" spans="12:14" x14ac:dyDescent="0.25">
      <c r="M165" t="s">
        <v>31</v>
      </c>
      <c r="N165">
        <v>158242</v>
      </c>
    </row>
    <row r="166" spans="12:14" x14ac:dyDescent="0.25">
      <c r="M166" t="s">
        <v>32</v>
      </c>
      <c r="N166">
        <v>161502</v>
      </c>
    </row>
    <row r="167" spans="12:14" x14ac:dyDescent="0.25">
      <c r="M167" t="s">
        <v>33</v>
      </c>
      <c r="N167">
        <v>163572</v>
      </c>
    </row>
    <row r="168" spans="12:14" x14ac:dyDescent="0.25">
      <c r="M168" t="s">
        <v>34</v>
      </c>
    </row>
    <row r="169" spans="12:14" x14ac:dyDescent="0.25">
      <c r="M169" t="s">
        <v>35</v>
      </c>
    </row>
    <row r="170" spans="12:14" x14ac:dyDescent="0.25">
      <c r="M170" t="s">
        <v>36</v>
      </c>
    </row>
    <row r="171" spans="12:14" x14ac:dyDescent="0.25">
      <c r="M171" t="s">
        <v>37</v>
      </c>
    </row>
    <row r="172" spans="12:14" x14ac:dyDescent="0.25">
      <c r="M172" t="s">
        <v>38</v>
      </c>
    </row>
    <row r="173" spans="12:14" x14ac:dyDescent="0.25">
      <c r="M173" t="s">
        <v>39</v>
      </c>
    </row>
    <row r="174" spans="12:14" x14ac:dyDescent="0.25">
      <c r="M174" t="s">
        <v>40</v>
      </c>
    </row>
    <row r="175" spans="12:14" x14ac:dyDescent="0.25">
      <c r="M175" t="s">
        <v>41</v>
      </c>
    </row>
    <row r="176" spans="12:14" x14ac:dyDescent="0.25">
      <c r="M176" t="s">
        <v>42</v>
      </c>
    </row>
    <row r="177" spans="13:13" x14ac:dyDescent="0.25">
      <c r="M177" t="s">
        <v>43</v>
      </c>
    </row>
  </sheetData>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I22"/>
  <sheetViews>
    <sheetView workbookViewId="0">
      <selection activeCell="H4" sqref="H4"/>
    </sheetView>
  </sheetViews>
  <sheetFormatPr defaultColWidth="11.42578125" defaultRowHeight="15" x14ac:dyDescent="0.25"/>
  <cols>
    <col min="1" max="1" width="22" bestFit="1" customWidth="1"/>
    <col min="2" max="2" width="15" bestFit="1" customWidth="1"/>
    <col min="3" max="3" width="30.5703125" customWidth="1"/>
    <col min="4" max="5" width="10.140625" style="1" bestFit="1" customWidth="1"/>
    <col min="6" max="6" width="9" style="1" bestFit="1" customWidth="1"/>
    <col min="7" max="7" width="8.85546875" style="1" bestFit="1" customWidth="1"/>
    <col min="8" max="8" width="7.7109375" style="1" customWidth="1"/>
    <col min="9" max="9" width="9" style="1" bestFit="1" customWidth="1"/>
  </cols>
  <sheetData>
    <row r="1" spans="1:9" ht="21" x14ac:dyDescent="0.25">
      <c r="A1" s="148" t="s">
        <v>136</v>
      </c>
      <c r="B1" s="148" t="s">
        <v>137</v>
      </c>
      <c r="C1" s="148" t="s">
        <v>138</v>
      </c>
      <c r="D1" s="153" t="s">
        <v>164</v>
      </c>
      <c r="E1" s="153" t="s">
        <v>165</v>
      </c>
      <c r="F1" s="153" t="s">
        <v>167</v>
      </c>
      <c r="G1" s="153" t="s">
        <v>166</v>
      </c>
      <c r="H1" s="153" t="s">
        <v>168</v>
      </c>
      <c r="I1" s="153" t="s">
        <v>170</v>
      </c>
    </row>
    <row r="2" spans="1:9" ht="42" x14ac:dyDescent="0.25">
      <c r="A2" s="151" t="s">
        <v>139</v>
      </c>
      <c r="B2" s="152" t="s">
        <v>139</v>
      </c>
      <c r="C2" s="152" t="s">
        <v>140</v>
      </c>
      <c r="D2" s="2">
        <v>4</v>
      </c>
      <c r="E2" s="2">
        <v>18</v>
      </c>
      <c r="F2" s="2">
        <v>0</v>
      </c>
      <c r="G2" s="2">
        <v>0</v>
      </c>
      <c r="H2" s="154">
        <v>1</v>
      </c>
      <c r="I2" s="2">
        <f>H2*4</f>
        <v>4</v>
      </c>
    </row>
    <row r="3" spans="1:9" ht="21" x14ac:dyDescent="0.25">
      <c r="A3" s="149" t="s">
        <v>135</v>
      </c>
      <c r="B3" s="150" t="s">
        <v>135</v>
      </c>
      <c r="C3" s="150" t="s">
        <v>141</v>
      </c>
      <c r="D3" s="2">
        <v>0</v>
      </c>
      <c r="E3" s="2">
        <v>10</v>
      </c>
      <c r="F3" s="2">
        <v>0</v>
      </c>
      <c r="G3" s="2">
        <v>12</v>
      </c>
      <c r="H3" s="155">
        <v>5</v>
      </c>
      <c r="I3" s="2">
        <f t="shared" ref="I3:I13" si="0">H3*4</f>
        <v>20</v>
      </c>
    </row>
    <row r="4" spans="1:9" ht="21" x14ac:dyDescent="0.25">
      <c r="A4" s="149" t="s">
        <v>142</v>
      </c>
      <c r="B4" s="150" t="s">
        <v>142</v>
      </c>
      <c r="C4" s="150" t="s">
        <v>143</v>
      </c>
      <c r="D4" s="2">
        <v>0</v>
      </c>
      <c r="E4" s="2">
        <v>6</v>
      </c>
      <c r="F4" s="2">
        <v>0</v>
      </c>
      <c r="G4" s="2">
        <v>16</v>
      </c>
      <c r="H4" s="155">
        <v>4.4000000000000004</v>
      </c>
      <c r="I4" s="2">
        <f t="shared" si="0"/>
        <v>17.600000000000001</v>
      </c>
    </row>
    <row r="5" spans="1:9" ht="21" x14ac:dyDescent="0.25">
      <c r="A5" s="149" t="s">
        <v>144</v>
      </c>
      <c r="B5" s="150" t="s">
        <v>145</v>
      </c>
      <c r="C5" s="150" t="s">
        <v>146</v>
      </c>
      <c r="D5" s="2">
        <v>0</v>
      </c>
      <c r="E5" s="2">
        <v>4</v>
      </c>
      <c r="F5" s="2">
        <v>4</v>
      </c>
      <c r="G5" s="2">
        <v>14</v>
      </c>
      <c r="H5" s="155">
        <v>3</v>
      </c>
      <c r="I5" s="2">
        <f t="shared" si="0"/>
        <v>12</v>
      </c>
    </row>
    <row r="6" spans="1:9" x14ac:dyDescent="0.25">
      <c r="A6" s="739" t="s">
        <v>147</v>
      </c>
      <c r="B6" s="150" t="s">
        <v>148</v>
      </c>
      <c r="C6" s="150" t="s">
        <v>149</v>
      </c>
      <c r="D6" s="2">
        <v>0</v>
      </c>
      <c r="E6" s="2">
        <v>22</v>
      </c>
      <c r="F6" s="2">
        <v>0</v>
      </c>
      <c r="G6" s="2">
        <v>0</v>
      </c>
      <c r="H6" s="155">
        <f>H4*2</f>
        <v>8.8000000000000007</v>
      </c>
      <c r="I6" s="2">
        <f t="shared" si="0"/>
        <v>35.200000000000003</v>
      </c>
    </row>
    <row r="7" spans="1:9" ht="21" x14ac:dyDescent="0.25">
      <c r="A7" s="739"/>
      <c r="B7" s="150" t="s">
        <v>150</v>
      </c>
      <c r="C7" s="150" t="s">
        <v>151</v>
      </c>
      <c r="D7" s="2">
        <v>0</v>
      </c>
      <c r="E7" s="2">
        <v>0</v>
      </c>
      <c r="F7" s="2">
        <v>0</v>
      </c>
      <c r="G7" s="2">
        <v>22</v>
      </c>
      <c r="H7" s="155">
        <f>H2/0.2</f>
        <v>5</v>
      </c>
      <c r="I7" s="2">
        <f t="shared" si="0"/>
        <v>20</v>
      </c>
    </row>
    <row r="8" spans="1:9" ht="31.5" x14ac:dyDescent="0.25">
      <c r="A8" s="149" t="s">
        <v>152</v>
      </c>
      <c r="B8" s="150" t="s">
        <v>153</v>
      </c>
      <c r="C8" s="150" t="s">
        <v>154</v>
      </c>
      <c r="D8" s="2">
        <v>0</v>
      </c>
      <c r="E8" s="2">
        <v>16</v>
      </c>
      <c r="F8" s="2">
        <v>0</v>
      </c>
      <c r="G8" s="2">
        <v>6</v>
      </c>
      <c r="H8" s="155">
        <v>3.9</v>
      </c>
      <c r="I8" s="2">
        <f t="shared" si="0"/>
        <v>15.6</v>
      </c>
    </row>
    <row r="9" spans="1:9" ht="21" x14ac:dyDescent="0.25">
      <c r="A9" s="149" t="s">
        <v>155</v>
      </c>
      <c r="B9" s="150" t="s">
        <v>155</v>
      </c>
      <c r="C9" s="150" t="s">
        <v>156</v>
      </c>
      <c r="D9" s="2">
        <v>0</v>
      </c>
      <c r="E9" s="2">
        <v>6</v>
      </c>
      <c r="F9" s="2">
        <v>4</v>
      </c>
      <c r="G9" s="2">
        <v>12</v>
      </c>
      <c r="H9" s="155">
        <v>4.0999999999999996</v>
      </c>
      <c r="I9" s="2">
        <f t="shared" si="0"/>
        <v>16.399999999999999</v>
      </c>
    </row>
    <row r="10" spans="1:9" x14ac:dyDescent="0.25">
      <c r="A10" s="149" t="s">
        <v>134</v>
      </c>
      <c r="B10" s="150" t="s">
        <v>134</v>
      </c>
      <c r="C10" s="150" t="s">
        <v>157</v>
      </c>
      <c r="D10" s="2">
        <v>0</v>
      </c>
      <c r="E10" s="2">
        <v>2</v>
      </c>
      <c r="F10" s="2">
        <v>0</v>
      </c>
      <c r="G10" s="2">
        <v>0</v>
      </c>
      <c r="H10" s="155">
        <v>2.7</v>
      </c>
      <c r="I10" s="2">
        <f t="shared" si="0"/>
        <v>10.8</v>
      </c>
    </row>
    <row r="11" spans="1:9" ht="31.5" x14ac:dyDescent="0.25">
      <c r="A11" s="149" t="s">
        <v>158</v>
      </c>
      <c r="B11" s="150" t="s">
        <v>153</v>
      </c>
      <c r="C11" s="150" t="s">
        <v>159</v>
      </c>
      <c r="D11" s="2">
        <v>0</v>
      </c>
      <c r="E11" s="2">
        <v>20</v>
      </c>
      <c r="F11" s="2">
        <v>0</v>
      </c>
      <c r="G11" s="2">
        <v>2</v>
      </c>
      <c r="H11" s="155">
        <v>4.5999999999999996</v>
      </c>
      <c r="I11" s="2">
        <f t="shared" si="0"/>
        <v>18.399999999999999</v>
      </c>
    </row>
    <row r="12" spans="1:9" ht="31.5" x14ac:dyDescent="0.25">
      <c r="A12" s="149" t="s">
        <v>160</v>
      </c>
      <c r="B12" s="150" t="s">
        <v>135</v>
      </c>
      <c r="C12" s="150" t="s">
        <v>161</v>
      </c>
      <c r="D12" s="2">
        <v>0</v>
      </c>
      <c r="E12" s="2">
        <v>20</v>
      </c>
      <c r="F12" s="2">
        <v>0</v>
      </c>
      <c r="G12" s="2">
        <v>2</v>
      </c>
      <c r="H12" s="155">
        <v>9.9</v>
      </c>
      <c r="I12" s="2">
        <f t="shared" si="0"/>
        <v>39.6</v>
      </c>
    </row>
    <row r="13" spans="1:9" ht="21" x14ac:dyDescent="0.25">
      <c r="A13" s="149" t="s">
        <v>162</v>
      </c>
      <c r="B13" s="150" t="s">
        <v>145</v>
      </c>
      <c r="C13" s="150" t="s">
        <v>163</v>
      </c>
      <c r="D13" s="2">
        <v>0</v>
      </c>
      <c r="E13" s="2">
        <v>10</v>
      </c>
      <c r="F13" s="2">
        <v>0</v>
      </c>
      <c r="G13" s="2">
        <v>6</v>
      </c>
      <c r="H13" s="155">
        <v>4.9000000000000004</v>
      </c>
      <c r="I13" s="2">
        <f t="shared" si="0"/>
        <v>19.600000000000001</v>
      </c>
    </row>
    <row r="14" spans="1:9" x14ac:dyDescent="0.25">
      <c r="A14" s="1"/>
      <c r="D14" s="1" t="s">
        <v>169</v>
      </c>
    </row>
    <row r="17" spans="1:2" x14ac:dyDescent="0.25">
      <c r="A17" t="s">
        <v>171</v>
      </c>
      <c r="B17" t="s">
        <v>67</v>
      </c>
    </row>
    <row r="18" spans="1:2" x14ac:dyDescent="0.25">
      <c r="A18" t="s">
        <v>134</v>
      </c>
    </row>
    <row r="19" spans="1:2" x14ac:dyDescent="0.25">
      <c r="A19" t="s">
        <v>135</v>
      </c>
    </row>
    <row r="20" spans="1:2" x14ac:dyDescent="0.25">
      <c r="A20" t="s">
        <v>172</v>
      </c>
    </row>
    <row r="21" spans="1:2" x14ac:dyDescent="0.25">
      <c r="A21" t="s">
        <v>63</v>
      </c>
    </row>
    <row r="22" spans="1:2" x14ac:dyDescent="0.25">
      <c r="A22" t="s">
        <v>0</v>
      </c>
    </row>
  </sheetData>
  <mergeCells count="1">
    <mergeCell ref="A6:A7"/>
  </mergeCells>
  <pageMargins left="0.7" right="0.7" top="0.75" bottom="0.75" header="0.3" footer="0.3"/>
  <pageSetup paperSize="9" orientation="portrait" verticalDpi="0"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N47"/>
  <sheetViews>
    <sheetView topLeftCell="A15" workbookViewId="0">
      <selection activeCell="F32" sqref="F32"/>
    </sheetView>
  </sheetViews>
  <sheetFormatPr defaultColWidth="11.42578125" defaultRowHeight="15" x14ac:dyDescent="0.25"/>
  <cols>
    <col min="1" max="1" width="20.85546875" customWidth="1"/>
    <col min="2" max="2" width="17.7109375" bestFit="1" customWidth="1"/>
    <col min="3" max="3" width="34.85546875" bestFit="1" customWidth="1"/>
    <col min="4" max="4" width="20.85546875" bestFit="1" customWidth="1"/>
    <col min="5" max="5" width="9.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183" t="s">
        <v>257</v>
      </c>
      <c r="B1" s="225" t="s">
        <v>213</v>
      </c>
      <c r="C1" s="226" t="s">
        <v>299</v>
      </c>
      <c r="D1" s="226" t="s">
        <v>300</v>
      </c>
      <c r="E1" s="226" t="s">
        <v>104</v>
      </c>
      <c r="F1" s="226" t="s">
        <v>301</v>
      </c>
      <c r="G1" s="226" t="s">
        <v>302</v>
      </c>
      <c r="H1" s="227" t="s">
        <v>303</v>
      </c>
      <c r="I1" s="227" t="s">
        <v>304</v>
      </c>
      <c r="J1" s="227" t="s">
        <v>305</v>
      </c>
    </row>
    <row r="2" spans="1:14" x14ac:dyDescent="0.25">
      <c r="A2" t="s">
        <v>320</v>
      </c>
      <c r="B2" s="224" t="s">
        <v>321</v>
      </c>
      <c r="C2" s="228">
        <v>447000</v>
      </c>
      <c r="D2" s="228">
        <v>2800000</v>
      </c>
      <c r="E2" s="228">
        <v>350</v>
      </c>
      <c r="F2" s="224">
        <v>6.5</v>
      </c>
      <c r="G2" s="224">
        <v>11.5</v>
      </c>
      <c r="H2" s="228">
        <f>C2+D2+(E2*1*16*0.6)</f>
        <v>3250360</v>
      </c>
      <c r="I2" s="228">
        <f t="shared" ref="I2:I3" si="0">H2/F2</f>
        <v>500055.38461538462</v>
      </c>
      <c r="J2" s="106">
        <f t="shared" ref="J2:J3" si="1">H2/G2</f>
        <v>282640</v>
      </c>
    </row>
    <row r="3" spans="1:14" x14ac:dyDescent="0.25">
      <c r="A3" t="s">
        <v>320</v>
      </c>
      <c r="B3" s="224" t="s">
        <v>321</v>
      </c>
      <c r="C3" s="228">
        <v>350000</v>
      </c>
      <c r="D3" s="228">
        <v>2800000</v>
      </c>
      <c r="E3" s="228">
        <v>300</v>
      </c>
      <c r="F3" s="224">
        <f>1.5+2.5+2.5</f>
        <v>6.5</v>
      </c>
      <c r="G3" s="224">
        <f>1.5+2.5+2.5+2.5+2.5</f>
        <v>11.5</v>
      </c>
      <c r="H3" s="228">
        <f t="shared" ref="H3" si="2">C3+D3+(E3*1*16*0.6)</f>
        <v>3152880</v>
      </c>
      <c r="I3" s="228">
        <f t="shared" si="0"/>
        <v>485058.46153846156</v>
      </c>
      <c r="J3" s="106">
        <f t="shared" si="1"/>
        <v>274163.47826086957</v>
      </c>
    </row>
    <row r="4" spans="1:14" x14ac:dyDescent="0.25">
      <c r="A4" t="s">
        <v>218</v>
      </c>
      <c r="B4" s="224" t="s">
        <v>321</v>
      </c>
      <c r="C4" s="228">
        <v>400000</v>
      </c>
      <c r="D4" s="228">
        <v>2590000</v>
      </c>
      <c r="E4" s="228">
        <v>400</v>
      </c>
      <c r="F4" s="224">
        <f>1.5+2.5+2.5</f>
        <v>6.5</v>
      </c>
      <c r="G4" s="224">
        <f>1.5+2.5+2.5+2.5+2.5</f>
        <v>11.5</v>
      </c>
      <c r="H4" s="228">
        <f t="shared" ref="H4" si="3">C4+D4+(E4*1*16*0.6)</f>
        <v>2993840</v>
      </c>
      <c r="I4" s="228">
        <f t="shared" ref="I4" si="4">H4/F4</f>
        <v>460590.76923076925</v>
      </c>
      <c r="J4" s="106">
        <f t="shared" ref="J4" si="5">H4/G4</f>
        <v>260333.91304347827</v>
      </c>
    </row>
    <row r="5" spans="1:14" x14ac:dyDescent="0.25">
      <c r="A5" t="s">
        <v>322</v>
      </c>
      <c r="B5" s="224" t="s">
        <v>323</v>
      </c>
      <c r="C5" s="228">
        <v>1100000</v>
      </c>
      <c r="D5" s="228">
        <v>3000000</v>
      </c>
      <c r="E5" s="228">
        <v>400</v>
      </c>
      <c r="F5" s="224">
        <v>9</v>
      </c>
      <c r="G5" s="224">
        <v>14</v>
      </c>
      <c r="H5" s="228">
        <f t="shared" ref="H5:H6" si="6">C5+D5+(E5*1*16*0.6)</f>
        <v>4103840</v>
      </c>
      <c r="I5" s="228">
        <f t="shared" ref="I5:I6" si="7">H5/F5</f>
        <v>455982.22222222225</v>
      </c>
      <c r="J5" s="106">
        <f t="shared" ref="J5:J6" si="8">H5/G5</f>
        <v>293131.42857142858</v>
      </c>
    </row>
    <row r="6" spans="1:14" x14ac:dyDescent="0.25">
      <c r="A6" t="s">
        <v>324</v>
      </c>
      <c r="B6" s="224" t="s">
        <v>321</v>
      </c>
      <c r="C6" s="228">
        <v>500000</v>
      </c>
      <c r="D6" s="228">
        <v>2242000</v>
      </c>
      <c r="E6" s="228">
        <v>400</v>
      </c>
      <c r="F6" s="224">
        <f>1.5+2.5+2.5</f>
        <v>6.5</v>
      </c>
      <c r="G6" s="224">
        <f>1.5+2.5+2.5+2.5+2.5</f>
        <v>11.5</v>
      </c>
      <c r="H6" s="228">
        <f t="shared" si="6"/>
        <v>2745840</v>
      </c>
      <c r="I6" s="228">
        <f t="shared" si="7"/>
        <v>422436.92307692306</v>
      </c>
      <c r="J6" s="106">
        <f t="shared" si="8"/>
        <v>238768.69565217392</v>
      </c>
    </row>
    <row r="7" spans="1:14" x14ac:dyDescent="0.25">
      <c r="A7" t="s">
        <v>212</v>
      </c>
      <c r="B7" s="224" t="s">
        <v>325</v>
      </c>
      <c r="C7" s="228">
        <v>400000</v>
      </c>
      <c r="D7" s="228">
        <v>1650000</v>
      </c>
      <c r="E7" s="228">
        <v>5000</v>
      </c>
      <c r="F7" s="224">
        <v>4</v>
      </c>
      <c r="G7" s="224">
        <v>9</v>
      </c>
      <c r="H7" s="228">
        <f t="shared" ref="H7" si="9">C7+D7+(E7*1*16*0.6)</f>
        <v>2098000</v>
      </c>
      <c r="I7" s="228">
        <f t="shared" ref="I7" si="10">H7/F7</f>
        <v>524500</v>
      </c>
      <c r="J7" s="106">
        <f t="shared" ref="J7" si="11">H7/G7</f>
        <v>233111.11111111112</v>
      </c>
    </row>
    <row r="8" spans="1:14" x14ac:dyDescent="0.25">
      <c r="B8" s="224"/>
      <c r="C8" s="228"/>
      <c r="D8" s="228"/>
      <c r="E8" s="228"/>
      <c r="F8" s="224"/>
      <c r="G8" s="224"/>
      <c r="H8" s="228"/>
      <c r="I8" s="228"/>
      <c r="J8" s="106"/>
    </row>
    <row r="9" spans="1:14" x14ac:dyDescent="0.25">
      <c r="F9" s="224"/>
      <c r="G9" s="228"/>
      <c r="H9" s="228"/>
      <c r="I9" s="228"/>
      <c r="J9" s="224"/>
      <c r="K9" s="224"/>
      <c r="L9" s="228"/>
      <c r="M9" s="228"/>
      <c r="N9" s="106"/>
    </row>
    <row r="10" spans="1:14" x14ac:dyDescent="0.25">
      <c r="A10" s="4" t="s">
        <v>306</v>
      </c>
      <c r="F10" s="224"/>
      <c r="G10" s="228"/>
      <c r="H10" s="228"/>
      <c r="I10" s="228"/>
      <c r="J10" s="224"/>
      <c r="K10" s="224"/>
      <c r="L10" s="228"/>
      <c r="M10" s="228"/>
      <c r="N10" s="106"/>
    </row>
    <row r="11" spans="1:14" x14ac:dyDescent="0.25">
      <c r="A11" s="184" t="s">
        <v>307</v>
      </c>
      <c r="F11" s="224"/>
      <c r="G11" s="228"/>
      <c r="H11" s="228"/>
      <c r="I11" s="228"/>
      <c r="J11" s="224"/>
      <c r="K11" s="224"/>
      <c r="L11" s="228"/>
      <c r="M11" s="228"/>
      <c r="N11" s="106"/>
    </row>
    <row r="12" spans="1:14" x14ac:dyDescent="0.25">
      <c r="A12" s="184" t="s">
        <v>308</v>
      </c>
      <c r="F12" s="224"/>
      <c r="G12" s="228"/>
      <c r="H12" s="228"/>
      <c r="I12" s="228"/>
      <c r="J12" s="224"/>
      <c r="K12" s="224"/>
      <c r="L12" s="228"/>
      <c r="M12" s="228"/>
      <c r="N12" s="106"/>
    </row>
    <row r="13" spans="1:14" x14ac:dyDescent="0.25">
      <c r="A13" s="184" t="s">
        <v>309</v>
      </c>
      <c r="F13" s="224"/>
      <c r="G13" s="228"/>
      <c r="H13" s="228"/>
      <c r="I13" s="228"/>
      <c r="J13" s="224"/>
      <c r="K13" s="224"/>
      <c r="L13" s="228"/>
      <c r="M13" s="228"/>
      <c r="N13" s="106"/>
    </row>
    <row r="14" spans="1:14" x14ac:dyDescent="0.25">
      <c r="A14" s="184" t="s">
        <v>310</v>
      </c>
      <c r="F14" s="224"/>
      <c r="G14" s="228"/>
      <c r="H14" s="228"/>
      <c r="I14" s="228"/>
      <c r="J14" s="224"/>
      <c r="K14" s="224"/>
      <c r="L14" s="228"/>
      <c r="M14" s="228"/>
      <c r="N14" s="106"/>
    </row>
    <row r="15" spans="1:14" x14ac:dyDescent="0.25">
      <c r="F15" s="224"/>
      <c r="G15" s="228"/>
      <c r="H15" s="228"/>
      <c r="I15" s="228"/>
      <c r="J15" s="224"/>
      <c r="K15" s="224"/>
      <c r="L15" s="228"/>
      <c r="M15" s="228"/>
      <c r="N15" s="106"/>
    </row>
    <row r="16" spans="1:14" x14ac:dyDescent="0.25">
      <c r="A16" s="184" t="s">
        <v>311</v>
      </c>
      <c r="F16" s="224"/>
      <c r="G16" s="228"/>
      <c r="H16" s="228"/>
      <c r="I16" s="228"/>
      <c r="J16" s="224"/>
      <c r="K16" s="224"/>
      <c r="L16" s="228"/>
      <c r="M16" s="228"/>
      <c r="N16" s="106"/>
    </row>
    <row r="17" spans="1:14" x14ac:dyDescent="0.25">
      <c r="A17" s="184" t="s">
        <v>312</v>
      </c>
      <c r="F17" s="224"/>
      <c r="G17" s="228"/>
      <c r="H17" s="228"/>
      <c r="I17" s="228"/>
      <c r="J17" s="224"/>
      <c r="K17" s="224"/>
      <c r="L17" s="228"/>
      <c r="M17" s="228"/>
      <c r="N17" s="106"/>
    </row>
    <row r="18" spans="1:14" x14ac:dyDescent="0.25">
      <c r="A18" s="184" t="s">
        <v>313</v>
      </c>
      <c r="F18" s="224"/>
      <c r="G18" s="228"/>
      <c r="H18" s="228"/>
      <c r="I18" s="228"/>
      <c r="J18" s="224"/>
      <c r="K18" s="224"/>
      <c r="L18" s="228"/>
      <c r="M18" s="228"/>
      <c r="N18" s="106"/>
    </row>
    <row r="19" spans="1:14" x14ac:dyDescent="0.25">
      <c r="A19" s="184" t="s">
        <v>314</v>
      </c>
      <c r="F19" s="224"/>
      <c r="G19" s="228"/>
      <c r="H19" s="228"/>
      <c r="I19" s="228"/>
      <c r="J19" s="224"/>
      <c r="K19" s="224"/>
      <c r="L19" s="228"/>
      <c r="M19" s="228"/>
      <c r="N19" s="106"/>
    </row>
    <row r="20" spans="1:14" x14ac:dyDescent="0.25">
      <c r="A20" s="184"/>
      <c r="F20" s="224"/>
      <c r="G20" s="228"/>
      <c r="H20" s="228"/>
      <c r="I20" s="228"/>
      <c r="J20" s="224"/>
      <c r="K20" s="224"/>
      <c r="L20" s="228"/>
      <c r="M20" s="228"/>
      <c r="N20" s="106"/>
    </row>
    <row r="21" spans="1:14" x14ac:dyDescent="0.25">
      <c r="A21" s="184" t="s">
        <v>315</v>
      </c>
      <c r="F21" s="224"/>
      <c r="G21" s="228"/>
      <c r="H21" s="228"/>
      <c r="I21" s="228"/>
      <c r="J21" s="224"/>
      <c r="K21" s="224"/>
      <c r="L21" s="228"/>
      <c r="M21" s="228"/>
      <c r="N21" s="106"/>
    </row>
    <row r="22" spans="1:14" x14ac:dyDescent="0.25">
      <c r="A22" s="184" t="s">
        <v>316</v>
      </c>
      <c r="F22" s="224"/>
      <c r="G22" s="228"/>
      <c r="H22" s="228"/>
      <c r="I22" s="228"/>
      <c r="J22" s="224"/>
      <c r="K22" s="224"/>
      <c r="L22" s="228"/>
      <c r="M22" s="228"/>
      <c r="N22" s="106"/>
    </row>
    <row r="23" spans="1:14" x14ac:dyDescent="0.25">
      <c r="A23" s="184" t="s">
        <v>317</v>
      </c>
      <c r="F23" s="224"/>
      <c r="G23" s="228"/>
      <c r="H23" s="228"/>
      <c r="I23" s="228"/>
      <c r="J23" s="224"/>
      <c r="K23" s="224"/>
      <c r="L23" s="228"/>
      <c r="M23" s="228"/>
      <c r="N23" s="106"/>
    </row>
    <row r="24" spans="1:14" x14ac:dyDescent="0.25">
      <c r="F24" s="224"/>
      <c r="G24" s="228"/>
      <c r="H24" s="228"/>
      <c r="I24" s="228"/>
      <c r="J24" s="224"/>
      <c r="K24" s="224"/>
      <c r="L24" s="228"/>
      <c r="M24" s="228"/>
      <c r="N24" s="106"/>
    </row>
    <row r="25" spans="1:14" x14ac:dyDescent="0.25">
      <c r="A25" s="184" t="s">
        <v>318</v>
      </c>
      <c r="F25" s="224"/>
      <c r="G25" s="228"/>
      <c r="H25" s="228"/>
      <c r="I25" s="228"/>
      <c r="J25" s="224"/>
      <c r="K25" s="224"/>
      <c r="L25" s="228"/>
      <c r="M25" s="228"/>
      <c r="N25" s="106"/>
    </row>
    <row r="26" spans="1:14" x14ac:dyDescent="0.25">
      <c r="A26" s="184" t="s">
        <v>319</v>
      </c>
      <c r="F26" s="224"/>
      <c r="G26" s="228"/>
      <c r="H26" s="228"/>
      <c r="I26" s="228"/>
      <c r="J26" s="224"/>
      <c r="K26" s="224"/>
      <c r="L26" s="228"/>
      <c r="M26" s="228"/>
      <c r="N26" s="106"/>
    </row>
    <row r="27" spans="1:14" x14ac:dyDescent="0.25">
      <c r="F27" s="4"/>
      <c r="G27" t="s">
        <v>386</v>
      </c>
      <c r="H27" t="s">
        <v>385</v>
      </c>
    </row>
    <row r="28" spans="1:14" x14ac:dyDescent="0.25">
      <c r="F28" s="240" t="s">
        <v>328</v>
      </c>
      <c r="G28" s="235"/>
      <c r="H28" s="228"/>
      <c r="I28" s="233">
        <v>400000</v>
      </c>
      <c r="J28" s="106"/>
    </row>
    <row r="29" spans="1:14" x14ac:dyDescent="0.25">
      <c r="F29" s="241" t="s">
        <v>329</v>
      </c>
      <c r="G29" s="236"/>
      <c r="H29" s="228">
        <v>4800000</v>
      </c>
      <c r="I29" s="234"/>
      <c r="J29" s="106"/>
    </row>
    <row r="30" spans="1:14" ht="19.5" x14ac:dyDescent="0.25">
      <c r="A30" s="695" t="s">
        <v>326</v>
      </c>
      <c r="B30" s="695"/>
      <c r="C30" s="695"/>
      <c r="D30" s="695"/>
      <c r="F30" s="240" t="s">
        <v>337</v>
      </c>
      <c r="G30" s="235"/>
      <c r="H30" s="228">
        <v>4210500</v>
      </c>
      <c r="I30" s="234"/>
      <c r="J30" s="106"/>
    </row>
    <row r="31" spans="1:14" x14ac:dyDescent="0.25">
      <c r="A31" s="696" t="s">
        <v>257</v>
      </c>
      <c r="B31" s="697" t="s">
        <v>327</v>
      </c>
      <c r="C31" s="697" t="s">
        <v>328</v>
      </c>
      <c r="D31" s="697" t="s">
        <v>329</v>
      </c>
      <c r="F31" s="241" t="s">
        <v>341</v>
      </c>
      <c r="G31" s="236"/>
      <c r="H31" s="228">
        <v>3750000</v>
      </c>
      <c r="I31" s="234"/>
      <c r="J31" s="106"/>
    </row>
    <row r="32" spans="1:14" x14ac:dyDescent="0.25">
      <c r="A32" s="696"/>
      <c r="B32" s="697"/>
      <c r="C32" s="697"/>
      <c r="D32" s="697"/>
      <c r="F32" s="240" t="s">
        <v>345</v>
      </c>
      <c r="G32" s="235"/>
      <c r="H32" s="228">
        <v>3356600</v>
      </c>
      <c r="I32" s="234"/>
      <c r="J32" s="106"/>
    </row>
    <row r="33" spans="1:10" ht="21" x14ac:dyDescent="0.25">
      <c r="A33" s="229" t="s">
        <v>327</v>
      </c>
      <c r="B33" s="230" t="s">
        <v>330</v>
      </c>
      <c r="C33" s="230" t="s">
        <v>331</v>
      </c>
      <c r="D33" s="230" t="s">
        <v>331</v>
      </c>
      <c r="F33" s="241" t="s">
        <v>349</v>
      </c>
      <c r="G33" s="237">
        <f>I35-H33</f>
        <v>-62800</v>
      </c>
      <c r="H33" s="228">
        <v>3057300</v>
      </c>
      <c r="I33" s="234">
        <f>H33+G33</f>
        <v>2994500</v>
      </c>
      <c r="J33" s="106"/>
    </row>
    <row r="34" spans="1:10" ht="21" x14ac:dyDescent="0.25">
      <c r="A34" s="231" t="s">
        <v>328</v>
      </c>
      <c r="B34" s="232" t="s">
        <v>332</v>
      </c>
      <c r="C34" s="232" t="s">
        <v>333</v>
      </c>
      <c r="D34" s="232" t="s">
        <v>331</v>
      </c>
      <c r="F34" s="240" t="s">
        <v>353</v>
      </c>
      <c r="G34" s="239">
        <f>I35-H34</f>
        <v>187500</v>
      </c>
      <c r="H34" s="228">
        <v>2807000</v>
      </c>
      <c r="I34" s="234">
        <f>H34+G34</f>
        <v>2994500</v>
      </c>
      <c r="J34" s="106"/>
    </row>
    <row r="35" spans="1:10" ht="21" x14ac:dyDescent="0.25">
      <c r="A35" s="229" t="s">
        <v>329</v>
      </c>
      <c r="B35" s="230" t="s">
        <v>334</v>
      </c>
      <c r="C35" s="230" t="s">
        <v>335</v>
      </c>
      <c r="D35" s="230" t="s">
        <v>336</v>
      </c>
      <c r="F35" s="241" t="s">
        <v>357</v>
      </c>
      <c r="G35" s="238">
        <v>400000</v>
      </c>
      <c r="H35" s="228">
        <v>2594500</v>
      </c>
      <c r="I35" s="234">
        <f>H35+G35</f>
        <v>2994500</v>
      </c>
      <c r="J35" s="106"/>
    </row>
    <row r="36" spans="1:10" ht="21" x14ac:dyDescent="0.25">
      <c r="A36" s="231" t="s">
        <v>337</v>
      </c>
      <c r="B36" s="232" t="s">
        <v>338</v>
      </c>
      <c r="C36" s="232" t="s">
        <v>339</v>
      </c>
      <c r="D36" s="232" t="s">
        <v>340</v>
      </c>
      <c r="F36" s="240" t="s">
        <v>361</v>
      </c>
      <c r="G36" s="238">
        <v>594500</v>
      </c>
      <c r="H36" s="228">
        <v>2400000</v>
      </c>
      <c r="I36" s="234">
        <f t="shared" ref="I36:I38" si="12">H36+G36</f>
        <v>2994500</v>
      </c>
      <c r="J36" s="106"/>
    </row>
    <row r="37" spans="1:10" ht="21" x14ac:dyDescent="0.25">
      <c r="A37" s="229" t="s">
        <v>341</v>
      </c>
      <c r="B37" s="230" t="s">
        <v>342</v>
      </c>
      <c r="C37" s="230" t="s">
        <v>343</v>
      </c>
      <c r="D37" s="230" t="s">
        <v>344</v>
      </c>
      <c r="F37" s="241" t="s">
        <v>365</v>
      </c>
      <c r="G37" s="238">
        <v>752210</v>
      </c>
      <c r="H37" s="228">
        <v>2242290</v>
      </c>
      <c r="I37" s="234">
        <f t="shared" si="12"/>
        <v>2994500</v>
      </c>
      <c r="J37" s="106"/>
    </row>
    <row r="38" spans="1:10" ht="21" x14ac:dyDescent="0.25">
      <c r="A38" s="231" t="s">
        <v>345</v>
      </c>
      <c r="B38" s="232" t="s">
        <v>346</v>
      </c>
      <c r="C38" s="232" t="s">
        <v>347</v>
      </c>
      <c r="D38" s="232" t="s">
        <v>348</v>
      </c>
      <c r="F38" s="240" t="s">
        <v>369</v>
      </c>
      <c r="G38" s="238">
        <v>889300</v>
      </c>
      <c r="H38" s="228">
        <v>2105200</v>
      </c>
      <c r="I38" s="234">
        <f t="shared" si="12"/>
        <v>2994500</v>
      </c>
      <c r="J38" s="106"/>
    </row>
    <row r="39" spans="1:10" ht="21" x14ac:dyDescent="0.25">
      <c r="A39" s="229" t="s">
        <v>349</v>
      </c>
      <c r="B39" s="230" t="s">
        <v>350</v>
      </c>
      <c r="C39" s="230" t="s">
        <v>351</v>
      </c>
      <c r="D39" s="230" t="s">
        <v>352</v>
      </c>
    </row>
    <row r="40" spans="1:10" ht="21" x14ac:dyDescent="0.25">
      <c r="A40" s="231" t="s">
        <v>353</v>
      </c>
      <c r="B40" s="232" t="s">
        <v>354</v>
      </c>
      <c r="C40" s="232" t="s">
        <v>355</v>
      </c>
      <c r="D40" s="232" t="s">
        <v>356</v>
      </c>
    </row>
    <row r="41" spans="1:10" ht="21" x14ac:dyDescent="0.25">
      <c r="A41" s="229" t="s">
        <v>357</v>
      </c>
      <c r="B41" s="230" t="s">
        <v>358</v>
      </c>
      <c r="C41" s="230" t="s">
        <v>359</v>
      </c>
      <c r="D41" s="230" t="s">
        <v>360</v>
      </c>
    </row>
    <row r="42" spans="1:10" ht="21" x14ac:dyDescent="0.25">
      <c r="A42" s="231" t="s">
        <v>361</v>
      </c>
      <c r="B42" s="232" t="s">
        <v>362</v>
      </c>
      <c r="C42" s="232" t="s">
        <v>363</v>
      </c>
      <c r="D42" s="232" t="s">
        <v>364</v>
      </c>
    </row>
    <row r="43" spans="1:10" ht="21" x14ac:dyDescent="0.25">
      <c r="A43" s="229" t="s">
        <v>365</v>
      </c>
      <c r="B43" s="230" t="s">
        <v>366</v>
      </c>
      <c r="C43" s="230" t="s">
        <v>367</v>
      </c>
      <c r="D43" s="230" t="s">
        <v>368</v>
      </c>
    </row>
    <row r="44" spans="1:10" ht="21" x14ac:dyDescent="0.25">
      <c r="A44" s="231" t="s">
        <v>369</v>
      </c>
      <c r="B44" s="232" t="s">
        <v>370</v>
      </c>
      <c r="C44" s="232" t="s">
        <v>371</v>
      </c>
      <c r="D44" s="232" t="s">
        <v>372</v>
      </c>
    </row>
    <row r="45" spans="1:10" ht="21" x14ac:dyDescent="0.25">
      <c r="A45" s="229" t="s">
        <v>373</v>
      </c>
      <c r="B45" s="230" t="s">
        <v>374</v>
      </c>
      <c r="C45" s="230" t="s">
        <v>375</v>
      </c>
      <c r="D45" s="230" t="s">
        <v>376</v>
      </c>
    </row>
    <row r="46" spans="1:10" ht="21" x14ac:dyDescent="0.25">
      <c r="A46" s="231" t="s">
        <v>377</v>
      </c>
      <c r="B46" s="232" t="s">
        <v>378</v>
      </c>
      <c r="C46" s="232" t="s">
        <v>379</v>
      </c>
      <c r="D46" s="232" t="s">
        <v>380</v>
      </c>
    </row>
    <row r="47" spans="1:10" ht="21" x14ac:dyDescent="0.25">
      <c r="A47" s="229" t="s">
        <v>381</v>
      </c>
      <c r="B47" s="230" t="s">
        <v>382</v>
      </c>
      <c r="C47" s="230" t="s">
        <v>383</v>
      </c>
      <c r="D47" s="230" t="s">
        <v>384</v>
      </c>
    </row>
  </sheetData>
  <mergeCells count="5">
    <mergeCell ref="A30:D30"/>
    <mergeCell ref="A31:A32"/>
    <mergeCell ref="B31:B32"/>
    <mergeCell ref="C31:C32"/>
    <mergeCell ref="D31:D32"/>
  </mergeCells>
  <pageMargins left="0.7" right="0.7" top="0.75" bottom="0.75" header="0.3" footer="0.3"/>
  <pageSetup paperSize="9" orientation="portrait" r:id="rId1"/>
  <legacy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B12" sqref="B12"/>
    </sheetView>
  </sheetViews>
  <sheetFormatPr defaultColWidth="11.42578125" defaultRowHeight="15" x14ac:dyDescent="0.25"/>
  <cols>
    <col min="1" max="1" width="6.7109375" bestFit="1" customWidth="1"/>
    <col min="2" max="2" width="9.5703125" bestFit="1" customWidth="1"/>
    <col min="3" max="3" width="9.7109375" bestFit="1" customWidth="1"/>
    <col min="4" max="4" width="9.140625" style="162" bestFit="1" customWidth="1"/>
    <col min="5" max="5" width="7" bestFit="1" customWidth="1"/>
    <col min="6" max="6" width="18.42578125" bestFit="1" customWidth="1"/>
    <col min="7" max="7" width="8.7109375" bestFit="1" customWidth="1"/>
  </cols>
  <sheetData>
    <row r="1" spans="1:7" s="4" customFormat="1" x14ac:dyDescent="0.25">
      <c r="A1" s="48" t="s">
        <v>428</v>
      </c>
      <c r="B1" s="48" t="s">
        <v>434</v>
      </c>
      <c r="C1" s="48" t="s">
        <v>429</v>
      </c>
      <c r="D1" s="282" t="s">
        <v>430</v>
      </c>
      <c r="E1" s="48" t="s">
        <v>431</v>
      </c>
      <c r="F1" s="48" t="s">
        <v>433</v>
      </c>
      <c r="G1" s="48" t="s">
        <v>432</v>
      </c>
    </row>
    <row r="2" spans="1:7" x14ac:dyDescent="0.25">
      <c r="A2" s="161">
        <v>0.4</v>
      </c>
      <c r="B2" s="160">
        <v>0</v>
      </c>
      <c r="C2" s="161">
        <f>B2*0.025</f>
        <v>0</v>
      </c>
      <c r="D2" s="283">
        <v>-0.375</v>
      </c>
      <c r="E2" s="161">
        <f>A2+C2+D2</f>
        <v>2.5000000000000022E-2</v>
      </c>
      <c r="F2" s="160">
        <v>32</v>
      </c>
      <c r="G2" s="281">
        <f>F2*E2</f>
        <v>0.80000000000000071</v>
      </c>
    </row>
    <row r="3" spans="1:7" x14ac:dyDescent="0.25">
      <c r="A3" s="161">
        <v>0.4</v>
      </c>
      <c r="B3" s="160">
        <v>1</v>
      </c>
      <c r="C3" s="161">
        <f t="shared" ref="C3:C17" si="0">B3*0.025</f>
        <v>2.5000000000000001E-2</v>
      </c>
      <c r="D3" s="283">
        <f>D2</f>
        <v>-0.375</v>
      </c>
      <c r="E3" s="161">
        <f t="shared" ref="E3:E17" si="1">A3+C3+D3</f>
        <v>5.0000000000000044E-2</v>
      </c>
      <c r="F3" s="160">
        <v>32</v>
      </c>
      <c r="G3" s="281">
        <f t="shared" ref="G3:G17" si="2">F3*E3</f>
        <v>1.6000000000000014</v>
      </c>
    </row>
    <row r="4" spans="1:7" x14ac:dyDescent="0.25">
      <c r="A4" s="161">
        <v>0.4</v>
      </c>
      <c r="B4" s="160">
        <v>2</v>
      </c>
      <c r="C4" s="161">
        <f t="shared" si="0"/>
        <v>0.05</v>
      </c>
      <c r="D4" s="283">
        <f t="shared" ref="D4:D17" si="3">D3</f>
        <v>-0.375</v>
      </c>
      <c r="E4" s="161">
        <f t="shared" si="1"/>
        <v>7.5000000000000011E-2</v>
      </c>
      <c r="F4" s="160">
        <v>32</v>
      </c>
      <c r="G4" s="281">
        <f t="shared" si="2"/>
        <v>2.4000000000000004</v>
      </c>
    </row>
    <row r="5" spans="1:7" x14ac:dyDescent="0.25">
      <c r="A5" s="161">
        <v>0.4</v>
      </c>
      <c r="B5" s="160">
        <v>3</v>
      </c>
      <c r="C5" s="161">
        <f t="shared" si="0"/>
        <v>7.5000000000000011E-2</v>
      </c>
      <c r="D5" s="283">
        <f t="shared" si="3"/>
        <v>-0.375</v>
      </c>
      <c r="E5" s="161">
        <f t="shared" si="1"/>
        <v>0.10000000000000003</v>
      </c>
      <c r="F5" s="160">
        <v>32</v>
      </c>
      <c r="G5" s="281">
        <f t="shared" si="2"/>
        <v>3.2000000000000011</v>
      </c>
    </row>
    <row r="6" spans="1:7" x14ac:dyDescent="0.25">
      <c r="A6" s="161">
        <v>0.4</v>
      </c>
      <c r="B6" s="160">
        <v>4</v>
      </c>
      <c r="C6" s="161">
        <f t="shared" si="0"/>
        <v>0.1</v>
      </c>
      <c r="D6" s="283">
        <f t="shared" si="3"/>
        <v>-0.375</v>
      </c>
      <c r="E6" s="161">
        <f t="shared" si="1"/>
        <v>0.125</v>
      </c>
      <c r="F6" s="160">
        <v>32</v>
      </c>
      <c r="G6" s="281">
        <f t="shared" si="2"/>
        <v>4</v>
      </c>
    </row>
    <row r="7" spans="1:7" x14ac:dyDescent="0.25">
      <c r="A7" s="161">
        <v>0.4</v>
      </c>
      <c r="B7" s="160">
        <v>5</v>
      </c>
      <c r="C7" s="161">
        <f t="shared" si="0"/>
        <v>0.125</v>
      </c>
      <c r="D7" s="283">
        <f t="shared" si="3"/>
        <v>-0.375</v>
      </c>
      <c r="E7" s="161">
        <f t="shared" si="1"/>
        <v>0.15000000000000002</v>
      </c>
      <c r="F7" s="160">
        <v>32</v>
      </c>
      <c r="G7" s="281">
        <f t="shared" si="2"/>
        <v>4.8000000000000007</v>
      </c>
    </row>
    <row r="8" spans="1:7" x14ac:dyDescent="0.25">
      <c r="A8" s="161">
        <v>0.4</v>
      </c>
      <c r="B8" s="160">
        <v>6</v>
      </c>
      <c r="C8" s="161">
        <f t="shared" si="0"/>
        <v>0.15000000000000002</v>
      </c>
      <c r="D8" s="283">
        <f t="shared" si="3"/>
        <v>-0.375</v>
      </c>
      <c r="E8" s="161">
        <f t="shared" si="1"/>
        <v>0.17500000000000004</v>
      </c>
      <c r="F8" s="160">
        <v>32</v>
      </c>
      <c r="G8" s="281">
        <f t="shared" si="2"/>
        <v>5.6000000000000014</v>
      </c>
    </row>
    <row r="9" spans="1:7" x14ac:dyDescent="0.25">
      <c r="A9" s="161">
        <v>0.4</v>
      </c>
      <c r="B9" s="160">
        <v>7</v>
      </c>
      <c r="C9" s="161">
        <f t="shared" si="0"/>
        <v>0.17500000000000002</v>
      </c>
      <c r="D9" s="283">
        <f t="shared" si="3"/>
        <v>-0.375</v>
      </c>
      <c r="E9" s="161">
        <f t="shared" si="1"/>
        <v>0.20000000000000007</v>
      </c>
      <c r="F9" s="160">
        <v>32</v>
      </c>
      <c r="G9" s="281">
        <f t="shared" si="2"/>
        <v>6.4000000000000021</v>
      </c>
    </row>
    <row r="10" spans="1:7" x14ac:dyDescent="0.25">
      <c r="A10" s="161">
        <v>0.4</v>
      </c>
      <c r="B10" s="160">
        <v>8</v>
      </c>
      <c r="C10" s="161">
        <f t="shared" si="0"/>
        <v>0.2</v>
      </c>
      <c r="D10" s="283">
        <f t="shared" si="3"/>
        <v>-0.375</v>
      </c>
      <c r="E10" s="161">
        <f t="shared" si="1"/>
        <v>0.22500000000000009</v>
      </c>
      <c r="F10" s="160">
        <v>32</v>
      </c>
      <c r="G10" s="281">
        <f t="shared" si="2"/>
        <v>7.2000000000000028</v>
      </c>
    </row>
    <row r="11" spans="1:7" x14ac:dyDescent="0.25">
      <c r="A11" s="161">
        <v>0.4</v>
      </c>
      <c r="B11" s="160">
        <v>9</v>
      </c>
      <c r="C11" s="161">
        <f t="shared" si="0"/>
        <v>0.22500000000000001</v>
      </c>
      <c r="D11" s="283">
        <f t="shared" si="3"/>
        <v>-0.375</v>
      </c>
      <c r="E11" s="161">
        <f t="shared" si="1"/>
        <v>0.25</v>
      </c>
      <c r="F11" s="160">
        <v>32</v>
      </c>
      <c r="G11" s="281">
        <f t="shared" si="2"/>
        <v>8</v>
      </c>
    </row>
    <row r="12" spans="1:7" x14ac:dyDescent="0.25">
      <c r="A12" s="161">
        <v>0.4</v>
      </c>
      <c r="B12" s="160">
        <v>10</v>
      </c>
      <c r="C12" s="161">
        <f t="shared" si="0"/>
        <v>0.25</v>
      </c>
      <c r="D12" s="283">
        <f t="shared" si="3"/>
        <v>-0.375</v>
      </c>
      <c r="E12" s="161">
        <f t="shared" si="1"/>
        <v>0.27500000000000002</v>
      </c>
      <c r="F12" s="160">
        <v>32</v>
      </c>
      <c r="G12" s="281">
        <f t="shared" si="2"/>
        <v>8.8000000000000007</v>
      </c>
    </row>
    <row r="13" spans="1:7" x14ac:dyDescent="0.25">
      <c r="A13" s="161">
        <v>0.4</v>
      </c>
      <c r="B13" s="160">
        <v>11</v>
      </c>
      <c r="C13" s="161">
        <f t="shared" si="0"/>
        <v>0.27500000000000002</v>
      </c>
      <c r="D13" s="283">
        <f t="shared" si="3"/>
        <v>-0.375</v>
      </c>
      <c r="E13" s="161">
        <f t="shared" si="1"/>
        <v>0.30000000000000004</v>
      </c>
      <c r="F13" s="160">
        <v>32</v>
      </c>
      <c r="G13" s="281">
        <f t="shared" si="2"/>
        <v>9.6000000000000014</v>
      </c>
    </row>
    <row r="14" spans="1:7" x14ac:dyDescent="0.25">
      <c r="A14" s="161">
        <v>0.4</v>
      </c>
      <c r="B14" s="160">
        <v>12</v>
      </c>
      <c r="C14" s="161">
        <f t="shared" si="0"/>
        <v>0.30000000000000004</v>
      </c>
      <c r="D14" s="283">
        <f t="shared" si="3"/>
        <v>-0.375</v>
      </c>
      <c r="E14" s="161">
        <f t="shared" si="1"/>
        <v>0.32500000000000007</v>
      </c>
      <c r="F14" s="160">
        <v>32</v>
      </c>
      <c r="G14" s="281">
        <f t="shared" si="2"/>
        <v>10.400000000000002</v>
      </c>
    </row>
    <row r="15" spans="1:7" x14ac:dyDescent="0.25">
      <c r="A15" s="161">
        <v>0.4</v>
      </c>
      <c r="B15" s="160">
        <v>13</v>
      </c>
      <c r="C15" s="161">
        <f t="shared" si="0"/>
        <v>0.32500000000000001</v>
      </c>
      <c r="D15" s="283">
        <f t="shared" si="3"/>
        <v>-0.375</v>
      </c>
      <c r="E15" s="161">
        <f t="shared" si="1"/>
        <v>0.35000000000000009</v>
      </c>
      <c r="F15" s="160">
        <v>32</v>
      </c>
      <c r="G15" s="281">
        <f t="shared" si="2"/>
        <v>11.200000000000003</v>
      </c>
    </row>
    <row r="16" spans="1:7" x14ac:dyDescent="0.25">
      <c r="A16" s="161">
        <v>0.4</v>
      </c>
      <c r="B16" s="160">
        <v>14</v>
      </c>
      <c r="C16" s="161">
        <f t="shared" si="0"/>
        <v>0.35000000000000003</v>
      </c>
      <c r="D16" s="283">
        <f t="shared" si="3"/>
        <v>-0.375</v>
      </c>
      <c r="E16" s="161">
        <f t="shared" si="1"/>
        <v>0.375</v>
      </c>
      <c r="F16" s="160">
        <v>32</v>
      </c>
      <c r="G16" s="281">
        <f t="shared" si="2"/>
        <v>12</v>
      </c>
    </row>
    <row r="17" spans="1:7" x14ac:dyDescent="0.25">
      <c r="A17" s="161">
        <v>0.4</v>
      </c>
      <c r="B17" s="160">
        <v>15</v>
      </c>
      <c r="C17" s="161">
        <f t="shared" si="0"/>
        <v>0.375</v>
      </c>
      <c r="D17" s="283">
        <f t="shared" si="3"/>
        <v>-0.375</v>
      </c>
      <c r="E17" s="161">
        <f t="shared" si="1"/>
        <v>0.4</v>
      </c>
      <c r="F17" s="160">
        <v>32</v>
      </c>
      <c r="G17" s="281">
        <f t="shared" si="2"/>
        <v>12.8</v>
      </c>
    </row>
    <row r="18" spans="1:7" x14ac:dyDescent="0.25">
      <c r="A18" s="47"/>
      <c r="B18" s="280"/>
    </row>
  </sheetData>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heetViews>
  <sheetFormatPr defaultColWidth="11.42578125" defaultRowHeight="15" x14ac:dyDescent="0.25"/>
  <cols>
    <col min="1" max="1" width="12.28515625" bestFit="1" customWidth="1"/>
    <col min="2" max="2" width="23.140625" bestFit="1" customWidth="1"/>
    <col min="4" max="4" width="5.7109375" bestFit="1" customWidth="1"/>
    <col min="5" max="5" width="17" bestFit="1" customWidth="1"/>
    <col min="6" max="6" width="9.28515625" bestFit="1" customWidth="1"/>
    <col min="7" max="7" width="10.7109375" bestFit="1" customWidth="1"/>
    <col min="8" max="8" width="6" bestFit="1" customWidth="1"/>
    <col min="9" max="9" width="10.140625" bestFit="1" customWidth="1"/>
    <col min="11" max="11" width="5.7109375" bestFit="1" customWidth="1"/>
    <col min="12" max="12" width="17" bestFit="1" customWidth="1"/>
    <col min="13" max="13" width="9.28515625" bestFit="1" customWidth="1"/>
    <col min="14" max="14" width="10.7109375" bestFit="1" customWidth="1"/>
    <col min="15" max="15" width="6" bestFit="1" customWidth="1"/>
    <col min="16" max="16" width="9.42578125" bestFit="1" customWidth="1"/>
  </cols>
  <sheetData>
    <row r="1" spans="1:16" x14ac:dyDescent="0.25">
      <c r="A1" t="s">
        <v>670</v>
      </c>
      <c r="D1" s="4" t="s">
        <v>402</v>
      </c>
      <c r="E1" s="4" t="s">
        <v>674</v>
      </c>
      <c r="F1" s="4" t="s">
        <v>675</v>
      </c>
      <c r="G1" s="4" t="s">
        <v>676</v>
      </c>
      <c r="H1" s="4" t="s">
        <v>17</v>
      </c>
      <c r="I1" s="4" t="s">
        <v>677</v>
      </c>
      <c r="K1" s="4" t="s">
        <v>402</v>
      </c>
      <c r="L1" s="4" t="s">
        <v>674</v>
      </c>
      <c r="M1" s="4" t="s">
        <v>675</v>
      </c>
      <c r="N1" s="4" t="s">
        <v>676</v>
      </c>
      <c r="O1" s="4" t="s">
        <v>17</v>
      </c>
      <c r="P1" s="4" t="s">
        <v>677</v>
      </c>
    </row>
    <row r="2" spans="1:16" x14ac:dyDescent="0.25">
      <c r="A2">
        <v>3.5</v>
      </c>
      <c r="B2" t="s">
        <v>671</v>
      </c>
      <c r="D2" s="481">
        <v>10</v>
      </c>
      <c r="E2" s="482">
        <f t="shared" ref="E2:E11" si="0">D2*$A$2</f>
        <v>35</v>
      </c>
      <c r="F2" s="482">
        <f t="shared" ref="F2:F11" si="1">D2*$A$3</f>
        <v>25</v>
      </c>
      <c r="G2" s="483">
        <f t="shared" ref="G2:G11" si="2">D2*$A$4</f>
        <v>0.33333333333333331</v>
      </c>
      <c r="H2" s="481">
        <f>48000*0.68</f>
        <v>32640.000000000004</v>
      </c>
      <c r="I2" s="484">
        <f t="shared" ref="I2:I11" si="3">H2/D2</f>
        <v>3264.0000000000005</v>
      </c>
      <c r="K2">
        <v>15</v>
      </c>
      <c r="L2" s="265">
        <f>K2*3.2</f>
        <v>48</v>
      </c>
      <c r="M2" s="265">
        <f>K2*$A$3</f>
        <v>37.5</v>
      </c>
      <c r="N2" s="405">
        <f>K2*$A$4</f>
        <v>0.5</v>
      </c>
      <c r="O2">
        <f>24000*3</f>
        <v>72000</v>
      </c>
      <c r="P2">
        <f>O2/K2</f>
        <v>4800</v>
      </c>
    </row>
    <row r="3" spans="1:16" x14ac:dyDescent="0.25">
      <c r="A3">
        <v>2.5</v>
      </c>
      <c r="B3" t="s">
        <v>673</v>
      </c>
      <c r="D3" s="481">
        <v>9</v>
      </c>
      <c r="E3" s="482">
        <f t="shared" si="0"/>
        <v>31.5</v>
      </c>
      <c r="F3" s="482">
        <f t="shared" si="1"/>
        <v>22.5</v>
      </c>
      <c r="G3" s="483">
        <f t="shared" si="2"/>
        <v>0.3</v>
      </c>
      <c r="H3" s="481">
        <f>36000*0.68</f>
        <v>24480</v>
      </c>
      <c r="I3" s="484">
        <f t="shared" si="3"/>
        <v>2720</v>
      </c>
      <c r="K3">
        <v>12</v>
      </c>
      <c r="L3" s="265">
        <f>K3*3.2</f>
        <v>38.400000000000006</v>
      </c>
      <c r="M3" s="265">
        <f>K3*$A$3</f>
        <v>30</v>
      </c>
      <c r="N3" s="405">
        <f>K3*$A$4</f>
        <v>0.4</v>
      </c>
      <c r="O3">
        <f>12000*3</f>
        <v>36000</v>
      </c>
      <c r="P3">
        <f>O3/K3</f>
        <v>3000</v>
      </c>
    </row>
    <row r="4" spans="1:16" x14ac:dyDescent="0.25">
      <c r="A4" s="480">
        <f>0.5/15</f>
        <v>3.3333333333333333E-2</v>
      </c>
      <c r="B4" t="s">
        <v>672</v>
      </c>
      <c r="D4" s="481">
        <v>8</v>
      </c>
      <c r="E4" s="482">
        <f t="shared" si="0"/>
        <v>28</v>
      </c>
      <c r="F4" s="482">
        <f t="shared" si="1"/>
        <v>20</v>
      </c>
      <c r="G4" s="483">
        <f t="shared" si="2"/>
        <v>0.26666666666666666</v>
      </c>
      <c r="H4" s="481">
        <f>24000*0.68</f>
        <v>16320.000000000002</v>
      </c>
      <c r="I4" s="484">
        <f t="shared" si="3"/>
        <v>2040.0000000000002</v>
      </c>
    </row>
    <row r="5" spans="1:16" x14ac:dyDescent="0.25">
      <c r="D5" s="481">
        <v>7</v>
      </c>
      <c r="E5" s="482">
        <f t="shared" si="0"/>
        <v>24.5</v>
      </c>
      <c r="F5" s="482">
        <f t="shared" si="1"/>
        <v>17.5</v>
      </c>
      <c r="G5" s="483">
        <f t="shared" si="2"/>
        <v>0.23333333333333334</v>
      </c>
      <c r="H5" s="481">
        <f>18000*0.68</f>
        <v>12240</v>
      </c>
      <c r="I5" s="484">
        <f t="shared" si="3"/>
        <v>1748.5714285714287</v>
      </c>
    </row>
    <row r="6" spans="1:16" x14ac:dyDescent="0.25">
      <c r="D6" s="481">
        <v>6</v>
      </c>
      <c r="E6" s="482">
        <f t="shared" si="0"/>
        <v>21</v>
      </c>
      <c r="F6" s="482">
        <f t="shared" si="1"/>
        <v>15</v>
      </c>
      <c r="G6" s="483">
        <f t="shared" si="2"/>
        <v>0.2</v>
      </c>
      <c r="H6" s="481">
        <f>12000*0.68</f>
        <v>8160.0000000000009</v>
      </c>
      <c r="I6" s="484">
        <f t="shared" si="3"/>
        <v>1360.0000000000002</v>
      </c>
    </row>
    <row r="7" spans="1:16" x14ac:dyDescent="0.25">
      <c r="D7" s="481">
        <v>5</v>
      </c>
      <c r="E7" s="482">
        <f t="shared" si="0"/>
        <v>17.5</v>
      </c>
      <c r="F7" s="482">
        <f t="shared" si="1"/>
        <v>12.5</v>
      </c>
      <c r="G7" s="483">
        <f t="shared" si="2"/>
        <v>0.16666666666666666</v>
      </c>
      <c r="H7" s="481">
        <f>24000*0.68</f>
        <v>16320.000000000002</v>
      </c>
      <c r="I7" s="484">
        <f t="shared" si="3"/>
        <v>3264.0000000000005</v>
      </c>
      <c r="L7" s="265"/>
    </row>
    <row r="8" spans="1:16" x14ac:dyDescent="0.25">
      <c r="D8" s="481">
        <v>4</v>
      </c>
      <c r="E8" s="482">
        <f t="shared" si="0"/>
        <v>14</v>
      </c>
      <c r="F8" s="482">
        <f t="shared" si="1"/>
        <v>10</v>
      </c>
      <c r="G8" s="483">
        <f t="shared" si="2"/>
        <v>0.13333333333333333</v>
      </c>
      <c r="H8" s="481">
        <f>12000*0.68</f>
        <v>8160.0000000000009</v>
      </c>
      <c r="I8" s="484">
        <f t="shared" si="3"/>
        <v>2040.0000000000002</v>
      </c>
    </row>
    <row r="9" spans="1:16" x14ac:dyDescent="0.25">
      <c r="D9" s="481">
        <v>3</v>
      </c>
      <c r="E9" s="482">
        <f t="shared" si="0"/>
        <v>10.5</v>
      </c>
      <c r="F9" s="482">
        <f t="shared" si="1"/>
        <v>7.5</v>
      </c>
      <c r="G9" s="483">
        <f t="shared" si="2"/>
        <v>0.1</v>
      </c>
      <c r="H9" s="481">
        <f>6000*0.68</f>
        <v>4080.0000000000005</v>
      </c>
      <c r="I9" s="484">
        <f t="shared" si="3"/>
        <v>1360.0000000000002</v>
      </c>
    </row>
    <row r="10" spans="1:16" x14ac:dyDescent="0.25">
      <c r="D10" s="481">
        <v>2</v>
      </c>
      <c r="E10" s="482">
        <f t="shared" si="0"/>
        <v>7</v>
      </c>
      <c r="F10" s="482">
        <f t="shared" si="1"/>
        <v>5</v>
      </c>
      <c r="G10" s="483">
        <f t="shared" si="2"/>
        <v>6.6666666666666666E-2</v>
      </c>
      <c r="H10" s="481">
        <f>3000*0.68</f>
        <v>2040.0000000000002</v>
      </c>
      <c r="I10" s="484">
        <f t="shared" si="3"/>
        <v>1020.0000000000001</v>
      </c>
    </row>
    <row r="11" spans="1:16" x14ac:dyDescent="0.25">
      <c r="D11" s="481">
        <v>1</v>
      </c>
      <c r="E11" s="482">
        <f t="shared" si="0"/>
        <v>3.5</v>
      </c>
      <c r="F11" s="482">
        <f t="shared" si="1"/>
        <v>2.5</v>
      </c>
      <c r="G11" s="483">
        <f t="shared" si="2"/>
        <v>3.3333333333333333E-2</v>
      </c>
      <c r="H11" s="481">
        <f>1500*0.68</f>
        <v>1020.0000000000001</v>
      </c>
      <c r="I11" s="484">
        <f t="shared" si="3"/>
        <v>1020.0000000000001</v>
      </c>
    </row>
  </sheetData>
  <sortState ref="D2:I11">
    <sortCondition descending="1" ref="D2:D11"/>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
  <sheetViews>
    <sheetView workbookViewId="0">
      <selection activeCell="L4" sqref="L4"/>
    </sheetView>
  </sheetViews>
  <sheetFormatPr defaultColWidth="11.42578125" defaultRowHeight="15" x14ac:dyDescent="0.25"/>
  <cols>
    <col min="1" max="1" width="13.7109375" bestFit="1" customWidth="1"/>
    <col min="2" max="8" width="6.5703125" bestFit="1" customWidth="1"/>
    <col min="9" max="10" width="7.7109375" bestFit="1" customWidth="1"/>
    <col min="12" max="12" width="32.7109375" customWidth="1"/>
    <col min="14" max="14" width="7.7109375" bestFit="1" customWidth="1"/>
    <col min="15" max="15" width="23.28515625" bestFit="1" customWidth="1"/>
    <col min="16" max="17" width="6.5703125" bestFit="1" customWidth="1"/>
    <col min="18" max="18" width="7.42578125" customWidth="1"/>
    <col min="19" max="19" width="4.5703125" bestFit="1" customWidth="1"/>
    <col min="21" max="21" width="7.7109375" bestFit="1" customWidth="1"/>
    <col min="22" max="22" width="21.7109375" style="179" bestFit="1" customWidth="1"/>
    <col min="23" max="24" width="5.5703125" bestFit="1" customWidth="1"/>
    <col min="25" max="26" width="4.5703125" bestFit="1" customWidth="1"/>
  </cols>
  <sheetData>
    <row r="1" spans="1:26" x14ac:dyDescent="0.25">
      <c r="A1" s="290">
        <v>41900</v>
      </c>
      <c r="E1" s="350" t="s">
        <v>515</v>
      </c>
      <c r="F1" s="351" t="s">
        <v>516</v>
      </c>
      <c r="G1" s="10"/>
      <c r="H1" s="10"/>
      <c r="I1" s="352" t="s">
        <v>515</v>
      </c>
      <c r="J1" s="353" t="s">
        <v>516</v>
      </c>
      <c r="K1" s="9"/>
      <c r="P1" s="350" t="s">
        <v>515</v>
      </c>
      <c r="Q1" s="351" t="s">
        <v>516</v>
      </c>
      <c r="R1" s="350"/>
      <c r="S1" s="351"/>
      <c r="W1" s="350" t="s">
        <v>515</v>
      </c>
      <c r="X1" s="351" t="s">
        <v>516</v>
      </c>
      <c r="Y1" s="350"/>
      <c r="Z1" s="351"/>
    </row>
    <row r="2" spans="1:26" x14ac:dyDescent="0.25">
      <c r="A2" s="349" t="s">
        <v>179</v>
      </c>
      <c r="B2" s="349" t="s">
        <v>517</v>
      </c>
      <c r="C2" s="349" t="s">
        <v>518</v>
      </c>
      <c r="D2" s="349" t="s">
        <v>187</v>
      </c>
      <c r="E2" s="350" t="s">
        <v>175</v>
      </c>
      <c r="F2" s="351" t="s">
        <v>175</v>
      </c>
      <c r="G2" s="10" t="s">
        <v>183</v>
      </c>
      <c r="H2" s="10" t="s">
        <v>183</v>
      </c>
      <c r="I2" s="352" t="s">
        <v>519</v>
      </c>
      <c r="J2" s="353" t="s">
        <v>519</v>
      </c>
      <c r="K2" s="9"/>
      <c r="P2" s="350" t="s">
        <v>175</v>
      </c>
      <c r="Q2" s="351" t="s">
        <v>175</v>
      </c>
      <c r="R2" s="350" t="s">
        <v>183</v>
      </c>
      <c r="S2" s="351" t="s">
        <v>183</v>
      </c>
      <c r="W2" s="350" t="s">
        <v>175</v>
      </c>
      <c r="X2" s="351" t="s">
        <v>175</v>
      </c>
      <c r="Y2" s="350" t="s">
        <v>183</v>
      </c>
      <c r="Z2" s="351" t="s">
        <v>183</v>
      </c>
    </row>
    <row r="3" spans="1:26" x14ac:dyDescent="0.25">
      <c r="A3" s="359" t="str">
        <f>PLANTILLA!D5</f>
        <v>D. Gehmacher</v>
      </c>
      <c r="B3" s="165">
        <f>PLANTILLA!E5</f>
        <v>31</v>
      </c>
      <c r="C3" s="165">
        <f>PLANTILLA!H5</f>
        <v>6</v>
      </c>
      <c r="D3" s="361">
        <f>PLANTILLA!I5</f>
        <v>20.3</v>
      </c>
      <c r="E3" s="354">
        <f>D3</f>
        <v>20.3</v>
      </c>
      <c r="F3" s="354">
        <f>E3+0.1</f>
        <v>20.400000000000002</v>
      </c>
      <c r="G3" s="354">
        <f>C3</f>
        <v>6</v>
      </c>
      <c r="H3" s="354">
        <f t="shared" ref="H3" si="0">G3+0.99</f>
        <v>6.99</v>
      </c>
      <c r="I3" s="358">
        <f t="shared" ref="I3:J3" si="1">G3*G3*E3</f>
        <v>730.80000000000007</v>
      </c>
      <c r="J3" s="358">
        <f t="shared" si="1"/>
        <v>996.74604000000011</v>
      </c>
      <c r="K3" s="355"/>
      <c r="N3" s="4" t="s">
        <v>519</v>
      </c>
      <c r="O3" t="str">
        <f>A3</f>
        <v>D. Gehmacher</v>
      </c>
      <c r="P3" s="356">
        <f>E3</f>
        <v>20.3</v>
      </c>
      <c r="Q3" s="356">
        <f t="shared" ref="Q3:S3" si="2">F3</f>
        <v>20.400000000000002</v>
      </c>
      <c r="R3" s="356">
        <f t="shared" si="2"/>
        <v>6</v>
      </c>
      <c r="S3" s="356">
        <f t="shared" si="2"/>
        <v>6.99</v>
      </c>
      <c r="U3" s="4" t="s">
        <v>519</v>
      </c>
      <c r="V3" s="179" t="str">
        <f>O3</f>
        <v>D. Gehmacher</v>
      </c>
      <c r="W3" s="356">
        <f>P3</f>
        <v>20.3</v>
      </c>
      <c r="X3" s="356">
        <f t="shared" ref="X3:Z3" si="3">Q3</f>
        <v>20.400000000000002</v>
      </c>
      <c r="Y3" s="356">
        <f t="shared" si="3"/>
        <v>6</v>
      </c>
      <c r="Z3" s="356">
        <f t="shared" si="3"/>
        <v>6.99</v>
      </c>
    </row>
    <row r="4" spans="1:26" x14ac:dyDescent="0.25">
      <c r="A4" s="359" t="str">
        <f>PLANTILLA!D6</f>
        <v>T. Hammond</v>
      </c>
      <c r="B4" s="165">
        <f>PLANTILLA!E6</f>
        <v>35</v>
      </c>
      <c r="C4" s="165">
        <f>PLANTILLA!H6</f>
        <v>3</v>
      </c>
      <c r="D4" s="361">
        <f>PLANTILLA!I6</f>
        <v>8.1999999999999993</v>
      </c>
      <c r="E4" s="354">
        <f t="shared" ref="E4:E22" si="4">D4</f>
        <v>8.1999999999999993</v>
      </c>
      <c r="F4" s="354">
        <f t="shared" ref="F4:F22" si="5">E4+0.1</f>
        <v>8.2999999999999989</v>
      </c>
      <c r="G4" s="354">
        <f t="shared" ref="G4:G22" si="6">C4</f>
        <v>3</v>
      </c>
      <c r="H4" s="354">
        <f t="shared" ref="H4:H22" si="7">G4+0.99</f>
        <v>3.99</v>
      </c>
      <c r="I4" s="358">
        <f t="shared" ref="I4:I22" si="8">G4*G4*E4</f>
        <v>73.8</v>
      </c>
      <c r="J4" s="358">
        <f t="shared" ref="J4:J22" si="9">H4*H4*F4</f>
        <v>132.13683</v>
      </c>
      <c r="K4" s="355"/>
      <c r="O4" t="str">
        <f>A7</f>
        <v>E. Toney</v>
      </c>
      <c r="P4" s="356">
        <f>E7</f>
        <v>14.3</v>
      </c>
      <c r="Q4" s="356">
        <f t="shared" ref="Q4:S4" si="10">F7</f>
        <v>14.4</v>
      </c>
      <c r="R4" s="356">
        <f t="shared" si="10"/>
        <v>4</v>
      </c>
      <c r="S4" s="356">
        <f t="shared" si="10"/>
        <v>4.99</v>
      </c>
      <c r="V4" s="179" t="str">
        <f t="shared" ref="V4:V13" si="11">O4</f>
        <v>E. Toney</v>
      </c>
      <c r="W4" s="356">
        <f t="shared" ref="W4:W13" si="12">P4</f>
        <v>14.3</v>
      </c>
      <c r="X4" s="356">
        <f t="shared" ref="X4:X13" si="13">Q4</f>
        <v>14.4</v>
      </c>
      <c r="Y4" s="356">
        <f t="shared" ref="Y4:Y13" si="14">R4</f>
        <v>4</v>
      </c>
      <c r="Z4" s="356">
        <f t="shared" ref="Z4:Z13" si="15">S4</f>
        <v>4.99</v>
      </c>
    </row>
    <row r="5" spans="1:26" x14ac:dyDescent="0.25">
      <c r="A5" s="359" t="str">
        <f>PLANTILLA!D7</f>
        <v>B. Pinczehelyi</v>
      </c>
      <c r="B5" s="165">
        <f>PLANTILLA!E7</f>
        <v>31</v>
      </c>
      <c r="C5" s="165">
        <f>PLANTILLA!H7</f>
        <v>2</v>
      </c>
      <c r="D5" s="361">
        <f>PLANTILLA!I7</f>
        <v>16</v>
      </c>
      <c r="E5" s="354">
        <f t="shared" si="4"/>
        <v>16</v>
      </c>
      <c r="F5" s="354">
        <f t="shared" si="5"/>
        <v>16.100000000000001</v>
      </c>
      <c r="G5" s="354">
        <f t="shared" si="6"/>
        <v>2</v>
      </c>
      <c r="H5" s="354">
        <f t="shared" si="7"/>
        <v>2.99</v>
      </c>
      <c r="I5" s="358">
        <f t="shared" si="8"/>
        <v>64</v>
      </c>
      <c r="J5" s="358">
        <f t="shared" si="9"/>
        <v>143.93561000000003</v>
      </c>
      <c r="K5" s="355"/>
      <c r="L5" s="178"/>
      <c r="O5" t="str">
        <f>A15</f>
        <v>E. Gross</v>
      </c>
      <c r="P5" s="356">
        <f>E15</f>
        <v>10.7</v>
      </c>
      <c r="Q5" s="356">
        <f t="shared" ref="Q5:S5" si="16">F15</f>
        <v>10.799999999999999</v>
      </c>
      <c r="R5" s="356">
        <f t="shared" si="16"/>
        <v>3</v>
      </c>
      <c r="S5" s="356">
        <f t="shared" si="16"/>
        <v>3.99</v>
      </c>
      <c r="V5" s="179" t="str">
        <f t="shared" si="11"/>
        <v>E. Gross</v>
      </c>
      <c r="W5" s="356">
        <f t="shared" si="12"/>
        <v>10.7</v>
      </c>
      <c r="X5" s="356">
        <f t="shared" si="13"/>
        <v>10.799999999999999</v>
      </c>
      <c r="Y5" s="356">
        <f t="shared" si="14"/>
        <v>3</v>
      </c>
      <c r="Z5" s="356">
        <f t="shared" si="15"/>
        <v>3.99</v>
      </c>
    </row>
    <row r="6" spans="1:26" x14ac:dyDescent="0.25">
      <c r="A6" s="359" t="str">
        <f>PLANTILLA!D8</f>
        <v>D. Toh</v>
      </c>
      <c r="B6" s="165">
        <f>PLANTILLA!E8</f>
        <v>33</v>
      </c>
      <c r="C6" s="165">
        <f>PLANTILLA!H8</f>
        <v>4</v>
      </c>
      <c r="D6" s="361">
        <f>PLANTILLA!I8</f>
        <v>8.4</v>
      </c>
      <c r="E6" s="354">
        <f t="shared" si="4"/>
        <v>8.4</v>
      </c>
      <c r="F6" s="354">
        <f t="shared" si="5"/>
        <v>8.5</v>
      </c>
      <c r="G6" s="354">
        <f t="shared" si="6"/>
        <v>4</v>
      </c>
      <c r="H6" s="354">
        <f t="shared" si="7"/>
        <v>4.99</v>
      </c>
      <c r="I6" s="358">
        <f t="shared" si="8"/>
        <v>134.4</v>
      </c>
      <c r="J6" s="358">
        <f t="shared" si="9"/>
        <v>211.65085000000002</v>
      </c>
      <c r="K6" s="355"/>
      <c r="O6" t="str">
        <f>A5</f>
        <v>B. Pinczehelyi</v>
      </c>
      <c r="P6" s="356">
        <f>E5</f>
        <v>16</v>
      </c>
      <c r="Q6" s="356">
        <f t="shared" ref="Q6:S6" si="17">F5</f>
        <v>16.100000000000001</v>
      </c>
      <c r="R6" s="356">
        <f t="shared" si="17"/>
        <v>2</v>
      </c>
      <c r="S6" s="356">
        <f t="shared" si="17"/>
        <v>2.99</v>
      </c>
      <c r="V6" s="179" t="str">
        <f t="shared" si="11"/>
        <v>B. Pinczehelyi</v>
      </c>
      <c r="W6" s="356">
        <f t="shared" si="12"/>
        <v>16</v>
      </c>
      <c r="X6" s="356">
        <f t="shared" si="13"/>
        <v>16.100000000000001</v>
      </c>
      <c r="Y6" s="356">
        <f t="shared" si="14"/>
        <v>2</v>
      </c>
      <c r="Z6" s="356">
        <f t="shared" si="15"/>
        <v>2.99</v>
      </c>
    </row>
    <row r="7" spans="1:26" x14ac:dyDescent="0.25">
      <c r="A7" s="359" t="str">
        <f>PLANTILLA!D9</f>
        <v>E. Toney</v>
      </c>
      <c r="B7" s="165">
        <f>PLANTILLA!E9</f>
        <v>32</v>
      </c>
      <c r="C7" s="165">
        <f>PLANTILLA!H9</f>
        <v>4</v>
      </c>
      <c r="D7" s="361">
        <f>PLANTILLA!I9</f>
        <v>14.3</v>
      </c>
      <c r="E7" s="354">
        <f t="shared" si="4"/>
        <v>14.3</v>
      </c>
      <c r="F7" s="354">
        <f t="shared" si="5"/>
        <v>14.4</v>
      </c>
      <c r="G7" s="354">
        <f t="shared" si="6"/>
        <v>4</v>
      </c>
      <c r="H7" s="354">
        <f t="shared" si="7"/>
        <v>4.99</v>
      </c>
      <c r="I7" s="358">
        <f t="shared" si="8"/>
        <v>228.8</v>
      </c>
      <c r="J7" s="358">
        <f t="shared" si="9"/>
        <v>358.56144000000006</v>
      </c>
      <c r="K7" s="355"/>
      <c r="O7" t="str">
        <f>A10</f>
        <v>E. Romweber</v>
      </c>
      <c r="P7" s="356">
        <f>E10</f>
        <v>14</v>
      </c>
      <c r="Q7" s="356">
        <f t="shared" ref="Q7:S7" si="18">F10</f>
        <v>14.1</v>
      </c>
      <c r="R7" s="356">
        <f t="shared" si="18"/>
        <v>0</v>
      </c>
      <c r="S7" s="356">
        <f t="shared" si="18"/>
        <v>0.99</v>
      </c>
      <c r="V7" s="179" t="str">
        <f t="shared" si="11"/>
        <v>E. Romweber</v>
      </c>
      <c r="W7" s="356">
        <f t="shared" si="12"/>
        <v>14</v>
      </c>
      <c r="X7" s="356">
        <f t="shared" si="13"/>
        <v>14.1</v>
      </c>
      <c r="Y7" s="356">
        <f t="shared" si="14"/>
        <v>0</v>
      </c>
      <c r="Z7" s="356">
        <f t="shared" si="15"/>
        <v>0.99</v>
      </c>
    </row>
    <row r="8" spans="1:26" x14ac:dyDescent="0.25">
      <c r="A8" s="359" t="str">
        <f>PLANTILLA!D10</f>
        <v>B. Bartolache</v>
      </c>
      <c r="B8" s="165">
        <f>PLANTILLA!E10</f>
        <v>32</v>
      </c>
      <c r="C8" s="165">
        <f>PLANTILLA!H10</f>
        <v>3</v>
      </c>
      <c r="D8" s="361">
        <f>PLANTILLA!I10</f>
        <v>10.4</v>
      </c>
      <c r="E8" s="354">
        <f t="shared" si="4"/>
        <v>10.4</v>
      </c>
      <c r="F8" s="354">
        <f t="shared" si="5"/>
        <v>10.5</v>
      </c>
      <c r="G8" s="354">
        <f t="shared" si="6"/>
        <v>3</v>
      </c>
      <c r="H8" s="354">
        <f t="shared" si="7"/>
        <v>3.99</v>
      </c>
      <c r="I8" s="358">
        <f t="shared" si="8"/>
        <v>93.600000000000009</v>
      </c>
      <c r="J8" s="358">
        <f t="shared" si="9"/>
        <v>167.16105000000002</v>
      </c>
      <c r="K8" s="355"/>
      <c r="O8" t="str">
        <f>A13</f>
        <v>S. Buschelman</v>
      </c>
      <c r="P8" s="356">
        <f>E13</f>
        <v>11.8</v>
      </c>
      <c r="Q8" s="356">
        <f t="shared" ref="Q8:S8" si="19">F13</f>
        <v>11.9</v>
      </c>
      <c r="R8" s="356">
        <f t="shared" si="19"/>
        <v>3</v>
      </c>
      <c r="S8" s="356">
        <f t="shared" si="19"/>
        <v>3.99</v>
      </c>
      <c r="V8" s="179" t="str">
        <f t="shared" si="11"/>
        <v>S. Buschelman</v>
      </c>
      <c r="W8" s="356">
        <f t="shared" si="12"/>
        <v>11.8</v>
      </c>
      <c r="X8" s="356">
        <f t="shared" si="13"/>
        <v>11.9</v>
      </c>
      <c r="Y8" s="356">
        <f t="shared" si="14"/>
        <v>3</v>
      </c>
      <c r="Z8" s="356">
        <f t="shared" si="15"/>
        <v>3.99</v>
      </c>
    </row>
    <row r="9" spans="1:26" x14ac:dyDescent="0.25">
      <c r="A9" s="359" t="str">
        <f>PLANTILLA!D11</f>
        <v>F. Lasprilla</v>
      </c>
      <c r="B9" s="165">
        <f>PLANTILLA!E11</f>
        <v>29</v>
      </c>
      <c r="C9" s="165">
        <f>PLANTILLA!H11</f>
        <v>4</v>
      </c>
      <c r="D9" s="361">
        <f>PLANTILLA!I11</f>
        <v>5.3</v>
      </c>
      <c r="E9" s="354">
        <f t="shared" si="4"/>
        <v>5.3</v>
      </c>
      <c r="F9" s="354">
        <f t="shared" si="5"/>
        <v>5.3999999999999995</v>
      </c>
      <c r="G9" s="354">
        <f t="shared" si="6"/>
        <v>4</v>
      </c>
      <c r="H9" s="354">
        <f t="shared" si="7"/>
        <v>4.99</v>
      </c>
      <c r="I9" s="358">
        <f t="shared" si="8"/>
        <v>84.8</v>
      </c>
      <c r="J9" s="358">
        <f t="shared" si="9"/>
        <v>134.46054000000001</v>
      </c>
      <c r="K9" s="355"/>
      <c r="O9" t="str">
        <f>A16</f>
        <v>L. Bauman</v>
      </c>
      <c r="P9" s="356">
        <f>E16</f>
        <v>9.4</v>
      </c>
      <c r="Q9" s="356">
        <f t="shared" ref="Q9:S9" si="20">F16</f>
        <v>9.5</v>
      </c>
      <c r="R9" s="356">
        <f t="shared" si="20"/>
        <v>0</v>
      </c>
      <c r="S9" s="356">
        <f t="shared" si="20"/>
        <v>0.99</v>
      </c>
      <c r="V9" s="179" t="str">
        <f t="shared" si="11"/>
        <v>L. Bauman</v>
      </c>
      <c r="W9" s="356">
        <f t="shared" si="12"/>
        <v>9.4</v>
      </c>
      <c r="X9" s="356">
        <f t="shared" si="13"/>
        <v>9.5</v>
      </c>
      <c r="Y9" s="356">
        <f t="shared" si="14"/>
        <v>0</v>
      </c>
      <c r="Z9" s="356">
        <f t="shared" si="15"/>
        <v>0.99</v>
      </c>
    </row>
    <row r="10" spans="1:26" x14ac:dyDescent="0.25">
      <c r="A10" s="359" t="str">
        <f>PLANTILLA!D12</f>
        <v>E. Romweber</v>
      </c>
      <c r="B10" s="165">
        <f>PLANTILLA!E12</f>
        <v>32</v>
      </c>
      <c r="C10" s="165">
        <f>PLANTILLA!H12</f>
        <v>0</v>
      </c>
      <c r="D10" s="361">
        <f>PLANTILLA!I12</f>
        <v>14</v>
      </c>
      <c r="E10" s="354">
        <f t="shared" si="4"/>
        <v>14</v>
      </c>
      <c r="F10" s="354">
        <f t="shared" si="5"/>
        <v>14.1</v>
      </c>
      <c r="G10" s="354">
        <f t="shared" si="6"/>
        <v>0</v>
      </c>
      <c r="H10" s="354">
        <f t="shared" si="7"/>
        <v>0.99</v>
      </c>
      <c r="I10" s="358">
        <f t="shared" si="8"/>
        <v>0</v>
      </c>
      <c r="J10" s="358">
        <f t="shared" si="9"/>
        <v>13.81941</v>
      </c>
      <c r="K10" s="355"/>
      <c r="O10" t="str">
        <f>A14</f>
        <v>C. Rojas</v>
      </c>
      <c r="P10" s="356">
        <f>E14</f>
        <v>12.6</v>
      </c>
      <c r="Q10" s="356">
        <f t="shared" ref="Q10:S10" si="21">F14</f>
        <v>12.7</v>
      </c>
      <c r="R10" s="356">
        <f t="shared" si="21"/>
        <v>4</v>
      </c>
      <c r="S10" s="356">
        <f t="shared" si="21"/>
        <v>4.99</v>
      </c>
      <c r="V10" s="179" t="str">
        <f t="shared" si="11"/>
        <v>C. Rojas</v>
      </c>
      <c r="W10" s="356">
        <f t="shared" si="12"/>
        <v>12.6</v>
      </c>
      <c r="X10" s="356">
        <f t="shared" si="13"/>
        <v>12.7</v>
      </c>
      <c r="Y10" s="356">
        <f t="shared" si="14"/>
        <v>4</v>
      </c>
      <c r="Z10" s="356">
        <f t="shared" si="15"/>
        <v>4.99</v>
      </c>
    </row>
    <row r="11" spans="1:26" x14ac:dyDescent="0.25">
      <c r="A11" s="359" t="str">
        <f>PLANTILLA!D13</f>
        <v>K. Helms</v>
      </c>
      <c r="B11" s="165">
        <f>PLANTILLA!E13</f>
        <v>32</v>
      </c>
      <c r="C11" s="165">
        <f>PLANTILLA!H13</f>
        <v>2</v>
      </c>
      <c r="D11" s="361">
        <f>PLANTILLA!I13</f>
        <v>11.3</v>
      </c>
      <c r="E11" s="354">
        <f t="shared" si="4"/>
        <v>11.3</v>
      </c>
      <c r="F11" s="354">
        <f t="shared" si="5"/>
        <v>11.4</v>
      </c>
      <c r="G11" s="354">
        <f t="shared" si="6"/>
        <v>2</v>
      </c>
      <c r="H11" s="354">
        <f t="shared" si="7"/>
        <v>2.99</v>
      </c>
      <c r="I11" s="358">
        <f t="shared" si="8"/>
        <v>45.2</v>
      </c>
      <c r="J11" s="358">
        <f t="shared" si="9"/>
        <v>101.91714000000002</v>
      </c>
      <c r="K11" s="355"/>
      <c r="O11" t="str">
        <f>A11</f>
        <v>K. Helms</v>
      </c>
      <c r="P11" s="356">
        <f>E11</f>
        <v>11.3</v>
      </c>
      <c r="Q11" s="356">
        <f t="shared" ref="Q11:S11" si="22">F11</f>
        <v>11.4</v>
      </c>
      <c r="R11" s="356">
        <f t="shared" si="22"/>
        <v>2</v>
      </c>
      <c r="S11" s="356">
        <f t="shared" si="22"/>
        <v>2.99</v>
      </c>
      <c r="V11" s="179" t="str">
        <f t="shared" si="11"/>
        <v>K. Helms</v>
      </c>
      <c r="W11" s="356">
        <f t="shared" si="12"/>
        <v>11.3</v>
      </c>
      <c r="X11" s="356">
        <f t="shared" si="13"/>
        <v>11.4</v>
      </c>
      <c r="Y11" s="356">
        <f t="shared" si="14"/>
        <v>2</v>
      </c>
      <c r="Z11" s="356">
        <f t="shared" si="15"/>
        <v>2.99</v>
      </c>
    </row>
    <row r="12" spans="1:26" x14ac:dyDescent="0.25">
      <c r="A12" s="359" t="str">
        <f>PLANTILLA!D14</f>
        <v>S. Zobbe</v>
      </c>
      <c r="B12" s="165">
        <f>PLANTILLA!E14</f>
        <v>29</v>
      </c>
      <c r="C12" s="165">
        <f>PLANTILLA!H14</f>
        <v>2</v>
      </c>
      <c r="D12" s="361">
        <f>PLANTILLA!I14</f>
        <v>10.5</v>
      </c>
      <c r="E12" s="354">
        <f t="shared" si="4"/>
        <v>10.5</v>
      </c>
      <c r="F12" s="354">
        <f t="shared" si="5"/>
        <v>10.6</v>
      </c>
      <c r="G12" s="354">
        <f t="shared" si="6"/>
        <v>2</v>
      </c>
      <c r="H12" s="354">
        <f t="shared" si="7"/>
        <v>2.99</v>
      </c>
      <c r="I12" s="358">
        <f t="shared" si="8"/>
        <v>42</v>
      </c>
      <c r="J12" s="358">
        <f t="shared" si="9"/>
        <v>94.765060000000005</v>
      </c>
      <c r="K12" s="355"/>
      <c r="O12" t="str">
        <f>A21</f>
        <v>L. Calosso</v>
      </c>
      <c r="P12" s="356">
        <f>E21</f>
        <v>12.1</v>
      </c>
      <c r="Q12" s="356">
        <f t="shared" ref="Q12:S12" si="23">F21</f>
        <v>12.2</v>
      </c>
      <c r="R12" s="356">
        <f t="shared" si="23"/>
        <v>3</v>
      </c>
      <c r="S12" s="356">
        <f t="shared" si="23"/>
        <v>3.99</v>
      </c>
      <c r="V12" s="179" t="str">
        <f t="shared" si="11"/>
        <v>L. Calosso</v>
      </c>
      <c r="W12" s="356">
        <f t="shared" si="12"/>
        <v>12.1</v>
      </c>
      <c r="X12" s="356">
        <f t="shared" si="13"/>
        <v>12.2</v>
      </c>
      <c r="Y12" s="356">
        <f t="shared" si="14"/>
        <v>3</v>
      </c>
      <c r="Z12" s="356">
        <f t="shared" si="15"/>
        <v>3.99</v>
      </c>
    </row>
    <row r="13" spans="1:26" x14ac:dyDescent="0.25">
      <c r="A13" s="359" t="str">
        <f>PLANTILLA!D15</f>
        <v>S. Buschelman</v>
      </c>
      <c r="B13" s="165">
        <f>PLANTILLA!E15</f>
        <v>31</v>
      </c>
      <c r="C13" s="165">
        <f>PLANTILLA!H15</f>
        <v>3</v>
      </c>
      <c r="D13" s="361">
        <f>PLANTILLA!I15</f>
        <v>11.8</v>
      </c>
      <c r="E13" s="354">
        <f t="shared" si="4"/>
        <v>11.8</v>
      </c>
      <c r="F13" s="354">
        <f t="shared" si="5"/>
        <v>11.9</v>
      </c>
      <c r="G13" s="354">
        <f t="shared" si="6"/>
        <v>3</v>
      </c>
      <c r="H13" s="354">
        <f t="shared" si="7"/>
        <v>3.99</v>
      </c>
      <c r="I13" s="358">
        <f t="shared" si="8"/>
        <v>106.2</v>
      </c>
      <c r="J13" s="358">
        <f t="shared" si="9"/>
        <v>189.44919000000002</v>
      </c>
      <c r="K13" s="355"/>
      <c r="O13" t="str">
        <f>A20</f>
        <v>J. Limon</v>
      </c>
      <c r="P13" s="356">
        <f>E20</f>
        <v>11.8</v>
      </c>
      <c r="Q13" s="356">
        <f t="shared" ref="Q13:S13" si="24">F20</f>
        <v>11.9</v>
      </c>
      <c r="R13" s="356">
        <f t="shared" si="24"/>
        <v>3</v>
      </c>
      <c r="S13" s="356">
        <f t="shared" si="24"/>
        <v>3.99</v>
      </c>
      <c r="V13" s="179" t="str">
        <f t="shared" si="11"/>
        <v>J. Limon</v>
      </c>
      <c r="W13" s="356">
        <f t="shared" si="12"/>
        <v>11.8</v>
      </c>
      <c r="X13" s="356">
        <f t="shared" si="13"/>
        <v>11.9</v>
      </c>
      <c r="Y13" s="356">
        <f t="shared" si="14"/>
        <v>3</v>
      </c>
      <c r="Z13" s="356">
        <f t="shared" si="15"/>
        <v>3.99</v>
      </c>
    </row>
    <row r="14" spans="1:26" x14ac:dyDescent="0.25">
      <c r="A14" s="359" t="str">
        <f>PLANTILLA!D16</f>
        <v>C. Rojas</v>
      </c>
      <c r="B14" s="165">
        <f>PLANTILLA!E16</f>
        <v>33</v>
      </c>
      <c r="C14" s="165">
        <f>PLANTILLA!H16</f>
        <v>4</v>
      </c>
      <c r="D14" s="361">
        <f>PLANTILLA!I16</f>
        <v>12.6</v>
      </c>
      <c r="E14" s="354">
        <f t="shared" si="4"/>
        <v>12.6</v>
      </c>
      <c r="F14" s="354">
        <f t="shared" si="5"/>
        <v>12.7</v>
      </c>
      <c r="G14" s="354">
        <f t="shared" si="6"/>
        <v>4</v>
      </c>
      <c r="H14" s="354">
        <f t="shared" si="7"/>
        <v>4.99</v>
      </c>
      <c r="I14" s="358">
        <f t="shared" si="8"/>
        <v>201.6</v>
      </c>
      <c r="J14" s="358">
        <f t="shared" si="9"/>
        <v>316.23126999999999</v>
      </c>
      <c r="K14" s="355"/>
      <c r="P14" s="159">
        <f>SUM(P4:P13)/10</f>
        <v>12.399999999999999</v>
      </c>
      <c r="Q14" s="159">
        <f>SUM(Q4:Q13)/10</f>
        <v>12.500000000000002</v>
      </c>
      <c r="R14" s="159"/>
      <c r="S14" s="159"/>
      <c r="W14" s="159">
        <f>SUM(W4:W13)/10</f>
        <v>12.399999999999999</v>
      </c>
      <c r="X14" s="159">
        <f>SUM(X4:X13)/10</f>
        <v>12.500000000000002</v>
      </c>
      <c r="Y14" s="159"/>
      <c r="Z14" s="159"/>
    </row>
    <row r="15" spans="1:26" x14ac:dyDescent="0.25">
      <c r="A15" s="359" t="str">
        <f>PLANTILLA!D17</f>
        <v>E. Gross</v>
      </c>
      <c r="B15" s="165">
        <f>PLANTILLA!E17</f>
        <v>32</v>
      </c>
      <c r="C15" s="165">
        <f>PLANTILLA!H17</f>
        <v>3</v>
      </c>
      <c r="D15" s="361">
        <f>PLANTILLA!I17</f>
        <v>10.7</v>
      </c>
      <c r="E15" s="354">
        <f t="shared" si="4"/>
        <v>10.7</v>
      </c>
      <c r="F15" s="354">
        <f t="shared" si="5"/>
        <v>10.799999999999999</v>
      </c>
      <c r="G15" s="354">
        <f t="shared" si="6"/>
        <v>3</v>
      </c>
      <c r="H15" s="354">
        <f t="shared" si="7"/>
        <v>3.99</v>
      </c>
      <c r="I15" s="358">
        <f t="shared" si="8"/>
        <v>96.3</v>
      </c>
      <c r="J15" s="358">
        <f t="shared" si="9"/>
        <v>171.93708000000001</v>
      </c>
      <c r="K15" s="355"/>
    </row>
    <row r="16" spans="1:26" x14ac:dyDescent="0.25">
      <c r="A16" s="359" t="str">
        <f>PLANTILLA!D18</f>
        <v>L. Bauman</v>
      </c>
      <c r="B16" s="165">
        <f>PLANTILLA!E18</f>
        <v>32</v>
      </c>
      <c r="C16" s="165">
        <f>PLANTILLA!H18</f>
        <v>0</v>
      </c>
      <c r="D16" s="361">
        <f>PLANTILLA!I18</f>
        <v>9.4</v>
      </c>
      <c r="E16" s="354">
        <f t="shared" si="4"/>
        <v>9.4</v>
      </c>
      <c r="F16" s="354">
        <f t="shared" si="5"/>
        <v>9.5</v>
      </c>
      <c r="G16" s="354">
        <f t="shared" si="6"/>
        <v>0</v>
      </c>
      <c r="H16" s="354">
        <f t="shared" si="7"/>
        <v>0.99</v>
      </c>
      <c r="I16" s="358">
        <f t="shared" si="8"/>
        <v>0</v>
      </c>
      <c r="J16" s="358">
        <f t="shared" si="9"/>
        <v>9.3109500000000001</v>
      </c>
      <c r="K16" s="355"/>
      <c r="L16" s="184" t="s">
        <v>520</v>
      </c>
      <c r="O16" t="s">
        <v>521</v>
      </c>
      <c r="P16" s="265">
        <f>SUM(P3:P13)</f>
        <v>144.30000000000001</v>
      </c>
      <c r="Q16" s="265">
        <f>SUM(Q3:Q13)</f>
        <v>145.4</v>
      </c>
      <c r="R16" s="265"/>
      <c r="V16" s="179" t="s">
        <v>521</v>
      </c>
      <c r="W16" s="265">
        <f>SUM(W3:W13)</f>
        <v>144.30000000000001</v>
      </c>
      <c r="X16" s="265">
        <f>SUM(X3:X13)</f>
        <v>145.4</v>
      </c>
      <c r="Y16" s="265"/>
    </row>
    <row r="17" spans="1:25" x14ac:dyDescent="0.25">
      <c r="A17" s="359" t="str">
        <f>PLANTILLA!D19</f>
        <v>W. Gelifini</v>
      </c>
      <c r="B17" s="165">
        <f>PLANTILLA!E19</f>
        <v>30</v>
      </c>
      <c r="C17" s="165">
        <f>PLANTILLA!H19</f>
        <v>2</v>
      </c>
      <c r="D17" s="361">
        <f>PLANTILLA!I19</f>
        <v>4.4000000000000004</v>
      </c>
      <c r="E17" s="354">
        <f t="shared" si="4"/>
        <v>4.4000000000000004</v>
      </c>
      <c r="F17" s="354">
        <f t="shared" si="5"/>
        <v>4.5</v>
      </c>
      <c r="G17" s="354">
        <f t="shared" si="6"/>
        <v>2</v>
      </c>
      <c r="H17" s="354">
        <f t="shared" si="7"/>
        <v>2.99</v>
      </c>
      <c r="I17" s="358">
        <f t="shared" si="8"/>
        <v>17.600000000000001</v>
      </c>
      <c r="J17" s="358">
        <f t="shared" si="9"/>
        <v>40.230450000000005</v>
      </c>
      <c r="K17" s="355"/>
      <c r="O17" s="318" t="s">
        <v>871</v>
      </c>
      <c r="P17" s="159">
        <f>P16/16.5</f>
        <v>8.745454545454546</v>
      </c>
      <c r="Q17" s="159">
        <f>Q16/16.5</f>
        <v>8.8121212121212125</v>
      </c>
      <c r="R17" s="159"/>
      <c r="V17" s="179" t="s">
        <v>522</v>
      </c>
      <c r="W17" s="159">
        <f>W16/17</f>
        <v>8.4882352941176471</v>
      </c>
      <c r="X17" s="159">
        <f>X16/17</f>
        <v>8.552941176470588</v>
      </c>
      <c r="Y17" s="159"/>
    </row>
    <row r="18" spans="1:25" x14ac:dyDescent="0.25">
      <c r="A18" s="359" t="e">
        <f>PLANTILLA!#REF!</f>
        <v>#REF!</v>
      </c>
      <c r="B18" s="165" t="e">
        <f>PLANTILLA!#REF!</f>
        <v>#REF!</v>
      </c>
      <c r="C18" s="165" t="e">
        <f>PLANTILLA!#REF!</f>
        <v>#REF!</v>
      </c>
      <c r="D18" s="361" t="e">
        <f>PLANTILLA!#REF!</f>
        <v>#REF!</v>
      </c>
      <c r="E18" s="354" t="e">
        <f t="shared" ref="E18" si="25">D18</f>
        <v>#REF!</v>
      </c>
      <c r="F18" s="354" t="e">
        <f t="shared" ref="F18" si="26">E18+0.1</f>
        <v>#REF!</v>
      </c>
      <c r="G18" s="354" t="e">
        <f t="shared" ref="G18" si="27">C18</f>
        <v>#REF!</v>
      </c>
      <c r="H18" s="354" t="e">
        <f t="shared" ref="H18" si="28">G18+0.99</f>
        <v>#REF!</v>
      </c>
      <c r="I18" s="358" t="e">
        <f t="shared" ref="I18" si="29">G18*G18*E18</f>
        <v>#REF!</v>
      </c>
      <c r="J18" s="358" t="e">
        <f t="shared" ref="J18" si="30">H18*H18*F18</f>
        <v>#REF!</v>
      </c>
      <c r="K18" s="355"/>
      <c r="L18" s="184" t="s">
        <v>523</v>
      </c>
      <c r="O18" s="246" t="s">
        <v>524</v>
      </c>
      <c r="P18" s="265">
        <f>R3^2</f>
        <v>36</v>
      </c>
      <c r="Q18" s="265">
        <f>S3^2</f>
        <v>48.860100000000003</v>
      </c>
      <c r="R18" s="265"/>
      <c r="V18" s="179" t="s">
        <v>524</v>
      </c>
      <c r="W18" s="265">
        <f>Y3^2</f>
        <v>36</v>
      </c>
      <c r="X18" s="265">
        <f>Z3^2</f>
        <v>48.860100000000003</v>
      </c>
      <c r="Y18" s="265"/>
    </row>
    <row r="19" spans="1:25" x14ac:dyDescent="0.25">
      <c r="A19" s="359" t="str">
        <f>PLANTILLA!D20</f>
        <v>G. Kerschl</v>
      </c>
      <c r="B19" s="165">
        <f>PLANTILLA!E20</f>
        <v>30</v>
      </c>
      <c r="C19" s="165">
        <f>PLANTILLA!H20</f>
        <v>1</v>
      </c>
      <c r="D19" s="361">
        <f>PLANTILLA!I20</f>
        <v>10.3</v>
      </c>
      <c r="E19" s="354">
        <f t="shared" ref="E19" si="31">D19</f>
        <v>10.3</v>
      </c>
      <c r="F19" s="354">
        <f t="shared" ref="F19" si="32">E19+0.1</f>
        <v>10.4</v>
      </c>
      <c r="G19" s="354">
        <f t="shared" ref="G19" si="33">C19</f>
        <v>1</v>
      </c>
      <c r="H19" s="354">
        <f t="shared" ref="H19" si="34">G19+0.99</f>
        <v>1.99</v>
      </c>
      <c r="I19" s="358">
        <f t="shared" ref="I19" si="35">G19*G19*E19</f>
        <v>10.3</v>
      </c>
      <c r="J19" s="358">
        <f t="shared" ref="J19" si="36">H19*H19*F19</f>
        <v>41.185040000000001</v>
      </c>
      <c r="K19" s="355"/>
      <c r="L19" s="184" t="s">
        <v>525</v>
      </c>
      <c r="O19" s="246" t="s">
        <v>526</v>
      </c>
      <c r="P19" s="265">
        <f>P18*P3</f>
        <v>730.80000000000007</v>
      </c>
      <c r="Q19" s="265">
        <f>Q18*Q3</f>
        <v>996.74604000000011</v>
      </c>
      <c r="R19" s="265"/>
      <c r="V19" s="179" t="s">
        <v>526</v>
      </c>
      <c r="W19" s="265">
        <f>W18*W3</f>
        <v>730.80000000000007</v>
      </c>
      <c r="X19" s="265">
        <f>X18*X3</f>
        <v>996.74604000000011</v>
      </c>
      <c r="Y19" s="265"/>
    </row>
    <row r="20" spans="1:25" x14ac:dyDescent="0.25">
      <c r="A20" s="359" t="str">
        <f>PLANTILLA!D21</f>
        <v>J. Limon</v>
      </c>
      <c r="B20" s="165">
        <f>PLANTILLA!E21</f>
        <v>31</v>
      </c>
      <c r="C20" s="165">
        <f>PLANTILLA!H21</f>
        <v>3</v>
      </c>
      <c r="D20" s="361">
        <f>PLANTILLA!I21</f>
        <v>11.8</v>
      </c>
      <c r="E20" s="354">
        <f t="shared" si="4"/>
        <v>11.8</v>
      </c>
      <c r="F20" s="354">
        <f t="shared" si="5"/>
        <v>11.9</v>
      </c>
      <c r="G20" s="354">
        <f t="shared" si="6"/>
        <v>3</v>
      </c>
      <c r="H20" s="354">
        <f t="shared" si="7"/>
        <v>3.99</v>
      </c>
      <c r="I20" s="358">
        <f t="shared" si="8"/>
        <v>106.2</v>
      </c>
      <c r="J20" s="358">
        <f t="shared" si="9"/>
        <v>189.44919000000002</v>
      </c>
      <c r="K20" s="355"/>
      <c r="L20" s="184" t="s">
        <v>527</v>
      </c>
      <c r="O20" s="318" t="s">
        <v>872</v>
      </c>
      <c r="P20" s="159">
        <f>(P19^(2/3))/27</f>
        <v>3.0049362416213286</v>
      </c>
      <c r="Q20" s="159">
        <f>(Q19^(2/3))/27</f>
        <v>3.6956648709474922</v>
      </c>
      <c r="R20" s="159"/>
      <c r="V20" s="179" t="s">
        <v>528</v>
      </c>
      <c r="W20" s="159">
        <f>(W19^(2/3))/30</f>
        <v>2.7044426174591956</v>
      </c>
      <c r="X20" s="159">
        <f>(X19^(2/3))/30</f>
        <v>3.3260983838527429</v>
      </c>
      <c r="Y20" s="159"/>
    </row>
    <row r="21" spans="1:25" x14ac:dyDescent="0.25">
      <c r="A21" s="359" t="str">
        <f>PLANTILLA!D22</f>
        <v>L. Calosso</v>
      </c>
      <c r="B21" s="165">
        <f>PLANTILLA!E22</f>
        <v>32</v>
      </c>
      <c r="C21" s="165">
        <f>PLANTILLA!H22</f>
        <v>3</v>
      </c>
      <c r="D21" s="361">
        <f>PLANTILLA!I22</f>
        <v>12.1</v>
      </c>
      <c r="E21" s="354">
        <f t="shared" si="4"/>
        <v>12.1</v>
      </c>
      <c r="F21" s="354">
        <f t="shared" si="5"/>
        <v>12.2</v>
      </c>
      <c r="G21" s="354">
        <f t="shared" si="6"/>
        <v>3</v>
      </c>
      <c r="H21" s="354">
        <f t="shared" si="7"/>
        <v>3.99</v>
      </c>
      <c r="I21" s="358">
        <f t="shared" si="8"/>
        <v>108.89999999999999</v>
      </c>
      <c r="J21" s="358">
        <f t="shared" si="9"/>
        <v>194.22522000000001</v>
      </c>
      <c r="K21" s="355"/>
      <c r="L21" s="184" t="s">
        <v>529</v>
      </c>
      <c r="O21" s="179" t="s">
        <v>530</v>
      </c>
      <c r="P21" s="671">
        <f>P17+P20</f>
        <v>11.750390787075874</v>
      </c>
      <c r="Q21" s="671">
        <f>Q17+Q20</f>
        <v>12.507786083068705</v>
      </c>
      <c r="V21" s="179" t="s">
        <v>530</v>
      </c>
      <c r="W21" s="671">
        <f>W17+W20</f>
        <v>11.192677911576842</v>
      </c>
      <c r="X21" s="671">
        <f>X17+X20</f>
        <v>11.879039560323331</v>
      </c>
    </row>
    <row r="22" spans="1:25" x14ac:dyDescent="0.25">
      <c r="A22" s="359" t="str">
        <f>PLANTILLA!D23</f>
        <v>P .Trivadi</v>
      </c>
      <c r="B22" s="165">
        <f>PLANTILLA!E23</f>
        <v>28</v>
      </c>
      <c r="C22" s="165">
        <f>PLANTILLA!H23</f>
        <v>5</v>
      </c>
      <c r="D22" s="361">
        <f>PLANTILLA!I23</f>
        <v>5.8</v>
      </c>
      <c r="E22" s="354">
        <f t="shared" si="4"/>
        <v>5.8</v>
      </c>
      <c r="F22" s="354">
        <f t="shared" si="5"/>
        <v>5.8999999999999995</v>
      </c>
      <c r="G22" s="354">
        <f t="shared" si="6"/>
        <v>5</v>
      </c>
      <c r="H22" s="354">
        <f t="shared" si="7"/>
        <v>5.99</v>
      </c>
      <c r="I22" s="358">
        <f t="shared" si="8"/>
        <v>145</v>
      </c>
      <c r="J22" s="358">
        <f t="shared" si="9"/>
        <v>211.69259000000002</v>
      </c>
      <c r="K22" s="355"/>
      <c r="L22" t="s">
        <v>531</v>
      </c>
    </row>
    <row r="23" spans="1:25" x14ac:dyDescent="0.25">
      <c r="A23" s="359"/>
      <c r="B23" s="165"/>
      <c r="C23" s="165"/>
      <c r="D23" s="361"/>
      <c r="E23" s="354"/>
      <c r="F23" s="354"/>
      <c r="G23" s="354"/>
      <c r="H23" s="354"/>
      <c r="I23" s="358"/>
      <c r="J23" s="358"/>
      <c r="K23" s="355"/>
      <c r="O23" s="290">
        <v>42576</v>
      </c>
      <c r="P23">
        <v>6.76</v>
      </c>
      <c r="Q23">
        <v>6.99</v>
      </c>
      <c r="R23" t="s">
        <v>830</v>
      </c>
      <c r="W23" s="159"/>
    </row>
    <row r="24" spans="1:25" x14ac:dyDescent="0.25">
      <c r="A24" s="359"/>
      <c r="B24" s="165"/>
      <c r="C24" s="165"/>
      <c r="D24" s="361"/>
      <c r="E24" s="354"/>
      <c r="F24" s="354"/>
      <c r="G24" s="354"/>
      <c r="H24" s="354"/>
      <c r="I24" s="358"/>
      <c r="J24" s="358"/>
    </row>
    <row r="25" spans="1:25" x14ac:dyDescent="0.25">
      <c r="A25" s="359"/>
      <c r="B25" s="165"/>
      <c r="C25" s="165"/>
      <c r="D25" s="361"/>
      <c r="V25"/>
    </row>
    <row r="26" spans="1:25" x14ac:dyDescent="0.25">
      <c r="A26" s="359"/>
      <c r="B26" s="165"/>
      <c r="C26" s="165"/>
      <c r="D26" s="361"/>
      <c r="V26"/>
    </row>
    <row r="27" spans="1:25" x14ac:dyDescent="0.25">
      <c r="A27" s="359"/>
      <c r="B27" s="165"/>
      <c r="C27" s="165"/>
      <c r="D27" s="361"/>
      <c r="V27"/>
    </row>
    <row r="28" spans="1:25" x14ac:dyDescent="0.25">
      <c r="A28" s="359"/>
      <c r="B28" s="165"/>
      <c r="C28" s="165"/>
      <c r="D28" s="361"/>
    </row>
  </sheetData>
  <conditionalFormatting sqref="I3:J24">
    <cfRule type="cellIs" dxfId="363" priority="1" operator="between">
      <formula>70</formula>
      <formula>100</formula>
    </cfRule>
    <cfRule type="cellIs" dxfId="362" priority="2" operator="greaterThan">
      <formula>100</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5"/>
  <sheetViews>
    <sheetView workbookViewId="0">
      <selection activeCell="N17" sqref="N17"/>
    </sheetView>
  </sheetViews>
  <sheetFormatPr defaultColWidth="11.42578125" defaultRowHeight="15" x14ac:dyDescent="0.25"/>
  <cols>
    <col min="1" max="1" width="17.140625" bestFit="1" customWidth="1"/>
    <col min="2" max="3" width="17.7109375" bestFit="1" customWidth="1"/>
    <col min="4" max="4" width="22.42578125" bestFit="1" customWidth="1"/>
    <col min="5" max="5" width="5.5703125" bestFit="1" customWidth="1"/>
    <col min="6" max="6" width="4.5703125" bestFit="1" customWidth="1"/>
    <col min="7" max="7" width="3.7109375" bestFit="1" customWidth="1"/>
    <col min="8" max="8" width="4.5703125" bestFit="1" customWidth="1"/>
    <col min="9" max="9" width="5.28515625" bestFit="1" customWidth="1"/>
    <col min="10" max="10" width="5.85546875" bestFit="1" customWidth="1"/>
    <col min="11" max="11" width="6" bestFit="1" customWidth="1"/>
    <col min="12" max="12" width="5" bestFit="1" customWidth="1"/>
    <col min="13" max="13" width="13.42578125" style="417" bestFit="1" customWidth="1"/>
    <col min="14" max="14" width="21.5703125" style="417" bestFit="1" customWidth="1"/>
    <col min="15" max="15" width="14" style="466" bestFit="1" customWidth="1"/>
    <col min="16" max="16" width="13" style="417" bestFit="1" customWidth="1"/>
    <col min="17" max="17" width="10.42578125" style="417" bestFit="1" customWidth="1"/>
    <col min="18" max="18" width="10.28515625" style="417" bestFit="1" customWidth="1"/>
    <col min="19" max="19" width="21" style="417" bestFit="1" customWidth="1"/>
    <col min="20" max="20" width="12" style="417" bestFit="1" customWidth="1"/>
    <col min="21" max="21" width="16.85546875" style="417" bestFit="1" customWidth="1"/>
    <col min="22" max="22" width="16.7109375" bestFit="1" customWidth="1"/>
  </cols>
  <sheetData>
    <row r="1" spans="1:22" x14ac:dyDescent="0.25">
      <c r="A1" s="299" t="s">
        <v>413</v>
      </c>
      <c r="B1" s="299" t="s">
        <v>276</v>
      </c>
      <c r="C1" s="300" t="s">
        <v>455</v>
      </c>
      <c r="D1" s="301" t="s">
        <v>179</v>
      </c>
      <c r="E1" s="299" t="s">
        <v>180</v>
      </c>
      <c r="F1" s="299" t="s">
        <v>182</v>
      </c>
      <c r="G1" s="299" t="s">
        <v>183</v>
      </c>
      <c r="H1" s="299" t="s">
        <v>175</v>
      </c>
      <c r="I1" s="302" t="s">
        <v>291</v>
      </c>
      <c r="J1" s="302" t="s">
        <v>292</v>
      </c>
      <c r="K1" s="299" t="s">
        <v>181</v>
      </c>
      <c r="L1" s="299" t="s">
        <v>209</v>
      </c>
      <c r="M1" s="418" t="s">
        <v>594</v>
      </c>
      <c r="N1" s="418" t="s">
        <v>595</v>
      </c>
      <c r="O1" s="418" t="s">
        <v>662</v>
      </c>
      <c r="P1" s="418" t="s">
        <v>592</v>
      </c>
      <c r="Q1" s="418" t="s">
        <v>598</v>
      </c>
      <c r="R1" s="418" t="s">
        <v>599</v>
      </c>
      <c r="S1" s="418" t="s">
        <v>593</v>
      </c>
      <c r="T1" s="418" t="s">
        <v>537</v>
      </c>
      <c r="U1" s="418" t="s">
        <v>596</v>
      </c>
      <c r="V1" s="418" t="s">
        <v>597</v>
      </c>
    </row>
    <row r="2" spans="1:22" x14ac:dyDescent="0.25">
      <c r="A2" s="298"/>
      <c r="B2" s="298" t="s">
        <v>435</v>
      </c>
      <c r="C2" s="298"/>
      <c r="D2" s="294" t="s">
        <v>388</v>
      </c>
      <c r="E2" s="210">
        <v>42</v>
      </c>
      <c r="F2" s="262" t="s">
        <v>502</v>
      </c>
      <c r="G2" s="371">
        <v>3</v>
      </c>
      <c r="H2" s="214">
        <v>16.004000000000001</v>
      </c>
      <c r="I2" s="303">
        <f>(G2)*(G2)*(H2)</f>
        <v>144.036</v>
      </c>
      <c r="J2" s="303">
        <f>(G2+1)*(G2+1)*H2</f>
        <v>256.06400000000002</v>
      </c>
      <c r="K2" s="295">
        <v>0</v>
      </c>
      <c r="L2" s="295">
        <v>300</v>
      </c>
      <c r="M2" s="419">
        <v>41576</v>
      </c>
      <c r="N2" s="419">
        <v>41731</v>
      </c>
      <c r="O2" s="419">
        <v>42305</v>
      </c>
      <c r="P2" s="228">
        <v>772000</v>
      </c>
      <c r="Q2" s="228">
        <f>((N2-M2)/7)*L2</f>
        <v>6642.8571428571431</v>
      </c>
      <c r="R2" s="228">
        <f ca="1">((TODAY()-N2)/7)*L2</f>
        <v>66728.57142857142</v>
      </c>
      <c r="S2" s="228">
        <v>2068800</v>
      </c>
      <c r="T2" s="228">
        <f ca="1">S2+Q2+P2+R2</f>
        <v>2914171.4285714286</v>
      </c>
      <c r="U2" s="233">
        <f ca="1">T2/((O2-N2)/112)</f>
        <v>568618.8153310105</v>
      </c>
      <c r="V2" s="163">
        <f>(O2-N2)/112</f>
        <v>5.125</v>
      </c>
    </row>
    <row r="3" spans="1:22" x14ac:dyDescent="0.25">
      <c r="A3" s="299" t="s">
        <v>413</v>
      </c>
      <c r="B3" s="299" t="s">
        <v>276</v>
      </c>
      <c r="C3" s="300" t="s">
        <v>455</v>
      </c>
      <c r="D3" s="301" t="s">
        <v>179</v>
      </c>
      <c r="E3" s="299" t="s">
        <v>180</v>
      </c>
      <c r="F3" s="299" t="s">
        <v>182</v>
      </c>
      <c r="G3" s="299" t="s">
        <v>183</v>
      </c>
      <c r="H3" s="299" t="s">
        <v>175</v>
      </c>
      <c r="I3" s="302" t="s">
        <v>291</v>
      </c>
      <c r="J3" s="302" t="s">
        <v>292</v>
      </c>
      <c r="K3" s="299" t="s">
        <v>181</v>
      </c>
      <c r="L3" s="299" t="s">
        <v>209</v>
      </c>
      <c r="M3" s="418" t="s">
        <v>594</v>
      </c>
      <c r="N3" s="418" t="s">
        <v>595</v>
      </c>
      <c r="O3" s="418" t="s">
        <v>662</v>
      </c>
      <c r="P3" s="418" t="s">
        <v>592</v>
      </c>
      <c r="Q3" s="418" t="s">
        <v>598</v>
      </c>
      <c r="R3" s="418" t="s">
        <v>599</v>
      </c>
      <c r="S3" s="418" t="s">
        <v>593</v>
      </c>
      <c r="T3" s="418" t="s">
        <v>537</v>
      </c>
      <c r="U3" s="418" t="s">
        <v>596</v>
      </c>
      <c r="V3" s="418" t="s">
        <v>597</v>
      </c>
    </row>
    <row r="4" spans="1:22" x14ac:dyDescent="0.25">
      <c r="A4" s="298"/>
      <c r="B4" s="298" t="s">
        <v>435</v>
      </c>
      <c r="C4" s="298"/>
      <c r="D4" s="294" t="s">
        <v>542</v>
      </c>
      <c r="E4" s="210">
        <v>44</v>
      </c>
      <c r="F4" s="262" t="s">
        <v>502</v>
      </c>
      <c r="G4" s="371">
        <v>5</v>
      </c>
      <c r="H4" s="214">
        <v>16.109000000000002</v>
      </c>
      <c r="I4" s="303">
        <f t="shared" ref="I4" si="0">(G4)*(G4)*(H4)</f>
        <v>402.72500000000002</v>
      </c>
      <c r="J4" s="303">
        <f t="shared" ref="J4" si="1">(G4+1)*(G4+1)*H4</f>
        <v>579.92400000000009</v>
      </c>
      <c r="K4" s="295">
        <v>0</v>
      </c>
      <c r="L4" s="295">
        <v>300</v>
      </c>
      <c r="M4" s="419">
        <v>41976</v>
      </c>
      <c r="N4" s="419">
        <v>42305</v>
      </c>
      <c r="O4" s="419">
        <v>42908</v>
      </c>
      <c r="P4" s="228">
        <v>1052640</v>
      </c>
      <c r="Q4" s="228">
        <f>((N4-M4)/7)*L4</f>
        <v>14100</v>
      </c>
      <c r="R4" s="228">
        <f ca="1">((TODAY()-N4)/7)*L4</f>
        <v>42128.571428571428</v>
      </c>
      <c r="S4" s="228">
        <v>2059800</v>
      </c>
      <c r="T4" s="228">
        <f>S4+Q4+P4</f>
        <v>3126540</v>
      </c>
      <c r="U4" s="233">
        <f>T4/((O4-N4)/112)</f>
        <v>580717.21393034828</v>
      </c>
      <c r="V4" s="163">
        <f ca="1">(A7-N4)/112</f>
        <v>8.7767857142857135</v>
      </c>
    </row>
    <row r="5" spans="1:22" x14ac:dyDescent="0.25">
      <c r="M5" s="466"/>
      <c r="N5" s="466"/>
      <c r="O5" s="620"/>
      <c r="P5" s="466"/>
      <c r="Q5" s="466"/>
      <c r="R5" s="466"/>
      <c r="S5" s="466"/>
      <c r="T5" s="466"/>
      <c r="U5" s="466"/>
    </row>
    <row r="6" spans="1:22" x14ac:dyDescent="0.25">
      <c r="M6" s="466"/>
      <c r="N6" s="466"/>
      <c r="P6" s="466"/>
      <c r="Q6" s="466"/>
      <c r="R6" s="466"/>
      <c r="S6" s="466"/>
      <c r="T6" s="466"/>
      <c r="U6" s="466"/>
    </row>
    <row r="7" spans="1:22" x14ac:dyDescent="0.25">
      <c r="A7" s="177">
        <f ca="1">TODAY()</f>
        <v>43288</v>
      </c>
    </row>
    <row r="8" spans="1:22" x14ac:dyDescent="0.25">
      <c r="A8" s="177">
        <v>41757</v>
      </c>
    </row>
    <row r="9" spans="1:22" x14ac:dyDescent="0.25">
      <c r="A9" s="179">
        <f ca="1">A7-A8</f>
        <v>1531</v>
      </c>
    </row>
    <row r="10" spans="1:22" x14ac:dyDescent="0.25">
      <c r="A10" s="416">
        <f ca="1">A9/112</f>
        <v>13.669642857142858</v>
      </c>
    </row>
    <row r="12" spans="1:22" x14ac:dyDescent="0.25">
      <c r="A12" s="299" t="s">
        <v>413</v>
      </c>
      <c r="B12" s="299" t="s">
        <v>276</v>
      </c>
      <c r="C12" s="300" t="s">
        <v>455</v>
      </c>
      <c r="D12" s="301" t="s">
        <v>179</v>
      </c>
      <c r="E12" s="299" t="s">
        <v>180</v>
      </c>
      <c r="F12" s="299" t="s">
        <v>182</v>
      </c>
      <c r="G12" s="299" t="s">
        <v>183</v>
      </c>
      <c r="H12" s="299" t="s">
        <v>175</v>
      </c>
      <c r="I12" s="302" t="s">
        <v>291</v>
      </c>
      <c r="J12" s="302" t="s">
        <v>292</v>
      </c>
      <c r="K12" s="299" t="s">
        <v>181</v>
      </c>
      <c r="L12" s="299" t="s">
        <v>209</v>
      </c>
      <c r="M12" s="418" t="s">
        <v>594</v>
      </c>
      <c r="N12" s="418" t="s">
        <v>595</v>
      </c>
      <c r="O12" s="418" t="s">
        <v>662</v>
      </c>
      <c r="P12" s="418" t="s">
        <v>592</v>
      </c>
      <c r="Q12" s="418" t="s">
        <v>598</v>
      </c>
      <c r="R12" s="418" t="s">
        <v>599</v>
      </c>
      <c r="S12" s="418" t="s">
        <v>593</v>
      </c>
      <c r="T12" s="418" t="s">
        <v>537</v>
      </c>
      <c r="U12" s="418" t="s">
        <v>596</v>
      </c>
      <c r="V12" s="418" t="s">
        <v>597</v>
      </c>
    </row>
    <row r="13" spans="1:22" x14ac:dyDescent="0.25">
      <c r="D13" s="294" t="s">
        <v>844</v>
      </c>
      <c r="E13" s="210">
        <v>39</v>
      </c>
      <c r="F13" s="262"/>
      <c r="G13" s="371">
        <v>6</v>
      </c>
      <c r="H13" s="214">
        <v>13</v>
      </c>
      <c r="I13" s="303">
        <f t="shared" ref="I13" si="2">(G13)*(G13)*(H13)</f>
        <v>468</v>
      </c>
      <c r="J13" s="303">
        <f t="shared" ref="J13" si="3">(G13+1)*(G13+1)*H13</f>
        <v>637</v>
      </c>
      <c r="K13" s="295">
        <v>1130</v>
      </c>
      <c r="L13" s="295">
        <v>864</v>
      </c>
      <c r="M13" s="419">
        <v>42628</v>
      </c>
      <c r="N13" s="419">
        <f>O4</f>
        <v>42908</v>
      </c>
      <c r="O13" s="419">
        <f ca="1">TODAY()</f>
        <v>43288</v>
      </c>
      <c r="P13" s="622">
        <v>1800000</v>
      </c>
      <c r="Q13" s="228">
        <v>372</v>
      </c>
      <c r="R13" s="228">
        <f t="shared" ref="R13" ca="1" si="4">((TODAY()-N13)/7)*L13</f>
        <v>46902.857142857145</v>
      </c>
      <c r="S13" s="622">
        <v>2553000</v>
      </c>
      <c r="T13" s="228">
        <f t="shared" ref="T13" si="5">S13+Q13+P13</f>
        <v>4353372</v>
      </c>
      <c r="U13" s="233">
        <f t="shared" ref="U13" ca="1" si="6">T13/((O13-N13)/112)</f>
        <v>1283099.1157894738</v>
      </c>
      <c r="V13" s="163">
        <v>7</v>
      </c>
    </row>
    <row r="16" spans="1:22" x14ac:dyDescent="0.25">
      <c r="N16" s="681"/>
    </row>
    <row r="17" spans="1:22" ht="18" x14ac:dyDescent="0.25">
      <c r="A17" s="607">
        <v>42908</v>
      </c>
      <c r="B17" s="290"/>
      <c r="C17">
        <v>112</v>
      </c>
      <c r="D17">
        <v>0</v>
      </c>
    </row>
    <row r="18" spans="1:22" x14ac:dyDescent="0.25">
      <c r="A18" s="290">
        <f ca="1">TODAY()</f>
        <v>43288</v>
      </c>
      <c r="B18" s="290"/>
      <c r="C18">
        <v>400</v>
      </c>
      <c r="D18">
        <v>1</v>
      </c>
    </row>
    <row r="19" spans="1:22" x14ac:dyDescent="0.25">
      <c r="A19">
        <f ca="1">A18-A17</f>
        <v>380</v>
      </c>
      <c r="C19">
        <f>C18-C17</f>
        <v>288</v>
      </c>
      <c r="D19" s="608">
        <f ca="1">(A19-C17)/C19</f>
        <v>0.93055555555555558</v>
      </c>
    </row>
    <row r="20" spans="1:22" x14ac:dyDescent="0.25">
      <c r="D20" t="s">
        <v>865</v>
      </c>
    </row>
    <row r="24" spans="1:22" x14ac:dyDescent="0.25">
      <c r="A24" s="299" t="s">
        <v>413</v>
      </c>
      <c r="B24" s="299" t="s">
        <v>276</v>
      </c>
      <c r="C24" s="300" t="s">
        <v>455</v>
      </c>
      <c r="D24" s="301" t="s">
        <v>179</v>
      </c>
      <c r="E24" s="299" t="s">
        <v>180</v>
      </c>
      <c r="F24" s="299" t="s">
        <v>182</v>
      </c>
      <c r="G24" s="299" t="s">
        <v>183</v>
      </c>
      <c r="H24" s="299" t="s">
        <v>175</v>
      </c>
      <c r="I24" s="302" t="s">
        <v>291</v>
      </c>
      <c r="J24" s="302" t="s">
        <v>292</v>
      </c>
      <c r="K24" s="299" t="s">
        <v>181</v>
      </c>
      <c r="L24" s="299" t="s">
        <v>209</v>
      </c>
      <c r="M24" s="418" t="s">
        <v>594</v>
      </c>
      <c r="N24" s="418" t="s">
        <v>595</v>
      </c>
      <c r="O24" s="418" t="s">
        <v>662</v>
      </c>
      <c r="P24" s="418" t="s">
        <v>592</v>
      </c>
      <c r="Q24" s="418" t="s">
        <v>598</v>
      </c>
      <c r="R24" s="418" t="s">
        <v>599</v>
      </c>
      <c r="S24" s="418" t="s">
        <v>593</v>
      </c>
      <c r="T24" s="418" t="s">
        <v>537</v>
      </c>
      <c r="U24" s="418" t="s">
        <v>596</v>
      </c>
      <c r="V24" s="418" t="s">
        <v>597</v>
      </c>
    </row>
    <row r="28" spans="1:22" ht="19.5" x14ac:dyDescent="0.25">
      <c r="A28" s="695" t="s">
        <v>326</v>
      </c>
      <c r="B28" s="695"/>
      <c r="C28" s="695"/>
      <c r="D28" s="695"/>
    </row>
    <row r="29" spans="1:22" x14ac:dyDescent="0.25">
      <c r="A29" s="696" t="s">
        <v>257</v>
      </c>
      <c r="B29" s="697" t="s">
        <v>327</v>
      </c>
      <c r="C29" s="697" t="s">
        <v>328</v>
      </c>
      <c r="D29" s="697" t="s">
        <v>329</v>
      </c>
    </row>
    <row r="30" spans="1:22" x14ac:dyDescent="0.25">
      <c r="A30" s="696"/>
      <c r="B30" s="697"/>
      <c r="C30" s="697"/>
      <c r="D30" s="697"/>
    </row>
    <row r="31" spans="1:22" ht="21" x14ac:dyDescent="0.25">
      <c r="A31" s="229" t="s">
        <v>327</v>
      </c>
      <c r="B31" s="230" t="s">
        <v>330</v>
      </c>
      <c r="C31" s="230" t="s">
        <v>331</v>
      </c>
      <c r="D31" s="230" t="s">
        <v>331</v>
      </c>
    </row>
    <row r="32" spans="1:22" ht="21" x14ac:dyDescent="0.25">
      <c r="A32" s="621" t="s">
        <v>328</v>
      </c>
      <c r="B32" s="232" t="s">
        <v>332</v>
      </c>
      <c r="C32" s="232" t="s">
        <v>333</v>
      </c>
      <c r="D32" s="232" t="s">
        <v>331</v>
      </c>
    </row>
    <row r="33" spans="1:4" ht="21" x14ac:dyDescent="0.25">
      <c r="A33" s="229" t="s">
        <v>329</v>
      </c>
      <c r="B33" s="230" t="s">
        <v>334</v>
      </c>
      <c r="C33" s="230" t="s">
        <v>335</v>
      </c>
      <c r="D33" s="230" t="s">
        <v>336</v>
      </c>
    </row>
    <row r="34" spans="1:4" ht="21" x14ac:dyDescent="0.25">
      <c r="A34" s="621" t="s">
        <v>337</v>
      </c>
      <c r="B34" s="232" t="s">
        <v>338</v>
      </c>
      <c r="C34" s="232" t="s">
        <v>339</v>
      </c>
      <c r="D34" s="232" t="s">
        <v>340</v>
      </c>
    </row>
    <row r="35" spans="1:4" ht="21" x14ac:dyDescent="0.25">
      <c r="A35" s="229" t="s">
        <v>341</v>
      </c>
      <c r="B35" s="230" t="s">
        <v>342</v>
      </c>
      <c r="C35" s="230" t="s">
        <v>343</v>
      </c>
      <c r="D35" s="230" t="s">
        <v>344</v>
      </c>
    </row>
    <row r="36" spans="1:4" ht="21" x14ac:dyDescent="0.25">
      <c r="A36" s="621" t="s">
        <v>345</v>
      </c>
      <c r="B36" s="232" t="s">
        <v>346</v>
      </c>
      <c r="C36" s="232" t="s">
        <v>347</v>
      </c>
      <c r="D36" s="232" t="s">
        <v>348</v>
      </c>
    </row>
    <row r="37" spans="1:4" ht="21" x14ac:dyDescent="0.25">
      <c r="A37" s="229" t="s">
        <v>349</v>
      </c>
      <c r="B37" s="230" t="s">
        <v>350</v>
      </c>
      <c r="C37" s="230" t="s">
        <v>351</v>
      </c>
      <c r="D37" s="230" t="s">
        <v>352</v>
      </c>
    </row>
    <row r="38" spans="1:4" ht="21" x14ac:dyDescent="0.25">
      <c r="A38" s="621" t="s">
        <v>353</v>
      </c>
      <c r="B38" s="232" t="s">
        <v>354</v>
      </c>
      <c r="C38" s="232" t="s">
        <v>355</v>
      </c>
      <c r="D38" s="232" t="s">
        <v>356</v>
      </c>
    </row>
    <row r="39" spans="1:4" ht="21" x14ac:dyDescent="0.25">
      <c r="A39" s="229" t="s">
        <v>357</v>
      </c>
      <c r="B39" s="230" t="s">
        <v>358</v>
      </c>
      <c r="C39" s="230" t="s">
        <v>359</v>
      </c>
      <c r="D39" s="230" t="s">
        <v>360</v>
      </c>
    </row>
    <row r="40" spans="1:4" ht="21" x14ac:dyDescent="0.25">
      <c r="A40" s="621" t="s">
        <v>361</v>
      </c>
      <c r="B40" s="232" t="s">
        <v>362</v>
      </c>
      <c r="C40" s="232" t="s">
        <v>363</v>
      </c>
      <c r="D40" s="232" t="s">
        <v>364</v>
      </c>
    </row>
    <row r="41" spans="1:4" ht="21" x14ac:dyDescent="0.25">
      <c r="A41" s="229" t="s">
        <v>365</v>
      </c>
      <c r="B41" s="230" t="s">
        <v>366</v>
      </c>
      <c r="C41" s="230" t="s">
        <v>367</v>
      </c>
      <c r="D41" s="230" t="s">
        <v>368</v>
      </c>
    </row>
    <row r="42" spans="1:4" ht="21" x14ac:dyDescent="0.25">
      <c r="A42" s="621" t="s">
        <v>369</v>
      </c>
      <c r="B42" s="232" t="s">
        <v>370</v>
      </c>
      <c r="C42" s="232" t="s">
        <v>371</v>
      </c>
      <c r="D42" s="232" t="s">
        <v>372</v>
      </c>
    </row>
    <row r="43" spans="1:4" ht="21" x14ac:dyDescent="0.25">
      <c r="A43" s="229" t="s">
        <v>373</v>
      </c>
      <c r="B43" s="230" t="s">
        <v>374</v>
      </c>
      <c r="C43" s="230" t="s">
        <v>375</v>
      </c>
      <c r="D43" s="230" t="s">
        <v>376</v>
      </c>
    </row>
    <row r="44" spans="1:4" ht="21" x14ac:dyDescent="0.25">
      <c r="A44" s="621" t="s">
        <v>377</v>
      </c>
      <c r="B44" s="232" t="s">
        <v>378</v>
      </c>
      <c r="C44" s="232" t="s">
        <v>379</v>
      </c>
      <c r="D44" s="232" t="s">
        <v>380</v>
      </c>
    </row>
    <row r="45" spans="1:4" ht="21" x14ac:dyDescent="0.25">
      <c r="A45" s="229" t="s">
        <v>381</v>
      </c>
      <c r="B45" s="230" t="s">
        <v>382</v>
      </c>
      <c r="C45" s="230" t="s">
        <v>383</v>
      </c>
      <c r="D45" s="230" t="s">
        <v>384</v>
      </c>
    </row>
  </sheetData>
  <mergeCells count="5">
    <mergeCell ref="A28:D28"/>
    <mergeCell ref="A29:A30"/>
    <mergeCell ref="B29:B30"/>
    <mergeCell ref="C29:C30"/>
    <mergeCell ref="D29:D30"/>
  </mergeCells>
  <conditionalFormatting sqref="C4">
    <cfRule type="colorScale" priority="32">
      <colorScale>
        <cfvo type="min"/>
        <cfvo type="max"/>
        <color rgb="FFFFEF9C"/>
        <color rgb="FF63BE7B"/>
      </colorScale>
    </cfRule>
  </conditionalFormatting>
  <conditionalFormatting sqref="L4">
    <cfRule type="dataBar" priority="34">
      <dataBar>
        <cfvo type="min"/>
        <cfvo type="max"/>
        <color rgb="FFFF555A"/>
      </dataBar>
    </cfRule>
  </conditionalFormatting>
  <conditionalFormatting sqref="K4">
    <cfRule type="dataBar" priority="35">
      <dataBar>
        <cfvo type="min"/>
        <cfvo type="max"/>
        <color rgb="FF63C384"/>
      </dataBar>
    </cfRule>
  </conditionalFormatting>
  <conditionalFormatting sqref="C2">
    <cfRule type="colorScale" priority="151">
      <colorScale>
        <cfvo type="min"/>
        <cfvo type="max"/>
        <color rgb="FFFFEF9C"/>
        <color rgb="FF63BE7B"/>
      </colorScale>
    </cfRule>
  </conditionalFormatting>
  <conditionalFormatting sqref="L2">
    <cfRule type="dataBar" priority="153">
      <dataBar>
        <cfvo type="min"/>
        <cfvo type="max"/>
        <color rgb="FFFF555A"/>
      </dataBar>
    </cfRule>
  </conditionalFormatting>
  <conditionalFormatting sqref="K2">
    <cfRule type="dataBar" priority="154">
      <dataBar>
        <cfvo type="min"/>
        <cfvo type="max"/>
        <color rgb="FF63C384"/>
      </dataBar>
    </cfRule>
  </conditionalFormatting>
  <conditionalFormatting sqref="M2:O2">
    <cfRule type="colorScale" priority="157">
      <colorScale>
        <cfvo type="min"/>
        <cfvo type="max"/>
        <color rgb="FFFFEF9C"/>
        <color rgb="FFFF7128"/>
      </colorScale>
    </cfRule>
  </conditionalFormatting>
  <conditionalFormatting sqref="M4:O4">
    <cfRule type="colorScale" priority="30">
      <colorScale>
        <cfvo type="min"/>
        <cfvo type="max"/>
        <color rgb="FFFFEF9C"/>
        <color rgb="FFFF7128"/>
      </colorScale>
    </cfRule>
  </conditionalFormatting>
  <conditionalFormatting sqref="L13">
    <cfRule type="dataBar" priority="1312">
      <dataBar>
        <cfvo type="min"/>
        <cfvo type="max"/>
        <color rgb="FFFF555A"/>
      </dataBar>
    </cfRule>
  </conditionalFormatting>
  <conditionalFormatting sqref="K13">
    <cfRule type="dataBar" priority="1313">
      <dataBar>
        <cfvo type="min"/>
        <cfvo type="max"/>
        <color rgb="FF63C384"/>
      </dataBar>
    </cfRule>
  </conditionalFormatting>
  <conditionalFormatting sqref="M13:O13">
    <cfRule type="colorScale" priority="1314">
      <colorScale>
        <cfvo type="min"/>
        <cfvo type="max"/>
        <color rgb="FFFFEF9C"/>
        <color rgb="FFFF7128"/>
      </colorScale>
    </cfRule>
  </conditionalFormatting>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AT37"/>
  <sheetViews>
    <sheetView tabSelected="1" zoomScaleNormal="100" workbookViewId="0">
      <pane xSplit="30" ySplit="4" topLeftCell="AE5" activePane="bottomRight" state="frozen"/>
      <selection pane="topRight" activeCell="T1" sqref="T1"/>
      <selection pane="bottomLeft" activeCell="A4" sqref="A4"/>
      <selection pane="bottomRight" activeCell="E12" sqref="E12"/>
    </sheetView>
  </sheetViews>
  <sheetFormatPr defaultColWidth="11.42578125" defaultRowHeight="15" x14ac:dyDescent="0.25"/>
  <cols>
    <col min="1" max="1" width="4.7109375" bestFit="1" customWidth="1"/>
    <col min="2" max="2" width="5.42578125" bestFit="1" customWidth="1"/>
    <col min="3" max="3" width="5" style="218" bestFit="1" customWidth="1"/>
    <col min="4" max="4" width="13.7109375" style="179" bestFit="1" customWidth="1"/>
    <col min="5" max="5" width="5.5703125" bestFit="1" customWidth="1"/>
    <col min="6" max="6" width="5" bestFit="1" customWidth="1"/>
    <col min="7" max="7" width="4.5703125" style="217" bestFit="1" customWidth="1"/>
    <col min="8" max="8" width="3.7109375" style="4" bestFit="1" customWidth="1"/>
    <col min="9" max="10" width="4.5703125" bestFit="1" customWidth="1"/>
    <col min="11" max="11" width="4.7109375" style="284" bestFit="1" customWidth="1"/>
    <col min="12" max="12" width="4.7109375" bestFit="1" customWidth="1"/>
    <col min="13" max="13" width="4.28515625" style="284" bestFit="1" customWidth="1"/>
    <col min="14" max="14" width="5" style="444" bestFit="1" customWidth="1"/>
    <col min="15" max="15" width="10.42578125" style="673" bestFit="1" customWidth="1"/>
    <col min="16" max="16" width="4.5703125" style="673" bestFit="1" customWidth="1"/>
    <col min="17" max="17" width="4.140625" style="415" bestFit="1" customWidth="1"/>
    <col min="18" max="19" width="5.7109375" style="487" bestFit="1" customWidth="1"/>
    <col min="20" max="20" width="12" bestFit="1" customWidth="1"/>
    <col min="21" max="21" width="10.5703125" bestFit="1" customWidth="1"/>
    <col min="22" max="22" width="10.42578125" style="156" bestFit="1" customWidth="1"/>
    <col min="23" max="23" width="7.5703125" style="156" bestFit="1" customWidth="1"/>
    <col min="24" max="24" width="6.140625" style="156" bestFit="1" customWidth="1"/>
    <col min="25" max="28" width="6.140625" bestFit="1" customWidth="1"/>
    <col min="29" max="29" width="5.5703125" bestFit="1" customWidth="1"/>
    <col min="30" max="30" width="6.140625" bestFit="1" customWidth="1"/>
    <col min="31" max="31" width="8.5703125" style="156" bestFit="1" customWidth="1"/>
    <col min="32" max="32" width="6.28515625" bestFit="1" customWidth="1"/>
    <col min="33" max="33" width="6.85546875" bestFit="1" customWidth="1"/>
    <col min="34" max="34" width="6.5703125" style="156" bestFit="1" customWidth="1"/>
    <col min="35" max="35" width="7.5703125" style="156" bestFit="1" customWidth="1"/>
    <col min="36" max="36" width="7.5703125" bestFit="1" customWidth="1"/>
    <col min="37" max="38" width="6.5703125" style="156" bestFit="1" customWidth="1"/>
    <col min="39" max="40" width="7" style="156" bestFit="1" customWidth="1"/>
    <col min="41" max="41" width="4.140625" bestFit="1" customWidth="1"/>
    <col min="42" max="42" width="4.28515625" bestFit="1" customWidth="1"/>
    <col min="43" max="43" width="5.28515625" bestFit="1" customWidth="1"/>
  </cols>
  <sheetData>
    <row r="1" spans="1:46" s="249" customFormat="1" x14ac:dyDescent="0.25">
      <c r="C1" s="630">
        <f ca="1">AVERAGE(C5,C8,C9,C10,C11,C12,C13,C14,C15,C16,C17,C18,C19,C21,C23)</f>
        <v>2.3178571428571431</v>
      </c>
      <c r="D1" s="345">
        <f ca="1">TODAY()</f>
        <v>43288</v>
      </c>
      <c r="E1" s="688">
        <v>41471</v>
      </c>
      <c r="F1" s="688"/>
      <c r="G1" s="688"/>
      <c r="H1" s="251"/>
      <c r="I1" s="251"/>
      <c r="J1" s="251"/>
      <c r="K1" s="252"/>
      <c r="L1" s="251"/>
      <c r="M1" s="252"/>
      <c r="N1" s="252"/>
      <c r="O1" s="252"/>
      <c r="P1" s="252"/>
      <c r="Q1" s="630"/>
      <c r="R1" s="252"/>
      <c r="S1" s="252"/>
      <c r="T1" s="251"/>
      <c r="U1" s="251"/>
      <c r="V1" s="251"/>
      <c r="W1" s="251"/>
      <c r="X1" s="310"/>
      <c r="Y1" s="251"/>
      <c r="Z1" s="251"/>
      <c r="AA1" s="251"/>
      <c r="AB1" s="251"/>
      <c r="AC1" s="251"/>
      <c r="AD1" s="251"/>
      <c r="AE1" s="310"/>
      <c r="AH1" s="310"/>
      <c r="AI1" s="310"/>
      <c r="AJ1" s="251"/>
      <c r="AK1" s="310"/>
      <c r="AL1" s="310"/>
      <c r="AM1" s="310"/>
      <c r="AN1" s="310"/>
      <c r="AO1" s="251"/>
      <c r="AP1" s="251"/>
      <c r="AQ1" s="251"/>
    </row>
    <row r="2" spans="1:46" s="3" customFormat="1" x14ac:dyDescent="0.25">
      <c r="A2" s="3">
        <v>16</v>
      </c>
      <c r="B2" s="285"/>
      <c r="C2" s="286"/>
      <c r="D2" s="314"/>
      <c r="E2" s="297"/>
      <c r="F2" s="297"/>
      <c r="I2" s="347">
        <f>AVERAGE(I5:I23)</f>
        <v>10.926315789473685</v>
      </c>
      <c r="J2" s="297"/>
      <c r="K2" s="297"/>
      <c r="M2" s="347">
        <f>AVERAGE(M5:M23)</f>
        <v>7.0210526315789465</v>
      </c>
      <c r="N2" s="297"/>
      <c r="O2" s="297"/>
      <c r="P2" s="297"/>
      <c r="Q2" s="347">
        <f>AVERAGE(Q5:Q23)</f>
        <v>5.2105263157894735</v>
      </c>
      <c r="R2" s="501">
        <f>AVERAGE(R5:R23)</f>
        <v>0.8557466430613303</v>
      </c>
      <c r="S2" s="501">
        <f>AVERAGE(S5:S23)</f>
        <v>0.93241962665416644</v>
      </c>
      <c r="T2" s="348">
        <f>AVERAGE(T5:T23)</f>
        <v>89107.894736842107</v>
      </c>
      <c r="U2" s="348"/>
      <c r="V2" s="348">
        <f>AVERAGE(V5:V23)</f>
        <v>13640.736842105263</v>
      </c>
      <c r="W2" s="293"/>
      <c r="X2" s="346">
        <f>(X5+X6)/2</f>
        <v>13.308333333333334</v>
      </c>
      <c r="Y2" s="346">
        <f>AVERAGE(Y5:Y11)</f>
        <v>11.601794205794208</v>
      </c>
      <c r="Z2" s="346">
        <f>AVERAGE(Z12:Z19)</f>
        <v>12.653428306878306</v>
      </c>
      <c r="AA2" s="346">
        <f>AVERAGE(AA12:AA14)</f>
        <v>13.01611111111111</v>
      </c>
      <c r="AB2" s="346">
        <f>AVERAGE(AB6:AB23)</f>
        <v>9.9318209876543211</v>
      </c>
      <c r="AC2" s="346">
        <f>AVERAGE(AC21:AC23)</f>
        <v>8.9656666666666691</v>
      </c>
      <c r="AD2" s="346">
        <f>AVERAGE(AD5:AD23)</f>
        <v>15.099356725146196</v>
      </c>
      <c r="AE2" s="293"/>
      <c r="AH2" s="293"/>
      <c r="AI2" s="293"/>
      <c r="AJ2" s="293"/>
      <c r="AK2" s="293"/>
      <c r="AL2" s="293"/>
      <c r="AM2" s="293"/>
      <c r="AN2" s="293"/>
    </row>
    <row r="3" spans="1:46" s="253" customFormat="1" x14ac:dyDescent="0.25">
      <c r="A3" s="298"/>
      <c r="B3" s="298" t="s">
        <v>849</v>
      </c>
      <c r="C3" s="298"/>
      <c r="D3" s="294" t="s">
        <v>844</v>
      </c>
      <c r="E3" s="210">
        <v>41</v>
      </c>
      <c r="F3" s="211">
        <v>101</v>
      </c>
      <c r="G3" s="262"/>
      <c r="H3" s="371">
        <v>6</v>
      </c>
      <c r="I3" s="214">
        <v>13.2</v>
      </c>
      <c r="J3" s="214"/>
      <c r="K3" s="303">
        <f>(H3)*(H3)*(I3)</f>
        <v>475.2</v>
      </c>
      <c r="L3" s="303">
        <f>(H3+1)*(H3+1)*I3</f>
        <v>646.79999999999995</v>
      </c>
      <c r="M3" s="262">
        <v>2</v>
      </c>
      <c r="N3" s="262"/>
      <c r="O3" s="262"/>
      <c r="P3" s="262"/>
      <c r="Q3" s="262"/>
      <c r="R3" s="623"/>
      <c r="S3" s="623"/>
      <c r="T3" s="295">
        <v>110</v>
      </c>
      <c r="U3" s="262"/>
      <c r="V3" s="295">
        <v>324</v>
      </c>
      <c r="W3" s="316"/>
      <c r="X3" s="307">
        <v>0</v>
      </c>
      <c r="Y3" s="214">
        <v>7</v>
      </c>
      <c r="Z3" s="213">
        <v>0</v>
      </c>
      <c r="AA3" s="214">
        <v>0</v>
      </c>
      <c r="AB3" s="213">
        <v>2</v>
      </c>
      <c r="AC3" s="214">
        <v>0</v>
      </c>
      <c r="AD3" s="213">
        <v>6</v>
      </c>
      <c r="AE3" s="324"/>
      <c r="AH3" s="324"/>
      <c r="AI3" s="324"/>
      <c r="AJ3" s="324"/>
      <c r="AK3" s="324"/>
      <c r="AL3" s="324"/>
      <c r="AM3" s="324"/>
      <c r="AN3" s="324"/>
      <c r="AO3" s="262"/>
      <c r="AP3" s="262"/>
      <c r="AQ3" s="262"/>
    </row>
    <row r="4" spans="1:46" x14ac:dyDescent="0.25">
      <c r="A4" s="299" t="s">
        <v>413</v>
      </c>
      <c r="B4" s="299" t="s">
        <v>276</v>
      </c>
      <c r="C4" s="300" t="s">
        <v>642</v>
      </c>
      <c r="D4" s="301" t="s">
        <v>179</v>
      </c>
      <c r="E4" s="299" t="s">
        <v>180</v>
      </c>
      <c r="F4" s="299" t="s">
        <v>62</v>
      </c>
      <c r="G4" s="299" t="s">
        <v>182</v>
      </c>
      <c r="H4" s="299" t="s">
        <v>183</v>
      </c>
      <c r="I4" s="299" t="s">
        <v>175</v>
      </c>
      <c r="J4" s="299" t="s">
        <v>705</v>
      </c>
      <c r="K4" s="302" t="s">
        <v>643</v>
      </c>
      <c r="L4" s="302" t="s">
        <v>644</v>
      </c>
      <c r="M4" s="299" t="s">
        <v>184</v>
      </c>
      <c r="N4" s="299" t="s">
        <v>615</v>
      </c>
      <c r="O4" s="299" t="s">
        <v>874</v>
      </c>
      <c r="P4" s="299" t="s">
        <v>695</v>
      </c>
      <c r="Q4" s="299" t="s">
        <v>590</v>
      </c>
      <c r="R4" s="490" t="s">
        <v>693</v>
      </c>
      <c r="S4" s="490" t="s">
        <v>694</v>
      </c>
      <c r="T4" s="299" t="s">
        <v>181</v>
      </c>
      <c r="U4" s="299" t="s">
        <v>604</v>
      </c>
      <c r="V4" s="299" t="s">
        <v>209</v>
      </c>
      <c r="W4" s="299" t="s">
        <v>453</v>
      </c>
      <c r="X4" s="299" t="s">
        <v>297</v>
      </c>
      <c r="Y4" s="299" t="s">
        <v>185</v>
      </c>
      <c r="Z4" s="299" t="s">
        <v>186</v>
      </c>
      <c r="AA4" s="299" t="s">
        <v>187</v>
      </c>
      <c r="AB4" s="299" t="s">
        <v>188</v>
      </c>
      <c r="AC4" s="299" t="s">
        <v>189</v>
      </c>
      <c r="AD4" s="299" t="s">
        <v>182</v>
      </c>
      <c r="AE4" s="299" t="s">
        <v>479</v>
      </c>
      <c r="AF4" s="344" t="s">
        <v>817</v>
      </c>
      <c r="AG4" s="344" t="s">
        <v>818</v>
      </c>
      <c r="AH4" s="344" t="s">
        <v>827</v>
      </c>
      <c r="AI4" s="344" t="s">
        <v>828</v>
      </c>
      <c r="AJ4" s="344" t="s">
        <v>509</v>
      </c>
      <c r="AK4" s="344" t="s">
        <v>510</v>
      </c>
      <c r="AL4" s="344" t="s">
        <v>511</v>
      </c>
      <c r="AM4" s="344" t="s">
        <v>588</v>
      </c>
      <c r="AN4" s="344" t="s">
        <v>589</v>
      </c>
      <c r="AO4" s="299" t="s">
        <v>799</v>
      </c>
      <c r="AP4" s="299" t="s">
        <v>800</v>
      </c>
      <c r="AQ4" s="299" t="s">
        <v>801</v>
      </c>
      <c r="AR4" s="418" t="s">
        <v>852</v>
      </c>
    </row>
    <row r="5" spans="1:46" x14ac:dyDescent="0.25">
      <c r="A5" s="384" t="s">
        <v>403</v>
      </c>
      <c r="B5" s="384" t="s">
        <v>1</v>
      </c>
      <c r="C5" s="385">
        <f ca="1">((34*112)-(E5*112)-(F5))/112</f>
        <v>2.125</v>
      </c>
      <c r="D5" s="657" t="s">
        <v>782</v>
      </c>
      <c r="E5" s="387">
        <v>31</v>
      </c>
      <c r="F5" s="394">
        <f ca="1">-42406+$D$1-112-112-112-112-112-112-112</f>
        <v>98</v>
      </c>
      <c r="G5" s="388"/>
      <c r="H5" s="402">
        <v>6</v>
      </c>
      <c r="I5" s="308">
        <v>20.3</v>
      </c>
      <c r="J5" s="486">
        <f>LOG(I5+1)*4/3</f>
        <v>1.7711728045849837</v>
      </c>
      <c r="K5" s="303">
        <f t="shared" ref="K5" si="0">(H5)*(H5)*(I5)</f>
        <v>730.80000000000007</v>
      </c>
      <c r="L5" s="303">
        <f t="shared" ref="L5" si="1">(H5+1)*(H5+1)*I5</f>
        <v>994.7</v>
      </c>
      <c r="M5" s="389">
        <v>7.2</v>
      </c>
      <c r="N5" s="445">
        <f>M5*10+19</f>
        <v>91</v>
      </c>
      <c r="O5" s="677">
        <v>42468</v>
      </c>
      <c r="P5" s="678">
        <f ca="1">IF((TODAY()-O5)&gt;335,1,((TODAY()-O5)^0.64)/(336^0.64))</f>
        <v>1</v>
      </c>
      <c r="Q5" s="445">
        <v>5</v>
      </c>
      <c r="R5" s="500">
        <f>(Q5/7)^0.5</f>
        <v>0.84515425472851657</v>
      </c>
      <c r="S5" s="500">
        <f>IF(Q5=7,1,((Q5+0.99)/7)^0.5)</f>
        <v>0.92504826128926143</v>
      </c>
      <c r="T5" s="324">
        <v>77200</v>
      </c>
      <c r="U5" s="626">
        <f t="shared" ref="U5:U23" si="2">T5-AR5</f>
        <v>-11080</v>
      </c>
      <c r="V5" s="324">
        <v>34932</v>
      </c>
      <c r="W5" s="316">
        <f t="shared" ref="W5:W24" si="3">T5/V5</f>
        <v>2.2100080155731137</v>
      </c>
      <c r="X5" s="485">
        <f>16+12/18</f>
        <v>16.666666666666668</v>
      </c>
      <c r="Y5" s="486">
        <f>10.53+0.11+0.11+0.11+0.11+0.11+1/11+1/11*0.16+1/11+1/11+1/11+1/11+1/11+1/11+1/11+1/11+1/11+1/13</f>
        <v>12.080559440559444</v>
      </c>
      <c r="Z5" s="485">
        <f>2+0.01+0.01+0.01+0.01+0.01+0.01+0.01</f>
        <v>2.0699999999999985</v>
      </c>
      <c r="AA5" s="486">
        <f>1.94+0.03+0.03+0.03+0.03+0.03+0.03+0.02+0.01</f>
        <v>2.149999999999999</v>
      </c>
      <c r="AB5" s="485">
        <f>0.6+0.04+0.04+0.04+0.04+0.04+0.04+0.03+0.03+0.02+0.02+0.02+0.02+0.02+0.02+0.01+0.01</f>
        <v>1.0400000000000003</v>
      </c>
      <c r="AC5" s="486">
        <f>0+0.05+0.05*37/90+0.04+0.02+0.01</f>
        <v>0.14055555555555557</v>
      </c>
      <c r="AD5" s="485">
        <f>18+0.2</f>
        <v>18.2</v>
      </c>
      <c r="AE5" s="324">
        <v>1503</v>
      </c>
      <c r="AF5" s="603">
        <f ca="1">(Z5+P5+J5)*(Q5/7)^0.5</f>
        <v>4.0915377936709829</v>
      </c>
      <c r="AG5" s="603">
        <f ca="1">(Z5+P5+J5)*(IF(Q5=7, (Q5/7)^0.5, ((Q5+1)/7)^0.5))</f>
        <v>4.482055088957031</v>
      </c>
      <c r="AH5" s="316">
        <f ca="1">(((Y5+P5+J5)+(AB5+P5+J5)*2)/8)*(Q5/7)^0.5</f>
        <v>2.3742578149592175</v>
      </c>
      <c r="AI5" s="316">
        <f ca="1">(1.66*(AC5+J5+P5)+0.55*(AD5+J5+P5)-7.6)*(Q5/7)^0.5</f>
        <v>7.4099863776358816</v>
      </c>
      <c r="AJ5" s="316">
        <f ca="1">((AD5+J5+P5)*0.7+(AC5+J5+P5)*0.3)*(Q5/7)^0.5</f>
        <v>13.144971029365308</v>
      </c>
      <c r="AK5" s="316">
        <f ca="1">(0.5*(AC5+P5+J5)+ 0.3*(AD5+P5+J5))/10</f>
        <v>0.77472160214457653</v>
      </c>
      <c r="AL5" s="316">
        <f ca="1">(0.4*(Y5+P5+J5)+0.3*(AD5+P5+J5))/10</f>
        <v>1.2232044739433268</v>
      </c>
      <c r="AM5" s="311">
        <f ca="1">(AD5+P5+(LOG(I5)*4/3))*(Q5/7)^0.5</f>
        <v>17.700342810098224</v>
      </c>
      <c r="AN5" s="311">
        <f ca="1">(AD5+P5+(LOG(I5)*4/3))*(IF(Q5=7, (Q5/7)^0.5, ((Q5+1)/7)^0.5))</f>
        <v>19.389754065330354</v>
      </c>
      <c r="AO5" s="445">
        <v>2</v>
      </c>
      <c r="AP5" s="445">
        <v>2</v>
      </c>
      <c r="AQ5" s="590">
        <f>IF(AO5=4,IF(AP5=0,0.137+0.0697,0.137+0.02),IF(AO5=3,IF(AP5=0,0.0958+0.0697,0.0958+0.02),IF(AO5=2,IF(AP5=0,0.0415+0.0697,0.0415+0.02),IF(AO5=1,IF(AP5=0,0.0294+0.0697,0.0294+0.02),IF(AO5=0,IF(AP5=0,0.0063+0.0697,0.0063+0.02))))))</f>
        <v>6.1499999999999999E-2</v>
      </c>
      <c r="AR5" s="324">
        <v>88280</v>
      </c>
      <c r="AS5">
        <v>97220</v>
      </c>
      <c r="AT5" s="390">
        <f>AS5-T5</f>
        <v>20020</v>
      </c>
    </row>
    <row r="6" spans="1:46" s="263" customFormat="1" x14ac:dyDescent="0.25">
      <c r="A6" s="384" t="s">
        <v>484</v>
      </c>
      <c r="B6" s="384" t="s">
        <v>1</v>
      </c>
      <c r="C6" s="385">
        <f t="shared" ref="C6:C23" ca="1" si="4">((34*112)-(E6*112)-(F6))/112</f>
        <v>-1.9553571428571428</v>
      </c>
      <c r="D6" s="657" t="s">
        <v>267</v>
      </c>
      <c r="E6" s="387">
        <v>35</v>
      </c>
      <c r="F6" s="394">
        <f ca="1">82-41471+$D$1-112-112-112-112-112-112-112-112-112-112-112-112-112-112-112-112</f>
        <v>107</v>
      </c>
      <c r="G6" s="388" t="s">
        <v>502</v>
      </c>
      <c r="H6" s="371">
        <v>3</v>
      </c>
      <c r="I6" s="308">
        <v>8.1999999999999993</v>
      </c>
      <c r="J6" s="486">
        <f t="shared" ref="J6:J23" si="5">LOG(I6+1)*4/3</f>
        <v>1.2850504364607402</v>
      </c>
      <c r="K6" s="303">
        <f t="shared" ref="K6:K23" si="6">(H6)*(H6)*(I6)</f>
        <v>73.8</v>
      </c>
      <c r="L6" s="303">
        <f t="shared" ref="L6:L23" si="7">(H6+1)*(H6+1)*I6</f>
        <v>131.19999999999999</v>
      </c>
      <c r="M6" s="389">
        <v>5.7</v>
      </c>
      <c r="N6" s="445">
        <f t="shared" ref="N6:N23" si="8">M6*10+19</f>
        <v>76</v>
      </c>
      <c r="O6" s="445" t="s">
        <v>557</v>
      </c>
      <c r="P6" s="678">
        <v>1.5</v>
      </c>
      <c r="Q6" s="445">
        <v>4</v>
      </c>
      <c r="R6" s="500">
        <f t="shared" ref="R6:R23" si="9">(Q6/7)^0.5</f>
        <v>0.7559289460184544</v>
      </c>
      <c r="S6" s="500">
        <f t="shared" ref="S6:S23" si="10">IF(Q6=7,1,((Q6+0.99)/7)^0.5)</f>
        <v>0.84430867747355465</v>
      </c>
      <c r="T6" s="324">
        <v>830</v>
      </c>
      <c r="U6" s="626">
        <f t="shared" si="2"/>
        <v>200</v>
      </c>
      <c r="V6" s="324">
        <v>1950</v>
      </c>
      <c r="W6" s="316">
        <f t="shared" si="3"/>
        <v>0.42564102564102563</v>
      </c>
      <c r="X6" s="485">
        <v>9.9499999999999993</v>
      </c>
      <c r="Y6" s="486">
        <v>9.9499999999999993</v>
      </c>
      <c r="Z6" s="485">
        <v>3.99</v>
      </c>
      <c r="AA6" s="486">
        <v>4.95</v>
      </c>
      <c r="AB6" s="485">
        <v>5.95</v>
      </c>
      <c r="AC6" s="486">
        <v>2.95</v>
      </c>
      <c r="AD6" s="485">
        <f>11.8+0.67+0.5*1.25+0.35+0.35+0.35+0.35*8/90+0.35*80/90+0.35+0.35*75/90+0.35+0.3</f>
        <v>15.778888888888888</v>
      </c>
      <c r="AE6" s="324">
        <v>923</v>
      </c>
      <c r="AF6" s="603">
        <f t="shared" ref="AF6:AF23" si="11">(Z6+P6+J6)*(Q6/7)^0.5</f>
        <v>5.1214567356556371</v>
      </c>
      <c r="AG6" s="603">
        <f t="shared" ref="AG6:AG23" si="12">(Z6+P6+J6)*(IF(Q6=7, (Q6/7)^0.5, ((Q6+1)/7)^0.5))</f>
        <v>5.7259627023750879</v>
      </c>
      <c r="AH6" s="316">
        <f t="shared" ref="AH6:AH23" si="13">(((Y6+P6+J6)+(AB6+P6+J6)*2)/8)*(Q6/7)^0.5</f>
        <v>2.8541185242036549</v>
      </c>
      <c r="AI6" s="316">
        <f t="shared" ref="AI6:AI23" si="14">(1.66*(AC6+J6+P6)+0.55*(AD6+J6+P6)-7.6)*(Q6/7)^0.5</f>
        <v>9.1696829575309895</v>
      </c>
      <c r="AJ6" s="316">
        <f t="shared" ref="AJ6:AJ23" si="15">((AD6+J6+P6)*0.7+(AC6+J6+P6)*0.3)*(Q6/7)^0.5</f>
        <v>11.123700551252391</v>
      </c>
      <c r="AK6" s="316">
        <f t="shared" ref="AK6:AK23" si="16">(0.5*(AC6+P6+J6)+ 0.3*(AD6+P6+J6))/10</f>
        <v>0.84367070158352564</v>
      </c>
      <c r="AL6" s="316">
        <f t="shared" ref="AL6:AL23" si="17">(0.4*(Y6+P6+J6)+0.3*(AD6+P6+J6))/10</f>
        <v>1.0663201972189182</v>
      </c>
      <c r="AM6" s="311">
        <f t="shared" ref="AM6:AM23" si="18">(AD6+P6+(LOG(I6)*4/3))*(Q6/7)^0.5</f>
        <v>13.982650055867074</v>
      </c>
      <c r="AN6" s="311">
        <f t="shared" ref="AN6:AN23" si="19">(AD6+P6+(LOG(I6)*4/3))*(IF(Q6=7, (Q6/7)^0.5, ((Q6+1)/7)^0.5))</f>
        <v>15.633078015255006</v>
      </c>
      <c r="AO6" s="445">
        <v>4</v>
      </c>
      <c r="AP6" s="445">
        <v>3</v>
      </c>
      <c r="AQ6" s="590">
        <f t="shared" ref="AQ6:AQ23" si="20">IF(AO6=4,IF(AP6=0,0.137+0.0697,0.137+0.02),IF(AO6=3,IF(AP6=0,0.0958+0.0697,0.0958+0.02),IF(AO6=2,IF(AP6=0,0.0415+0.0697,0.0415+0.02),IF(AO6=1,IF(AP6=0,0.0294+0.0697,0.0294+0.02),IF(AO6=0,IF(AP6=0,0.0063+0.0697,0.0063+0.02))))))</f>
        <v>0.157</v>
      </c>
      <c r="AR6" s="324">
        <v>630</v>
      </c>
      <c r="AS6" s="263">
        <v>1600</v>
      </c>
      <c r="AT6" s="390">
        <f t="shared" ref="AT6:AT22" si="21">AS6-T6</f>
        <v>770</v>
      </c>
    </row>
    <row r="7" spans="1:46" s="248" customFormat="1" x14ac:dyDescent="0.25">
      <c r="A7" s="384" t="s">
        <v>582</v>
      </c>
      <c r="B7" s="384" t="s">
        <v>2</v>
      </c>
      <c r="C7" s="385">
        <f t="shared" ca="1" si="4"/>
        <v>2.0178571428571428</v>
      </c>
      <c r="D7" s="657" t="s">
        <v>856</v>
      </c>
      <c r="E7" s="387">
        <v>31</v>
      </c>
      <c r="F7" s="394">
        <f ca="1">82-41471+$D$1-112-112-112-112-112-112-112-112-112-112-112+3-112-112-112-112-112</f>
        <v>110</v>
      </c>
      <c r="G7" s="388" t="s">
        <v>502</v>
      </c>
      <c r="H7" s="393">
        <v>2</v>
      </c>
      <c r="I7" s="308">
        <v>16</v>
      </c>
      <c r="J7" s="486">
        <f t="shared" si="5"/>
        <v>1.6405985618376986</v>
      </c>
      <c r="K7" s="303">
        <f>(H7)*(H7)*(I7)</f>
        <v>64</v>
      </c>
      <c r="L7" s="303">
        <f>(H7+1)*(H7+1)*I7</f>
        <v>144</v>
      </c>
      <c r="M7" s="389">
        <v>7.2</v>
      </c>
      <c r="N7" s="445">
        <f>M7*10+19</f>
        <v>91</v>
      </c>
      <c r="O7" s="677">
        <v>42716</v>
      </c>
      <c r="P7" s="678">
        <f ca="1">IF((TODAY()-O7)&gt;335,1,((TODAY()-O7)^0.64)/(336^0.64))</f>
        <v>1</v>
      </c>
      <c r="Q7" s="445">
        <v>6</v>
      </c>
      <c r="R7" s="500">
        <f>(Q7/7)^0.5</f>
        <v>0.92582009977255142</v>
      </c>
      <c r="S7" s="500">
        <f>IF(Q7=7,1,((Q7+0.99)/7)^0.5)</f>
        <v>0.99928545900129484</v>
      </c>
      <c r="T7" s="324">
        <v>195060</v>
      </c>
      <c r="U7" s="626">
        <f t="shared" si="2"/>
        <v>-10890</v>
      </c>
      <c r="V7" s="324">
        <v>26496</v>
      </c>
      <c r="W7" s="316">
        <f>T7/V7</f>
        <v>7.3618659420289854</v>
      </c>
      <c r="X7" s="485">
        <v>0</v>
      </c>
      <c r="Y7" s="486">
        <f>14+1/20+1/20+1/20+1/20+1/20+1/20</f>
        <v>14.300000000000004</v>
      </c>
      <c r="Z7" s="485">
        <f>9+1/9*0.5+1/9*0.16+0.1*0.5+0.1*0.5+0.1*0.5+0.01+0.1*0.5+0.1*0.16+0.01+0.01+0.1*0.5+0.01</f>
        <v>9.3793333333333351</v>
      </c>
      <c r="AA7" s="486">
        <f>14+1/12*0.5+1/12*0.5+1/12*0.5+1/12*0.5+1/12*0.5+1/12*0.5+1/12*0.5+1/12*0.5</f>
        <v>14.333333333333329</v>
      </c>
      <c r="AB7" s="485">
        <f>8.45+0.15+0.15+0.02+0.12+0.12+0.11+0.01+0.08+0.07+0.07+0.07</f>
        <v>9.4199999999999982</v>
      </c>
      <c r="AC7" s="486">
        <f>1+1/7</f>
        <v>1.1428571428571428</v>
      </c>
      <c r="AD7" s="485">
        <v>11</v>
      </c>
      <c r="AE7" s="324">
        <v>1927</v>
      </c>
      <c r="AF7" s="603">
        <f t="shared" ca="1" si="11"/>
        <v>11.12829454644652</v>
      </c>
      <c r="AG7" s="603">
        <f t="shared" ca="1" si="12"/>
        <v>12.019931895171034</v>
      </c>
      <c r="AH7" s="316">
        <f t="shared" ca="1" si="13"/>
        <v>4.7519794723002322</v>
      </c>
      <c r="AI7" s="316">
        <f t="shared" ca="1" si="14"/>
        <v>5.7242213196307619</v>
      </c>
      <c r="AJ7" s="316">
        <f t="shared" ca="1" si="15"/>
        <v>9.8909580264362109</v>
      </c>
      <c r="AK7" s="316">
        <f t="shared" ca="1" si="16"/>
        <v>0.59839074208987308</v>
      </c>
      <c r="AL7" s="316">
        <f t="shared" ca="1" si="17"/>
        <v>1.0868418993286391</v>
      </c>
      <c r="AM7" s="311">
        <f t="shared" ca="1" si="18"/>
        <v>12.596239173911458</v>
      </c>
      <c r="AN7" s="311">
        <f t="shared" ca="1" si="19"/>
        <v>13.605493310207899</v>
      </c>
      <c r="AO7" s="445">
        <v>1</v>
      </c>
      <c r="AP7" s="445">
        <v>2</v>
      </c>
      <c r="AQ7" s="590">
        <f>IF(AO7=4,IF(AP7=0,0.137+0.0697,0.137+0.02),IF(AO7=3,IF(AP7=0,0.0958+0.0697,0.0958+0.02),IF(AO7=2,IF(AP7=0,0.0415+0.0697,0.0415+0.02),IF(AO7=1,IF(AP7=0,0.0294+0.0697,0.0294+0.02),IF(AO7=0,IF(AP7=0,0.0063+0.0697,0.0063+0.02))))))</f>
        <v>4.9399999999999999E-2</v>
      </c>
      <c r="AR7" s="324">
        <v>205950</v>
      </c>
      <c r="AS7" s="248">
        <v>254010</v>
      </c>
      <c r="AT7" s="390">
        <f t="shared" si="21"/>
        <v>58950</v>
      </c>
    </row>
    <row r="8" spans="1:46" s="254" customFormat="1" x14ac:dyDescent="0.25">
      <c r="A8" s="305" t="s">
        <v>412</v>
      </c>
      <c r="B8" s="260" t="s">
        <v>2</v>
      </c>
      <c r="C8" s="385">
        <f t="shared" ca="1" si="4"/>
        <v>0.6160714285714286</v>
      </c>
      <c r="D8" s="658" t="s">
        <v>275</v>
      </c>
      <c r="E8" s="210">
        <v>33</v>
      </c>
      <c r="F8" s="211">
        <f ca="1">18-41471+$D$1-112-112-112-112-112-112-112-112-112-112-112-112-112-112-112-112</f>
        <v>43</v>
      </c>
      <c r="G8" s="262" t="s">
        <v>502</v>
      </c>
      <c r="H8" s="393">
        <v>4</v>
      </c>
      <c r="I8" s="214">
        <v>8.4</v>
      </c>
      <c r="J8" s="486">
        <f t="shared" si="5"/>
        <v>1.2975038047995981</v>
      </c>
      <c r="K8" s="303">
        <f t="shared" si="6"/>
        <v>134.4</v>
      </c>
      <c r="L8" s="303">
        <f t="shared" si="7"/>
        <v>210</v>
      </c>
      <c r="M8" s="296">
        <v>6.5</v>
      </c>
      <c r="N8" s="445">
        <f t="shared" si="8"/>
        <v>84</v>
      </c>
      <c r="O8" s="445" t="s">
        <v>557</v>
      </c>
      <c r="P8" s="678">
        <v>1.5</v>
      </c>
      <c r="Q8" s="446">
        <v>6</v>
      </c>
      <c r="R8" s="500">
        <f t="shared" si="9"/>
        <v>0.92582009977255142</v>
      </c>
      <c r="S8" s="500">
        <f t="shared" si="10"/>
        <v>0.99928545900129484</v>
      </c>
      <c r="T8" s="627">
        <v>7430</v>
      </c>
      <c r="U8" s="626">
        <f t="shared" si="2"/>
        <v>-2040</v>
      </c>
      <c r="V8" s="627">
        <v>2480</v>
      </c>
      <c r="W8" s="316">
        <f t="shared" si="3"/>
        <v>2.995967741935484</v>
      </c>
      <c r="X8" s="485">
        <v>0</v>
      </c>
      <c r="Y8" s="486">
        <f>11+1/15*0.16+1/15</f>
        <v>11.077333333333334</v>
      </c>
      <c r="Z8" s="485">
        <f>4.61+0.04+0.04+0.04+0.04+0.25+0.14+0.13+0.13+0.12+0.12+0.12+0.04*55/90+0.025+0.13+0.02+0.02+0.02+0.02+0.02+0.01+0.01+0.01+0.12*0.5+0.01+0.02+0.01+0.01+0.01+0.01</f>
        <v>6.2194444444444406</v>
      </c>
      <c r="AA8" s="486">
        <v>5.95</v>
      </c>
      <c r="AB8" s="485">
        <f>3.88+0.33+(0.33/3)+(0.33/3)+0.31+0.31+0.04+0.3+0.28+0.28+0.28+0.25+0.25+0.2+0.15+0.15+0.02+0.12+0.12+0.11+0.11*35/90+0.08</f>
        <v>7.7227777777777789</v>
      </c>
      <c r="AC8" s="486">
        <f>3.82+0.06+0.06+0.06+0.06*80/90+0.06+0.05+0.05+0.05+0.02+0.2*0.5-0.39</f>
        <v>3.9933333333333318</v>
      </c>
      <c r="AD8" s="485">
        <f>8.7+0.75+0.75+0.75+0.6+0.5+0.5+0.45*10/90+0.35+0.35+0.35+0.35+0.35+0.3+0.25+0.25+0.2+0.2*17/90+0.2</f>
        <v>15.587777777777776</v>
      </c>
      <c r="AE8" s="324">
        <v>1102</v>
      </c>
      <c r="AF8" s="603">
        <f t="shared" si="11"/>
        <v>8.3480719277590474</v>
      </c>
      <c r="AG8" s="603">
        <f t="shared" si="12"/>
        <v>9.016948249244038</v>
      </c>
      <c r="AH8" s="316">
        <f t="shared" si="13"/>
        <v>4.0406724240485472</v>
      </c>
      <c r="AI8" s="316">
        <f t="shared" si="14"/>
        <v>12.762147255579663</v>
      </c>
      <c r="AJ8" s="316">
        <f t="shared" si="15"/>
        <v>13.801152315419376</v>
      </c>
      <c r="AK8" s="316">
        <f t="shared" si="16"/>
        <v>0.89110030438396759</v>
      </c>
      <c r="AL8" s="316">
        <f t="shared" si="17"/>
        <v>1.1065519330026383</v>
      </c>
      <c r="AM8" s="311">
        <f t="shared" si="18"/>
        <v>16.961163248232758</v>
      </c>
      <c r="AN8" s="311">
        <f t="shared" si="19"/>
        <v>18.320150159193616</v>
      </c>
      <c r="AO8" s="446">
        <v>2</v>
      </c>
      <c r="AP8" s="446">
        <v>3</v>
      </c>
      <c r="AQ8" s="590">
        <f t="shared" si="20"/>
        <v>6.1499999999999999E-2</v>
      </c>
      <c r="AR8" s="627">
        <v>9470</v>
      </c>
      <c r="AS8" s="254">
        <v>13970</v>
      </c>
      <c r="AT8" s="390">
        <f t="shared" si="21"/>
        <v>6540</v>
      </c>
    </row>
    <row r="9" spans="1:46" s="246" customFormat="1" x14ac:dyDescent="0.25">
      <c r="A9" s="384" t="s">
        <v>504</v>
      </c>
      <c r="B9" s="384" t="s">
        <v>2</v>
      </c>
      <c r="C9" s="385">
        <f t="shared" ca="1" si="4"/>
        <v>1.0267857142857142</v>
      </c>
      <c r="D9" s="657" t="s">
        <v>269</v>
      </c>
      <c r="E9" s="387">
        <v>32</v>
      </c>
      <c r="F9" s="394">
        <f ca="1">84-41471+$D$1-112-112-112-112-112-112-112-112-112-112-112-112-112-112-112-112</f>
        <v>109</v>
      </c>
      <c r="G9" s="388"/>
      <c r="H9" s="393">
        <v>4</v>
      </c>
      <c r="I9" s="308">
        <v>14.3</v>
      </c>
      <c r="J9" s="486">
        <f t="shared" si="5"/>
        <v>1.5795885744234652</v>
      </c>
      <c r="K9" s="303">
        <f t="shared" si="6"/>
        <v>228.8</v>
      </c>
      <c r="L9" s="303">
        <f t="shared" si="7"/>
        <v>357.5</v>
      </c>
      <c r="M9" s="389">
        <v>7</v>
      </c>
      <c r="N9" s="445">
        <f t="shared" si="8"/>
        <v>89</v>
      </c>
      <c r="O9" s="445" t="s">
        <v>557</v>
      </c>
      <c r="P9" s="678">
        <v>1.5</v>
      </c>
      <c r="Q9" s="445">
        <v>5</v>
      </c>
      <c r="R9" s="500">
        <f t="shared" si="9"/>
        <v>0.84515425472851657</v>
      </c>
      <c r="S9" s="500">
        <f t="shared" si="10"/>
        <v>0.92504826128926143</v>
      </c>
      <c r="T9" s="324">
        <v>89300</v>
      </c>
      <c r="U9" s="626">
        <f t="shared" si="2"/>
        <v>-8510</v>
      </c>
      <c r="V9" s="324">
        <v>13300</v>
      </c>
      <c r="W9" s="316">
        <f t="shared" si="3"/>
        <v>6.7142857142857144</v>
      </c>
      <c r="X9" s="485">
        <v>0</v>
      </c>
      <c r="Y9" s="486">
        <f>9.9+0.14+0.14+0.14+0.14+0.13+0.13+0.13+0.12+0.12+0.09+0.09+0.09+0.09+0.08+0.08+0.08+0.08+0.08+0.07+0.07+0.07+0.07+0.07</f>
        <v>12.200000000000005</v>
      </c>
      <c r="Z9" s="485">
        <f>10.72+0.15+0.15+0.15+0.14+0.14+0.11+0.11+0.11+0.11+0.11+0.11+0.11+0.11*0.5+0.11*0.5+0.11*0.5+0.1+0.1*0.5+0.1*0.5+0.1*0.5+0.1*0.16+0.09+0.08+0.08+0.08*0.5+0.08+1/18+0.08*0.5+0.08*0.5+0.07+0.07*0.5</f>
        <v>13.261555555555553</v>
      </c>
      <c r="AA9" s="486">
        <f>8.8+0.14+0.14+0.14+0.13+0.12*0.5+0.12*0.5+0.12*0.5+0.12*0.5+0.12*0.5+0.12*0.5+0.11+0.11*0.5</f>
        <v>9.8750000000000053</v>
      </c>
      <c r="AB9" s="485">
        <f>4.57+0.36+0.36+0.36+0.36+0.25+0.25+0.25+0.25+0.25+0.25+0.25+0.25+0.2+0.2+0.15+0.15+0.14+0.12+0.12+0.11+0.11+0.08+0.07+0.07+0.07</f>
        <v>9.6</v>
      </c>
      <c r="AC9" s="486">
        <f>3+0.07+0.07+0.07+0.07+0.07+0.05+0.05+0.05+0.2*48/90+0.15*0.5</f>
        <v>3.6816666666666658</v>
      </c>
      <c r="AD9" s="485">
        <f>10.7+0.5+0.5*77/90+0.5+0.45+0.45+0.4+0.35+0.35+0.3+0.35+0.3+0.3+0.3+0.25+0.25+0.2+0.2+0.2+0.2+0.2</f>
        <v>17.177777777777774</v>
      </c>
      <c r="AE9" s="324">
        <v>1889</v>
      </c>
      <c r="AF9" s="603">
        <f t="shared" si="11"/>
        <v>13.81078748858369</v>
      </c>
      <c r="AG9" s="603">
        <f t="shared" si="12"/>
        <v>15.128959688814817</v>
      </c>
      <c r="AH9" s="316">
        <f t="shared" si="13"/>
        <v>4.293253219742172</v>
      </c>
      <c r="AI9" s="316">
        <f t="shared" si="14"/>
        <v>12.478901346208975</v>
      </c>
      <c r="AJ9" s="316">
        <f t="shared" si="15"/>
        <v>13.698710643803857</v>
      </c>
      <c r="AK9" s="316">
        <f t="shared" si="16"/>
        <v>0.94578375262054382</v>
      </c>
      <c r="AL9" s="316">
        <f t="shared" si="17"/>
        <v>1.218904533542976</v>
      </c>
      <c r="AM9" s="311">
        <f t="shared" si="18"/>
        <v>17.087519581368998</v>
      </c>
      <c r="AN9" s="311">
        <f t="shared" si="19"/>
        <v>18.718439853054065</v>
      </c>
      <c r="AO9" s="445">
        <v>2</v>
      </c>
      <c r="AP9" s="445">
        <v>3</v>
      </c>
      <c r="AQ9" s="590">
        <f t="shared" si="20"/>
        <v>6.1499999999999999E-2</v>
      </c>
      <c r="AR9" s="324">
        <v>97810</v>
      </c>
      <c r="AS9" s="246">
        <v>125810</v>
      </c>
      <c r="AT9" s="390">
        <f t="shared" si="21"/>
        <v>36510</v>
      </c>
    </row>
    <row r="10" spans="1:46" s="247" customFormat="1" x14ac:dyDescent="0.25">
      <c r="A10" s="384" t="s">
        <v>405</v>
      </c>
      <c r="B10" s="260" t="s">
        <v>2</v>
      </c>
      <c r="C10" s="385">
        <f t="shared" ca="1" si="4"/>
        <v>1.1607142857142858</v>
      </c>
      <c r="D10" s="658" t="s">
        <v>273</v>
      </c>
      <c r="E10" s="210">
        <v>32</v>
      </c>
      <c r="F10" s="211">
        <f ca="1">69-41471+$D$1-112-112-112-112-112-112-112-112-112-112-112-112-112-112-112-112</f>
        <v>94</v>
      </c>
      <c r="G10" s="262"/>
      <c r="H10" s="371">
        <v>3</v>
      </c>
      <c r="I10" s="214">
        <v>10.4</v>
      </c>
      <c r="J10" s="486">
        <f t="shared" si="5"/>
        <v>1.4092064684486303</v>
      </c>
      <c r="K10" s="303">
        <f t="shared" si="6"/>
        <v>93.600000000000009</v>
      </c>
      <c r="L10" s="303">
        <f t="shared" si="7"/>
        <v>166.4</v>
      </c>
      <c r="M10" s="296">
        <v>6.5</v>
      </c>
      <c r="N10" s="445">
        <f t="shared" si="8"/>
        <v>84</v>
      </c>
      <c r="O10" s="445" t="s">
        <v>557</v>
      </c>
      <c r="P10" s="678">
        <v>1.5</v>
      </c>
      <c r="Q10" s="446">
        <v>6</v>
      </c>
      <c r="R10" s="500">
        <f t="shared" si="9"/>
        <v>0.92582009977255142</v>
      </c>
      <c r="S10" s="500">
        <f t="shared" si="10"/>
        <v>0.99928545900129484</v>
      </c>
      <c r="T10" s="324">
        <v>27680</v>
      </c>
      <c r="U10" s="626">
        <f t="shared" si="2"/>
        <v>6920</v>
      </c>
      <c r="V10" s="627">
        <v>4880</v>
      </c>
      <c r="W10" s="316">
        <f t="shared" si="3"/>
        <v>5.6721311475409832</v>
      </c>
      <c r="X10" s="485">
        <v>0</v>
      </c>
      <c r="Y10" s="486">
        <v>12</v>
      </c>
      <c r="Z10" s="485">
        <v>6.95</v>
      </c>
      <c r="AA10" s="486">
        <f>6.18+0.2+0.2+0.2+0.15*0.5+0.15*0.5+0.15*0.5+0.15*0.5+0.14*0.5+0.14*0.5+0.14+0.14*0.5+0.14*0.5</f>
        <v>7.5000000000000018</v>
      </c>
      <c r="AB10" s="485">
        <v>8.9499999999999993</v>
      </c>
      <c r="AC10" s="486">
        <v>3.95</v>
      </c>
      <c r="AD10" s="485">
        <v>16</v>
      </c>
      <c r="AE10" s="324">
        <v>1315</v>
      </c>
      <c r="AF10" s="603">
        <f t="shared" si="11"/>
        <v>9.1278515162972944</v>
      </c>
      <c r="AG10" s="603">
        <f t="shared" si="12"/>
        <v>9.8592064684486296</v>
      </c>
      <c r="AH10" s="316">
        <f t="shared" si="13"/>
        <v>4.4702783064791847</v>
      </c>
      <c r="AI10" s="316">
        <f t="shared" si="14"/>
        <v>13.134004542496198</v>
      </c>
      <c r="AJ10" s="316">
        <f t="shared" si="15"/>
        <v>14.15968375856111</v>
      </c>
      <c r="AK10" s="316">
        <f t="shared" si="16"/>
        <v>0.91023651747589052</v>
      </c>
      <c r="AL10" s="316">
        <f t="shared" si="17"/>
        <v>1.163644452791404</v>
      </c>
      <c r="AM10" s="311">
        <f t="shared" si="18"/>
        <v>17.457304956235124</v>
      </c>
      <c r="AN10" s="311">
        <f t="shared" si="19"/>
        <v>18.856044452398372</v>
      </c>
      <c r="AO10" s="446">
        <v>3</v>
      </c>
      <c r="AP10" s="446">
        <v>2</v>
      </c>
      <c r="AQ10" s="590">
        <f t="shared" si="20"/>
        <v>0.1158</v>
      </c>
      <c r="AR10" s="684">
        <v>20760</v>
      </c>
      <c r="AS10" s="247">
        <v>34800</v>
      </c>
      <c r="AT10" s="390">
        <f t="shared" si="21"/>
        <v>7120</v>
      </c>
    </row>
    <row r="11" spans="1:46" s="264" customFormat="1" x14ac:dyDescent="0.25">
      <c r="A11" s="304" t="s">
        <v>495</v>
      </c>
      <c r="B11" s="260" t="s">
        <v>2</v>
      </c>
      <c r="C11" s="385">
        <f t="shared" ca="1" si="4"/>
        <v>4.9553571428571432</v>
      </c>
      <c r="D11" s="658" t="s">
        <v>567</v>
      </c>
      <c r="E11" s="210">
        <v>29</v>
      </c>
      <c r="F11" s="211">
        <f ca="1">75-41471+$D$1-24-112-10-112-112+6-112-112-112+45-112-112-112-112-112-112-112-112-112-112-112</f>
        <v>5</v>
      </c>
      <c r="G11" s="262"/>
      <c r="H11" s="393">
        <v>4</v>
      </c>
      <c r="I11" s="214">
        <v>5.3</v>
      </c>
      <c r="J11" s="486">
        <f t="shared" si="5"/>
        <v>1.0657873992714422</v>
      </c>
      <c r="K11" s="303">
        <f t="shared" si="6"/>
        <v>84.8</v>
      </c>
      <c r="L11" s="303">
        <f t="shared" si="7"/>
        <v>132.5</v>
      </c>
      <c r="M11" s="296">
        <v>7.3</v>
      </c>
      <c r="N11" s="445">
        <f t="shared" si="8"/>
        <v>92</v>
      </c>
      <c r="O11" s="445" t="s">
        <v>557</v>
      </c>
      <c r="P11" s="678">
        <v>1.5</v>
      </c>
      <c r="Q11" s="446">
        <v>5</v>
      </c>
      <c r="R11" s="500">
        <f t="shared" si="9"/>
        <v>0.84515425472851657</v>
      </c>
      <c r="S11" s="500">
        <f t="shared" si="10"/>
        <v>0.92504826128926143</v>
      </c>
      <c r="T11" s="627">
        <v>28560</v>
      </c>
      <c r="U11" s="626">
        <f t="shared" si="2"/>
        <v>-1420</v>
      </c>
      <c r="V11" s="627">
        <v>2410</v>
      </c>
      <c r="W11" s="316">
        <f t="shared" si="3"/>
        <v>11.850622406639005</v>
      </c>
      <c r="X11" s="485">
        <v>0</v>
      </c>
      <c r="Y11" s="486">
        <f>6.51+0.25+0.25+0.25+0.2+0.2+0.2+0.2+0.19+0.19+0.17+0.16+0.16+0.03+0.16+0.15*33/90+0.14+0.13+0.13*36/90+0.02+0.12*32/90+0.02+0.02+0.15*3/90</f>
        <v>9.6046666666666667</v>
      </c>
      <c r="Z11" s="485">
        <f>6.92+0.04+0.04+0.04+0.13+0.04+0.03+0.03+(0.25*30/90*0.5)+(0.25*60/90*0.16)+0.03+0.03+0.25*0.5*1/90+0.026+0.03+0.03+0.03+0.03+0.25*0.5+0.02+0.02+0.02+0.01+0.01+0.01</f>
        <v>7.7607222222222223</v>
      </c>
      <c r="AA11" s="486">
        <f>5.8+0.05+0.05+0.05+0.05+0.04+0.04+0.03+0.02+0.02+0.01</f>
        <v>6.1599999999999984</v>
      </c>
      <c r="AB11" s="485">
        <f>4.28+(0.4/3)+0.4+0.4+0.35+0.35+0.35+0.35+0.3+0.3+0.25+0.25+0.25+0.2+0.04+0.17+0.16+0.03+0.15+0.13+0.02</f>
        <v>8.8633333333333315</v>
      </c>
      <c r="AC11" s="486">
        <f>2.7+0.08+0.08+0.08+0.08+0.08+0.06+0.06+0.06*10/90+0.03</f>
        <v>3.2566666666666673</v>
      </c>
      <c r="AD11" s="485">
        <f>9+1*5/90+0.85+0.85*30/90+0.65+0.55+0.5+0.4+0.35+0.35+0.25+0.25*35/90</f>
        <v>13.33611111111111</v>
      </c>
      <c r="AE11" s="324">
        <v>1011</v>
      </c>
      <c r="AF11" s="603">
        <f t="shared" si="11"/>
        <v>8.7274935431003335</v>
      </c>
      <c r="AG11" s="603">
        <f t="shared" si="12"/>
        <v>9.5604901680734766</v>
      </c>
      <c r="AH11" s="316">
        <f t="shared" si="13"/>
        <v>3.7005813832174028</v>
      </c>
      <c r="AI11" s="316">
        <f t="shared" si="14"/>
        <v>9.1372313479039029</v>
      </c>
      <c r="AJ11" s="316">
        <f t="shared" si="15"/>
        <v>10.883951577054294</v>
      </c>
      <c r="AK11" s="316">
        <f t="shared" si="16"/>
        <v>0.768179658608382</v>
      </c>
      <c r="AL11" s="316">
        <f t="shared" si="17"/>
        <v>0.96387511794900094</v>
      </c>
      <c r="AM11" s="311">
        <f t="shared" si="18"/>
        <v>13.354968872900978</v>
      </c>
      <c r="AN11" s="311">
        <f t="shared" si="19"/>
        <v>14.629635412934418</v>
      </c>
      <c r="AO11" s="446">
        <v>3</v>
      </c>
      <c r="AP11" s="446">
        <v>2</v>
      </c>
      <c r="AQ11" s="590">
        <f t="shared" si="20"/>
        <v>0.1158</v>
      </c>
      <c r="AR11" s="627">
        <v>29980</v>
      </c>
      <c r="AS11" s="264">
        <v>33940</v>
      </c>
      <c r="AT11" s="390">
        <f t="shared" si="21"/>
        <v>5380</v>
      </c>
    </row>
    <row r="12" spans="1:46" s="264" customFormat="1" x14ac:dyDescent="0.25">
      <c r="A12" s="384" t="s">
        <v>408</v>
      </c>
      <c r="B12" s="384" t="s">
        <v>65</v>
      </c>
      <c r="C12" s="385">
        <f t="shared" ca="1" si="4"/>
        <v>1.3660714285714286</v>
      </c>
      <c r="D12" s="657" t="s">
        <v>816</v>
      </c>
      <c r="E12" s="387">
        <v>32</v>
      </c>
      <c r="F12" s="211">
        <f ca="1">46-41471+$D$1-112-112-112-112-112-112-112-112-112-112-112-112-112-112-112-112</f>
        <v>71</v>
      </c>
      <c r="G12" s="388" t="s">
        <v>271</v>
      </c>
      <c r="H12" s="371">
        <v>0</v>
      </c>
      <c r="I12" s="308">
        <v>14</v>
      </c>
      <c r="J12" s="486">
        <f t="shared" si="5"/>
        <v>1.5681216787409085</v>
      </c>
      <c r="K12" s="303">
        <f t="shared" si="6"/>
        <v>0</v>
      </c>
      <c r="L12" s="303">
        <f t="shared" si="7"/>
        <v>14</v>
      </c>
      <c r="M12" s="389">
        <v>7</v>
      </c>
      <c r="N12" s="445">
        <f t="shared" si="8"/>
        <v>89</v>
      </c>
      <c r="O12" s="445" t="s">
        <v>557</v>
      </c>
      <c r="P12" s="678">
        <v>1.5</v>
      </c>
      <c r="Q12" s="445">
        <v>5</v>
      </c>
      <c r="R12" s="500">
        <f t="shared" si="9"/>
        <v>0.84515425472851657</v>
      </c>
      <c r="S12" s="500">
        <f t="shared" si="10"/>
        <v>0.92504826128926143</v>
      </c>
      <c r="T12" s="324">
        <v>143400</v>
      </c>
      <c r="U12" s="626">
        <f t="shared" si="2"/>
        <v>-7230</v>
      </c>
      <c r="V12" s="324">
        <v>12920</v>
      </c>
      <c r="W12" s="316">
        <f t="shared" si="3"/>
        <v>11.09907120743034</v>
      </c>
      <c r="X12" s="485">
        <v>0</v>
      </c>
      <c r="Y12" s="486">
        <f>11.95+1/18+1/18</f>
        <v>12.06111111111111</v>
      </c>
      <c r="Z12" s="485">
        <f>9.9+0.17+(0.17/90*26)+0.17+0.15+0.15+0.15+0.13+0.13+(1/8)+0.13+0.13+0.13*0.5+0.11+0.11+0.11*0.5+0.11*0.5+0.1*0.5+0.1*0.5+0.1+0.1+0.1*0.5+0.09+0.09*0.5+0.09*0.5+0.09*0.5+0.09*0.5+0.09*0.5+0.09*0.5+0.09*0.5+0.09*0.5+0.07*0.5</f>
        <v>12.614111111111114</v>
      </c>
      <c r="AA12" s="486">
        <f>13.05+1/12+1/12</f>
        <v>13.216666666666669</v>
      </c>
      <c r="AB12" s="485">
        <v>11</v>
      </c>
      <c r="AC12" s="486">
        <f>5.71+0.29+0.29+0.29+0.25+0.25+0.2+0.2+0.2+0.015+0.15*0.5</f>
        <v>7.7700000000000005</v>
      </c>
      <c r="AD12" s="485">
        <f>10.8+0.67+0.55+0.55+0.45+0.45+0.4+0.4+0.35+0.35+0.33+0.33+0.3+0.3+0.25+0.25+0.2+0.2+0.2+0.2</f>
        <v>17.529999999999998</v>
      </c>
      <c r="AE12" s="324">
        <v>2270</v>
      </c>
      <c r="AF12" s="603">
        <f t="shared" si="11"/>
        <v>13.253905765986492</v>
      </c>
      <c r="AG12" s="603">
        <f t="shared" si="12"/>
        <v>14.518926326157176</v>
      </c>
      <c r="AH12" s="316">
        <f t="shared" si="13"/>
        <v>4.5707501560967927</v>
      </c>
      <c r="AI12" s="316">
        <f t="shared" si="14"/>
        <v>18.356960780063634</v>
      </c>
      <c r="AJ12" s="316">
        <f t="shared" si="15"/>
        <v>14.933978518358474</v>
      </c>
      <c r="AK12" s="316">
        <f t="shared" si="16"/>
        <v>1.1598497342992726</v>
      </c>
      <c r="AL12" s="316">
        <f t="shared" si="17"/>
        <v>1.2231129619563079</v>
      </c>
      <c r="AM12" s="311">
        <f t="shared" si="18"/>
        <v>17.374825448573134</v>
      </c>
      <c r="AN12" s="311">
        <f t="shared" si="19"/>
        <v>19.033167661796643</v>
      </c>
      <c r="AO12" s="445">
        <v>1</v>
      </c>
      <c r="AP12" s="445">
        <v>2</v>
      </c>
      <c r="AQ12" s="590">
        <f t="shared" si="20"/>
        <v>4.9399999999999999E-2</v>
      </c>
      <c r="AR12" s="324">
        <v>150630</v>
      </c>
      <c r="AS12" s="264">
        <v>186530</v>
      </c>
      <c r="AT12" s="390">
        <f t="shared" si="21"/>
        <v>43130</v>
      </c>
    </row>
    <row r="13" spans="1:46" s="254" customFormat="1" x14ac:dyDescent="0.25">
      <c r="A13" s="384" t="s">
        <v>410</v>
      </c>
      <c r="B13" s="384" t="s">
        <v>65</v>
      </c>
      <c r="C13" s="385">
        <f t="shared" ca="1" si="4"/>
        <v>1.8392857142857142</v>
      </c>
      <c r="D13" s="657" t="s">
        <v>298</v>
      </c>
      <c r="E13" s="387">
        <v>32</v>
      </c>
      <c r="F13" s="394">
        <f ca="1">75-41471+$D$1-24-112-10-112-40-8-112-112-112-112-112-112-112-112-112-112-112-112-112-112</f>
        <v>18</v>
      </c>
      <c r="G13" s="388" t="s">
        <v>268</v>
      </c>
      <c r="H13" s="371">
        <v>2</v>
      </c>
      <c r="I13" s="308">
        <v>11.3</v>
      </c>
      <c r="J13" s="486">
        <f t="shared" si="5"/>
        <v>1.4532068152525308</v>
      </c>
      <c r="K13" s="303">
        <f t="shared" si="6"/>
        <v>45.2</v>
      </c>
      <c r="L13" s="303">
        <f t="shared" si="7"/>
        <v>101.7</v>
      </c>
      <c r="M13" s="389">
        <v>7.2</v>
      </c>
      <c r="N13" s="445">
        <f t="shared" si="8"/>
        <v>91</v>
      </c>
      <c r="O13" s="445" t="s">
        <v>557</v>
      </c>
      <c r="P13" s="678">
        <v>1.5</v>
      </c>
      <c r="Q13" s="445">
        <v>6</v>
      </c>
      <c r="R13" s="500">
        <f t="shared" si="9"/>
        <v>0.92582009977255142</v>
      </c>
      <c r="S13" s="500">
        <f t="shared" si="10"/>
        <v>0.99928545900129484</v>
      </c>
      <c r="T13" s="324">
        <v>74010</v>
      </c>
      <c r="U13" s="626">
        <f t="shared" si="2"/>
        <v>-15600</v>
      </c>
      <c r="V13" s="324">
        <v>8390</v>
      </c>
      <c r="W13" s="316">
        <f t="shared" si="3"/>
        <v>8.8212157330154941</v>
      </c>
      <c r="X13" s="485">
        <v>0</v>
      </c>
      <c r="Y13" s="486">
        <f>7+0.11+0.11+1/33</f>
        <v>7.2503030303030309</v>
      </c>
      <c r="Z13" s="485">
        <f>10+0.1*0.5+0.1*0.5+0.1*0.5+0.1*0.5+0.1*0.5+0.1+0.1+0.1*0.5+0.1*0.5+0.1*0.5</f>
        <v>10.600000000000005</v>
      </c>
      <c r="AA13" s="486">
        <f>12+0.165+0.15+0.15+0.15+0.13+0.13+0.12+0.11+0.1+0.1+1/12+1/12</f>
        <v>13.471666666666668</v>
      </c>
      <c r="AB13" s="485">
        <f>6.1+0.33+0.3+0.3+0.25+0.25+0.25+0.25+0.25+0.2+0.2+0.2+0.2+0.15+0.13+0.13+0.13+0.12+0.12+0.11+0.1+0.08+0.07+0.07+0.07</f>
        <v>10.359999999999998</v>
      </c>
      <c r="AC13" s="486">
        <v>4.95</v>
      </c>
      <c r="AD13" s="485">
        <v>18</v>
      </c>
      <c r="AE13" s="324">
        <v>1651</v>
      </c>
      <c r="AF13" s="603">
        <f t="shared" si="11"/>
        <v>12.547831285935127</v>
      </c>
      <c r="AG13" s="603">
        <f t="shared" si="12"/>
        <v>13.553206815252535</v>
      </c>
      <c r="AH13" s="316">
        <f t="shared" si="13"/>
        <v>4.2622354284027342</v>
      </c>
      <c r="AI13" s="316">
        <f t="shared" si="14"/>
        <v>15.779295473952756</v>
      </c>
      <c r="AJ13" s="316">
        <f t="shared" si="15"/>
        <v>15.774314333642462</v>
      </c>
      <c r="AK13" s="316">
        <f t="shared" si="16"/>
        <v>1.0237565452202024</v>
      </c>
      <c r="AL13" s="316">
        <f t="shared" si="17"/>
        <v>1.0367365982797985</v>
      </c>
      <c r="AM13" s="311">
        <f t="shared" si="18"/>
        <v>19.353440198383613</v>
      </c>
      <c r="AN13" s="311">
        <f t="shared" si="19"/>
        <v>20.904104591311228</v>
      </c>
      <c r="AO13" s="445">
        <v>4</v>
      </c>
      <c r="AP13" s="445">
        <v>4</v>
      </c>
      <c r="AQ13" s="590">
        <f t="shared" si="20"/>
        <v>0.157</v>
      </c>
      <c r="AR13" s="324">
        <v>89610</v>
      </c>
      <c r="AS13" s="254">
        <v>99980</v>
      </c>
      <c r="AT13" s="390">
        <f t="shared" si="21"/>
        <v>25970</v>
      </c>
    </row>
    <row r="14" spans="1:46" s="263" customFormat="1" x14ac:dyDescent="0.25">
      <c r="A14" s="384" t="s">
        <v>409</v>
      </c>
      <c r="B14" s="384" t="s">
        <v>65</v>
      </c>
      <c r="C14" s="385">
        <f t="shared" ca="1" si="4"/>
        <v>4.7053571428571432</v>
      </c>
      <c r="D14" s="657" t="s">
        <v>507</v>
      </c>
      <c r="E14" s="387">
        <v>29</v>
      </c>
      <c r="F14" s="211">
        <f ca="1">7-41471+$D$1-112-111-112+4-112-116-112-112-112-112-112-112-112-112-112-112-112</f>
        <v>33</v>
      </c>
      <c r="G14" s="388" t="s">
        <v>502</v>
      </c>
      <c r="H14" s="371">
        <v>2</v>
      </c>
      <c r="I14" s="308">
        <v>10.5</v>
      </c>
      <c r="J14" s="486">
        <f t="shared" si="5"/>
        <v>1.4142637871381487</v>
      </c>
      <c r="K14" s="303">
        <f t="shared" si="6"/>
        <v>42</v>
      </c>
      <c r="L14" s="303">
        <f t="shared" si="7"/>
        <v>94.5</v>
      </c>
      <c r="M14" s="389">
        <v>8</v>
      </c>
      <c r="N14" s="445">
        <f t="shared" si="8"/>
        <v>99</v>
      </c>
      <c r="O14" s="445" t="s">
        <v>557</v>
      </c>
      <c r="P14" s="678">
        <v>1.5</v>
      </c>
      <c r="Q14" s="445">
        <v>6</v>
      </c>
      <c r="R14" s="500">
        <f t="shared" si="9"/>
        <v>0.92582009977255142</v>
      </c>
      <c r="S14" s="500">
        <f t="shared" si="10"/>
        <v>0.99928545900129484</v>
      </c>
      <c r="T14" s="324">
        <v>196870</v>
      </c>
      <c r="U14" s="626">
        <f t="shared" si="2"/>
        <v>-4400</v>
      </c>
      <c r="V14" s="324">
        <v>14470</v>
      </c>
      <c r="W14" s="316">
        <f t="shared" si="3"/>
        <v>13.605390463026952</v>
      </c>
      <c r="X14" s="485">
        <v>0</v>
      </c>
      <c r="Y14" s="486">
        <f>8+0.12+0.12+0.12</f>
        <v>8.3599999999999977</v>
      </c>
      <c r="Z14" s="485">
        <f>8.4+0.22+0.22+(0.22*75/90)+(0.05*15/90)+0.17+0.17+0.17+0.17+0.17+1/7+0.16+0.16+0.16+0.125+0.16+0.16+0.14+0.14+0.05*61/90+0.11+0.11*0.5+0.11+0.11+0.11+0.1+0.1+0.1*0.5+0.1*0.5+0.1+0.1*0.5+0.09*0.5</f>
        <v>12.253412698412699</v>
      </c>
      <c r="AA14" s="486">
        <f>10.6+0.21+0.2+0.18+0.17+0.17+0.03+0.15+0.15+0.14+0.13+0.12+0.11</f>
        <v>12.36</v>
      </c>
      <c r="AB14" s="485">
        <f>6+0.33+0.33+0.33+0.3+0.25+0.25+0.24+0.24+0.23+0.2+0.2+0.18+0.15+0.15+0.15+0.15+0.13+0.13+0.12+0.1+0.08</f>
        <v>10.24</v>
      </c>
      <c r="AC14" s="486">
        <f>4.7+0.33+0.33+(0.33*85/90)+0.33+0.32+0.3+0.3+0.27+0.21+0.15*0.5</f>
        <v>7.4766666666666666</v>
      </c>
      <c r="AD14" s="485">
        <v>16</v>
      </c>
      <c r="AE14" s="324">
        <v>1801</v>
      </c>
      <c r="AF14" s="603">
        <f t="shared" si="11"/>
        <v>14.042539757170468</v>
      </c>
      <c r="AG14" s="603">
        <f t="shared" si="12"/>
        <v>15.167676485550848</v>
      </c>
      <c r="AH14" s="316">
        <f t="shared" si="13"/>
        <v>4.3493629559944633</v>
      </c>
      <c r="AI14" s="316">
        <f t="shared" si="14"/>
        <v>18.564349881643761</v>
      </c>
      <c r="AJ14" s="316">
        <f t="shared" si="15"/>
        <v>15.143883591414182</v>
      </c>
      <c r="AK14" s="316">
        <f t="shared" si="16"/>
        <v>1.0869744363043854</v>
      </c>
      <c r="AL14" s="316">
        <f t="shared" si="17"/>
        <v>1.0183984650996702</v>
      </c>
      <c r="AM14" s="311">
        <f t="shared" si="18"/>
        <v>17.462435184355105</v>
      </c>
      <c r="AN14" s="311">
        <f t="shared" si="19"/>
        <v>18.86158573209325</v>
      </c>
      <c r="AO14" s="445">
        <v>3</v>
      </c>
      <c r="AP14" s="445">
        <v>2</v>
      </c>
      <c r="AQ14" s="590">
        <f t="shared" si="20"/>
        <v>0.1158</v>
      </c>
      <c r="AR14" s="324">
        <v>201270</v>
      </c>
      <c r="AS14" s="263">
        <v>208020</v>
      </c>
      <c r="AT14" s="390">
        <f t="shared" si="21"/>
        <v>11150</v>
      </c>
    </row>
    <row r="15" spans="1:46" s="264" customFormat="1" x14ac:dyDescent="0.25">
      <c r="A15" s="384" t="s">
        <v>406</v>
      </c>
      <c r="B15" s="260" t="s">
        <v>64</v>
      </c>
      <c r="C15" s="385">
        <f t="shared" ca="1" si="4"/>
        <v>2.7321428571428572</v>
      </c>
      <c r="D15" s="658" t="s">
        <v>618</v>
      </c>
      <c r="E15" s="210">
        <v>31</v>
      </c>
      <c r="F15" s="211">
        <f ca="1">7-41471+$D$1-112-111-3-112-112-112-112-112-112-112-112-112-112-112-112-112-112</f>
        <v>30</v>
      </c>
      <c r="G15" s="388" t="s">
        <v>268</v>
      </c>
      <c r="H15" s="371">
        <v>3</v>
      </c>
      <c r="I15" s="214">
        <v>11.8</v>
      </c>
      <c r="J15" s="486">
        <f t="shared" si="5"/>
        <v>1.4762799595304912</v>
      </c>
      <c r="K15" s="303">
        <f t="shared" si="6"/>
        <v>106.2</v>
      </c>
      <c r="L15" s="303">
        <f t="shared" si="7"/>
        <v>188.8</v>
      </c>
      <c r="M15" s="296">
        <v>6.6</v>
      </c>
      <c r="N15" s="445">
        <f t="shared" si="8"/>
        <v>85</v>
      </c>
      <c r="O15" s="445" t="s">
        <v>557</v>
      </c>
      <c r="P15" s="678">
        <v>1.5</v>
      </c>
      <c r="Q15" s="446">
        <v>6</v>
      </c>
      <c r="R15" s="500">
        <f t="shared" si="9"/>
        <v>0.92582009977255142</v>
      </c>
      <c r="S15" s="500">
        <f t="shared" si="10"/>
        <v>0.99928545900129484</v>
      </c>
      <c r="T15" s="324">
        <v>158740</v>
      </c>
      <c r="U15" s="626">
        <f t="shared" si="2"/>
        <v>-570</v>
      </c>
      <c r="V15" s="627">
        <v>19920</v>
      </c>
      <c r="W15" s="316">
        <f t="shared" si="3"/>
        <v>7.9688755020080322</v>
      </c>
      <c r="X15" s="485">
        <v>0</v>
      </c>
      <c r="Y15" s="486">
        <f>5.6+0.26+0.26+0.26+(0.26*23/90)+(0.05*(90-23)/90)+0.26+0.26+0.23+0.23+0.22+0.15+0.15+0.14+0.13+0.13+0.13+0.12+0.12+0.12+0.02+0.1+0.1+0.1+0.01+0.1</f>
        <v>9.3036666666666648</v>
      </c>
      <c r="Z15" s="485">
        <v>14</v>
      </c>
      <c r="AA15" s="486">
        <f>11.58+0.17+(0.17/2)+0.17+0.15+0.03+0.15+0.14+0.13+0.12+0.11+0.11</f>
        <v>12.945</v>
      </c>
      <c r="AB15" s="485">
        <v>10</v>
      </c>
      <c r="AC15" s="486">
        <v>4.95</v>
      </c>
      <c r="AD15" s="485">
        <f>15+0.2+0.2+0.2*85/90</f>
        <v>15.588888888888887</v>
      </c>
      <c r="AE15" s="324">
        <v>1917</v>
      </c>
      <c r="AF15" s="603">
        <f t="shared" si="11"/>
        <v>15.716981205899284</v>
      </c>
      <c r="AG15" s="603">
        <f t="shared" si="12"/>
        <v>16.976279959530491</v>
      </c>
      <c r="AH15" s="316">
        <f t="shared" si="13"/>
        <v>4.4245528780357013</v>
      </c>
      <c r="AI15" s="316">
        <f t="shared" si="14"/>
        <v>14.598764246184224</v>
      </c>
      <c r="AJ15" s="316">
        <f t="shared" si="15"/>
        <v>14.233097323763833</v>
      </c>
      <c r="AK15" s="316">
        <f t="shared" si="16"/>
        <v>0.95326906342910589</v>
      </c>
      <c r="AL15" s="316">
        <f t="shared" si="17"/>
        <v>1.0481529305004675</v>
      </c>
      <c r="AM15" s="311">
        <f t="shared" si="18"/>
        <v>17.14439669204457</v>
      </c>
      <c r="AN15" s="311">
        <f t="shared" si="19"/>
        <v>18.518064898630389</v>
      </c>
      <c r="AO15" s="446">
        <v>3</v>
      </c>
      <c r="AP15" s="446">
        <v>3</v>
      </c>
      <c r="AQ15" s="590">
        <f t="shared" si="20"/>
        <v>0.1158</v>
      </c>
      <c r="AR15" s="684">
        <v>159310</v>
      </c>
      <c r="AS15" s="264">
        <v>166460</v>
      </c>
      <c r="AT15" s="390">
        <f t="shared" si="21"/>
        <v>7720</v>
      </c>
    </row>
    <row r="16" spans="1:46" x14ac:dyDescent="0.25">
      <c r="A16" s="305" t="s">
        <v>407</v>
      </c>
      <c r="B16" s="384" t="s">
        <v>64</v>
      </c>
      <c r="C16" s="385">
        <f t="shared" ca="1" si="4"/>
        <v>0.42857142857142855</v>
      </c>
      <c r="D16" s="657" t="s">
        <v>285</v>
      </c>
      <c r="E16" s="387">
        <v>33</v>
      </c>
      <c r="F16" s="394">
        <f ca="1">33-41471+$D$1-112+6-112-112-112-112-112-112-112-112-112-112-112-112-112-112-112</f>
        <v>64</v>
      </c>
      <c r="G16" s="388" t="s">
        <v>268</v>
      </c>
      <c r="H16" s="393">
        <v>4</v>
      </c>
      <c r="I16" s="308">
        <v>12.6</v>
      </c>
      <c r="J16" s="486">
        <f t="shared" si="5"/>
        <v>1.5113852111602899</v>
      </c>
      <c r="K16" s="303">
        <f t="shared" si="6"/>
        <v>201.6</v>
      </c>
      <c r="L16" s="303">
        <f t="shared" si="7"/>
        <v>315</v>
      </c>
      <c r="M16" s="389">
        <v>6.8</v>
      </c>
      <c r="N16" s="445">
        <f t="shared" si="8"/>
        <v>87</v>
      </c>
      <c r="O16" s="445" t="s">
        <v>557</v>
      </c>
      <c r="P16" s="678">
        <v>1.5</v>
      </c>
      <c r="Q16" s="445">
        <v>4</v>
      </c>
      <c r="R16" s="500">
        <f t="shared" si="9"/>
        <v>0.7559289460184544</v>
      </c>
      <c r="S16" s="500">
        <f t="shared" si="10"/>
        <v>0.84430867747355465</v>
      </c>
      <c r="T16" s="324">
        <v>44080</v>
      </c>
      <c r="U16" s="626">
        <f t="shared" si="2"/>
        <v>-7500</v>
      </c>
      <c r="V16" s="324">
        <v>14200</v>
      </c>
      <c r="W16" s="316">
        <f t="shared" si="3"/>
        <v>3.1042253521126759</v>
      </c>
      <c r="X16" s="485">
        <v>0</v>
      </c>
      <c r="Y16" s="486">
        <f>5.25+0.25+0.25+0.25+0.24+0.24+0.24+0.24+0.23+0.22+0.17+(0.17*25/90)+0.16+0.16+0.03+0.15+0.14+0.14+0.13+0.02+0.11*33/90+0.01+0.01+0.01</f>
        <v>8.6275555555555581</v>
      </c>
      <c r="Z16" s="485">
        <f>11.65+0.13+0.13+0.13+0.11+0.11+0.11+0.1+0.1+0.1+0.1+0.1+0.1+0.1+0.1+0.1+0.1+0.091*83/90+0.091+0.091+0.091+0.091+0.091+0.091+1/21+1/21+1/21+1/21+1/21+1/21+1/21</f>
        <v>14.333255555555548</v>
      </c>
      <c r="AA16" s="486">
        <v>9.99</v>
      </c>
      <c r="AB16" s="485">
        <v>10</v>
      </c>
      <c r="AC16" s="486">
        <v>3.99</v>
      </c>
      <c r="AD16" s="485">
        <f>10.7+0.5+0.5*80/90+0.5+0.45+0.45+0.45+0.45+0.35+0.3+0.3+0.25+0.25+0.25+0.25+0.25+0.2+0.2+0.2+0.2+0.2</f>
        <v>17.144444444444439</v>
      </c>
      <c r="AE16" s="324">
        <v>1737</v>
      </c>
      <c r="AF16" s="603">
        <f t="shared" si="11"/>
        <v>13.111316013852219</v>
      </c>
      <c r="AG16" s="603">
        <f t="shared" si="12"/>
        <v>14.658896940727569</v>
      </c>
      <c r="AH16" s="316">
        <f t="shared" si="13"/>
        <v>3.558697205547467</v>
      </c>
      <c r="AI16" s="316">
        <f t="shared" si="14"/>
        <v>11.420578871435621</v>
      </c>
      <c r="AJ16" s="316">
        <f t="shared" si="15"/>
        <v>12.253227470384628</v>
      </c>
      <c r="AK16" s="316">
        <f t="shared" si="16"/>
        <v>0.95474415022615633</v>
      </c>
      <c r="AL16" s="316">
        <f t="shared" si="17"/>
        <v>1.0702325203367757</v>
      </c>
      <c r="AM16" s="311">
        <f t="shared" si="18"/>
        <v>15.202944499855805</v>
      </c>
      <c r="AN16" s="311">
        <f t="shared" si="19"/>
        <v>16.997408679917061</v>
      </c>
      <c r="AO16" s="445">
        <v>2</v>
      </c>
      <c r="AP16" s="445">
        <v>2</v>
      </c>
      <c r="AQ16" s="590">
        <f t="shared" si="20"/>
        <v>6.1499999999999999E-2</v>
      </c>
      <c r="AR16" s="324">
        <v>51580</v>
      </c>
      <c r="AS16">
        <v>71600</v>
      </c>
      <c r="AT16" s="390">
        <f t="shared" si="21"/>
        <v>27520</v>
      </c>
    </row>
    <row r="17" spans="1:46" s="4" customFormat="1" x14ac:dyDescent="0.25">
      <c r="A17" s="384" t="s">
        <v>404</v>
      </c>
      <c r="B17" s="384" t="s">
        <v>64</v>
      </c>
      <c r="C17" s="385">
        <f t="shared" ca="1" si="4"/>
        <v>1.4821428571428572</v>
      </c>
      <c r="D17" s="657" t="s">
        <v>272</v>
      </c>
      <c r="E17" s="387">
        <v>32</v>
      </c>
      <c r="F17" s="394">
        <f ca="1">33-41471+$D$1-112-112-112-112-112-112-112-112-112-112-112-112-112-112-112-112</f>
        <v>58</v>
      </c>
      <c r="G17" s="388"/>
      <c r="H17" s="371">
        <v>3</v>
      </c>
      <c r="I17" s="308">
        <v>10.7</v>
      </c>
      <c r="J17" s="486">
        <f t="shared" si="5"/>
        <v>1.424247815661549</v>
      </c>
      <c r="K17" s="303">
        <f t="shared" si="6"/>
        <v>96.3</v>
      </c>
      <c r="L17" s="303">
        <f t="shared" si="7"/>
        <v>171.2</v>
      </c>
      <c r="M17" s="389">
        <v>7</v>
      </c>
      <c r="N17" s="445">
        <f t="shared" si="8"/>
        <v>89</v>
      </c>
      <c r="O17" s="445" t="s">
        <v>557</v>
      </c>
      <c r="P17" s="678">
        <v>1.5</v>
      </c>
      <c r="Q17" s="445">
        <v>2</v>
      </c>
      <c r="R17" s="500">
        <f t="shared" si="9"/>
        <v>0.53452248382484879</v>
      </c>
      <c r="S17" s="500">
        <f t="shared" si="10"/>
        <v>0.65356167049702141</v>
      </c>
      <c r="T17" s="324">
        <v>36620</v>
      </c>
      <c r="U17" s="626">
        <f t="shared" si="2"/>
        <v>-11650</v>
      </c>
      <c r="V17" s="324">
        <v>10520</v>
      </c>
      <c r="W17" s="316">
        <f t="shared" si="3"/>
        <v>3.4809885931558937</v>
      </c>
      <c r="X17" s="485">
        <v>0</v>
      </c>
      <c r="Y17" s="486">
        <f>7.5+0.2+0.2+0.2+0.2+0.2+0.16+0.16+0.14+0.14+0.13+0.13+0.12+0.12+0.12+0.12+0.11+0.1+0.1+0.1+0.1+0.1+0.1</f>
        <v>10.549999999999995</v>
      </c>
      <c r="Z17" s="485">
        <v>13</v>
      </c>
      <c r="AA17" s="486">
        <f>4.85+0.05+0.05+0.05+0.03+0.03+0.02+0.02+0.02+0.01+0.01</f>
        <v>5.1399999999999979</v>
      </c>
      <c r="AB17" s="485">
        <f>8.95+0.08+0.07+0.07+0.07</f>
        <v>9.24</v>
      </c>
      <c r="AC17" s="486">
        <v>2.98</v>
      </c>
      <c r="AD17" s="485">
        <f>11+0.5+0.5+0.5+0.45+0.4+0.4+0.4+0.35+0.33+0.33+0.3+0.3+0.3+0.2+0.2+0.2+0.2+0.2+0.2+0.2</f>
        <v>17.459999999999997</v>
      </c>
      <c r="AE17" s="324">
        <v>1573</v>
      </c>
      <c r="AF17" s="603">
        <f t="shared" si="11"/>
        <v>8.5118684954698338</v>
      </c>
      <c r="AG17" s="603">
        <f t="shared" si="12"/>
        <v>10.424867285786318</v>
      </c>
      <c r="AH17" s="316">
        <f t="shared" si="13"/>
        <v>2.5258020403344696</v>
      </c>
      <c r="AI17" s="316">
        <f t="shared" si="14"/>
        <v>7.1692227727863607</v>
      </c>
      <c r="AJ17" s="316">
        <f t="shared" si="15"/>
        <v>8.573873103593515</v>
      </c>
      <c r="AK17" s="316">
        <f t="shared" si="16"/>
        <v>0.90673982525292396</v>
      </c>
      <c r="AL17" s="316">
        <f t="shared" si="17"/>
        <v>1.1504973470963082</v>
      </c>
      <c r="AM17" s="311">
        <f t="shared" si="18"/>
        <v>10.868184658195537</v>
      </c>
      <c r="AN17" s="311">
        <f t="shared" si="19"/>
        <v>13.310753421461733</v>
      </c>
      <c r="AO17" s="445">
        <v>4</v>
      </c>
      <c r="AP17" s="445">
        <v>1</v>
      </c>
      <c r="AQ17" s="590">
        <f t="shared" si="20"/>
        <v>0.157</v>
      </c>
      <c r="AR17" s="324">
        <v>48270</v>
      </c>
      <c r="AS17" s="4">
        <v>66560</v>
      </c>
      <c r="AT17" s="390">
        <f t="shared" si="21"/>
        <v>29940</v>
      </c>
    </row>
    <row r="18" spans="1:46" s="263" customFormat="1" x14ac:dyDescent="0.25">
      <c r="A18" s="305" t="s">
        <v>411</v>
      </c>
      <c r="B18" s="260" t="s">
        <v>64</v>
      </c>
      <c r="C18" s="385">
        <f t="shared" ca="1" si="4"/>
        <v>1.7053571428571428</v>
      </c>
      <c r="D18" s="658" t="s">
        <v>400</v>
      </c>
      <c r="E18" s="210">
        <v>32</v>
      </c>
      <c r="F18" s="211">
        <f ca="1">7-41471+$D$1-112-111-112-112-112-112-112-112-112-112-112-112-112-112-112-112</f>
        <v>33</v>
      </c>
      <c r="G18" s="262"/>
      <c r="H18" s="371">
        <v>0</v>
      </c>
      <c r="I18" s="214">
        <v>9.4</v>
      </c>
      <c r="J18" s="486">
        <f t="shared" si="5"/>
        <v>1.3560444523983737</v>
      </c>
      <c r="K18" s="303">
        <f t="shared" si="6"/>
        <v>0</v>
      </c>
      <c r="L18" s="303">
        <f t="shared" si="7"/>
        <v>9.4</v>
      </c>
      <c r="M18" s="296">
        <v>7.2</v>
      </c>
      <c r="N18" s="445">
        <f t="shared" si="8"/>
        <v>91</v>
      </c>
      <c r="O18" s="445" t="s">
        <v>557</v>
      </c>
      <c r="P18" s="678">
        <v>1.5</v>
      </c>
      <c r="Q18" s="446">
        <v>6</v>
      </c>
      <c r="R18" s="500">
        <f t="shared" si="9"/>
        <v>0.92582009977255142</v>
      </c>
      <c r="S18" s="500">
        <f t="shared" si="10"/>
        <v>0.99928545900129484</v>
      </c>
      <c r="T18" s="324">
        <v>59550</v>
      </c>
      <c r="U18" s="626">
        <f t="shared" si="2"/>
        <v>9040</v>
      </c>
      <c r="V18" s="627">
        <v>18030</v>
      </c>
      <c r="W18" s="316">
        <f t="shared" si="3"/>
        <v>3.3028286189683862</v>
      </c>
      <c r="X18" s="485">
        <v>0</v>
      </c>
      <c r="Y18" s="486">
        <f>3.4+0.06+0.06+0.06+0.06+0.06+0.06+0.06+0.06+(0.06*40/90)+(0.25*35/90)+0.06+(0.25*35/90)+0.05+0.25+0.05+0.05+0.22+0.2+0.15+0.15+0.15+1/30</f>
        <v>5.4644444444444451</v>
      </c>
      <c r="Z18" s="485">
        <f>11.7+0.13+0.13+0.13+0.12+0.12+0.12+0.1+0.1+0.1+0.1+0.1+0.1+0.091+0.091*33/90+0.1+0.091+0.091+0.091+0.091+0.091+0.091+0.091+0.092+1/21+1/21+1/21+1/21+1/21*80/90+1/21+1/21+1/21+1/21</f>
        <v>14.42664708994708</v>
      </c>
      <c r="AA18" s="486">
        <f>3.0625+0.06+0.06+0.06+0.05+0.05+0.05+0.04+0.03+0.03+0.02</f>
        <v>3.5124999999999993</v>
      </c>
      <c r="AB18" s="485">
        <f>4.21+0.4+0.4+0.4+0.33+0.33+0.33+0.15+0.33+0.3+0.25+0.2+0.22+0.15+0.15+0.15+0.02+0.15+0.14+0.13+0.11+0.08+0.07+0.07+0.07</f>
        <v>9.1400000000000041</v>
      </c>
      <c r="AC18" s="486">
        <v>6.95</v>
      </c>
      <c r="AD18" s="485">
        <f>11+0.67+0.5+0.5+0.5+0.45+0.35+0.3+0.3+0.3+0.3+0.25+0.25+0.2+0.2+0.2+0.2+0.2</f>
        <v>16.669999999999998</v>
      </c>
      <c r="AE18" s="324">
        <v>1456</v>
      </c>
      <c r="AF18" s="603">
        <f t="shared" si="11"/>
        <v>16.000663208072499</v>
      </c>
      <c r="AG18" s="603">
        <f t="shared" si="12"/>
        <v>17.282691542345454</v>
      </c>
      <c r="AH18" s="316">
        <f t="shared" si="13"/>
        <v>3.7394542505277855</v>
      </c>
      <c r="AI18" s="316">
        <f t="shared" si="14"/>
        <v>17.976980542891386</v>
      </c>
      <c r="AJ18" s="316">
        <f t="shared" si="15"/>
        <v>15.377913012145976</v>
      </c>
      <c r="AK18" s="316">
        <f t="shared" si="16"/>
        <v>1.0760835561918698</v>
      </c>
      <c r="AL18" s="316">
        <f t="shared" si="17"/>
        <v>0.91860088944566398</v>
      </c>
      <c r="AM18" s="311">
        <f t="shared" si="18"/>
        <v>18.023406314882084</v>
      </c>
      <c r="AN18" s="311">
        <f t="shared" si="19"/>
        <v>19.467503804799595</v>
      </c>
      <c r="AO18" s="446">
        <v>2</v>
      </c>
      <c r="AP18" s="446">
        <v>1</v>
      </c>
      <c r="AQ18" s="590">
        <f t="shared" si="20"/>
        <v>6.1499999999999999E-2</v>
      </c>
      <c r="AR18" s="324">
        <v>50510</v>
      </c>
      <c r="AS18" s="263">
        <v>63310</v>
      </c>
      <c r="AT18" s="390">
        <f t="shared" si="21"/>
        <v>3760</v>
      </c>
    </row>
    <row r="19" spans="1:46" s="264" customFormat="1" ht="14.25" customHeight="1" x14ac:dyDescent="0.25">
      <c r="A19" s="305" t="s">
        <v>505</v>
      </c>
      <c r="B19" s="260" t="s">
        <v>64</v>
      </c>
      <c r="C19" s="385">
        <f t="shared" ca="1" si="4"/>
        <v>3.1517857142857144</v>
      </c>
      <c r="D19" s="658" t="s">
        <v>414</v>
      </c>
      <c r="E19" s="210">
        <v>30</v>
      </c>
      <c r="F19" s="211">
        <f ca="1">59-41471+$D$1-325-112-112-112-112-112-112-112-112-112-112-112-112-112</f>
        <v>95</v>
      </c>
      <c r="G19" s="262"/>
      <c r="H19" s="371">
        <v>2</v>
      </c>
      <c r="I19" s="214">
        <v>4.4000000000000004</v>
      </c>
      <c r="J19" s="486">
        <f t="shared" si="5"/>
        <v>0.97652501309729134</v>
      </c>
      <c r="K19" s="303">
        <f t="shared" si="6"/>
        <v>17.600000000000001</v>
      </c>
      <c r="L19" s="303">
        <f t="shared" si="7"/>
        <v>39.6</v>
      </c>
      <c r="M19" s="296">
        <v>6.8</v>
      </c>
      <c r="N19" s="445">
        <f t="shared" si="8"/>
        <v>87</v>
      </c>
      <c r="O19" s="445" t="s">
        <v>557</v>
      </c>
      <c r="P19" s="678">
        <v>1.5</v>
      </c>
      <c r="Q19" s="446">
        <v>5</v>
      </c>
      <c r="R19" s="500">
        <f t="shared" si="9"/>
        <v>0.84515425472851657</v>
      </c>
      <c r="S19" s="500">
        <f t="shared" si="10"/>
        <v>0.92504826128926143</v>
      </c>
      <c r="T19" s="324">
        <v>23910</v>
      </c>
      <c r="U19" s="626">
        <f t="shared" si="2"/>
        <v>2770</v>
      </c>
      <c r="V19" s="627">
        <v>2830</v>
      </c>
      <c r="W19" s="316">
        <f t="shared" si="3"/>
        <v>8.4487632508833919</v>
      </c>
      <c r="X19" s="485">
        <v>0</v>
      </c>
      <c r="Y19" s="486">
        <f>4.45+0.06+0.2+0.06+0.06+(0.06*68/90)+0.06+0.06+0.06+0.04+(0.22*35/90)+0.04+0.04+0.04+0.04+0.04+0.04*0.5+0.2*66/90+0.02+0.12*33/90+0.02+0.02</f>
        <v>5.6515555555555519</v>
      </c>
      <c r="Z19" s="485">
        <v>10</v>
      </c>
      <c r="AA19" s="486">
        <v>6.95</v>
      </c>
      <c r="AB19" s="485">
        <f>5.2+0.38+0.38+0.33+0.3+0.3+0.3+0.3+0.28+0.25+0.2+0.2+0.15+0.15*40/90+0.14+0.13+0.12+0.12+0.11+0.01</f>
        <v>9.2666666666666639</v>
      </c>
      <c r="AC19" s="486">
        <f>3.07+0.07+0.07+0.07+0.07+0.07+(0.07*28/90)+0.07+0.03</f>
        <v>3.5417777777777766</v>
      </c>
      <c r="AD19" s="485">
        <f>10+0.65+0.65+0.5+0.4+0.25+0.2+0.25*71/90</f>
        <v>12.847222222222223</v>
      </c>
      <c r="AE19" s="324">
        <v>995</v>
      </c>
      <c r="AF19" s="603">
        <f t="shared" si="11"/>
        <v>10.544588199045936</v>
      </c>
      <c r="AG19" s="603">
        <f t="shared" si="12"/>
        <v>11.551017632440468</v>
      </c>
      <c r="AH19" s="316">
        <f t="shared" si="13"/>
        <v>3.3398873374828968</v>
      </c>
      <c r="AI19" s="316">
        <f t="shared" si="14"/>
        <v>9.1432536484575859</v>
      </c>
      <c r="AJ19" s="316">
        <f t="shared" si="15"/>
        <v>10.591569385006011</v>
      </c>
      <c r="AK19" s="316">
        <f t="shared" si="16"/>
        <v>0.76062755660333869</v>
      </c>
      <c r="AL19" s="316">
        <f t="shared" si="17"/>
        <v>0.78483563980569904</v>
      </c>
      <c r="AM19" s="311">
        <f t="shared" si="18"/>
        <v>12.850704927644971</v>
      </c>
      <c r="AN19" s="311">
        <f t="shared" si="19"/>
        <v>14.077241937427889</v>
      </c>
      <c r="AO19" s="446">
        <v>1</v>
      </c>
      <c r="AP19" s="446">
        <v>2</v>
      </c>
      <c r="AQ19" s="590">
        <f t="shared" si="20"/>
        <v>4.9399999999999999E-2</v>
      </c>
      <c r="AR19" s="324">
        <v>21140</v>
      </c>
      <c r="AS19" s="264">
        <v>24880</v>
      </c>
      <c r="AT19" s="390">
        <f t="shared" si="21"/>
        <v>970</v>
      </c>
    </row>
    <row r="20" spans="1:46" s="263" customFormat="1" x14ac:dyDescent="0.25">
      <c r="A20" s="304" t="s">
        <v>623</v>
      </c>
      <c r="B20" s="384" t="s">
        <v>66</v>
      </c>
      <c r="C20" s="385">
        <f t="shared" ca="1" si="4"/>
        <v>3.4642857142857144</v>
      </c>
      <c r="D20" s="658" t="s">
        <v>869</v>
      </c>
      <c r="E20" s="210">
        <v>30</v>
      </c>
      <c r="F20" s="211">
        <f ca="1">64-41471+$D$1-112-112-29-112-112-112-112-112-112-112-112-112-112-112-112-112-112</f>
        <v>60</v>
      </c>
      <c r="G20" s="262" t="s">
        <v>502</v>
      </c>
      <c r="H20" s="393">
        <v>1</v>
      </c>
      <c r="I20" s="214">
        <v>10.3</v>
      </c>
      <c r="J20" s="486">
        <f t="shared" si="5"/>
        <v>1.4041045913112262</v>
      </c>
      <c r="K20" s="303">
        <f t="shared" si="6"/>
        <v>10.3</v>
      </c>
      <c r="L20" s="303">
        <f t="shared" si="7"/>
        <v>41.2</v>
      </c>
      <c r="M20" s="296">
        <v>7.7</v>
      </c>
      <c r="N20" s="445">
        <f t="shared" si="8"/>
        <v>96</v>
      </c>
      <c r="O20" s="677">
        <v>43060</v>
      </c>
      <c r="P20" s="678">
        <f ca="1">IF((TODAY()-O20)&gt;335,1,((TODAY()-O20)^0.64)/(336^0.64))</f>
        <v>0.78022734029733887</v>
      </c>
      <c r="Q20" s="446">
        <v>6</v>
      </c>
      <c r="R20" s="500">
        <f t="shared" si="9"/>
        <v>0.92582009977255142</v>
      </c>
      <c r="S20" s="500">
        <f t="shared" si="10"/>
        <v>0.99928545900129484</v>
      </c>
      <c r="T20" s="627">
        <v>298960</v>
      </c>
      <c r="U20" s="626">
        <f t="shared" si="2"/>
        <v>9990</v>
      </c>
      <c r="V20" s="627">
        <v>39864</v>
      </c>
      <c r="W20" s="316">
        <f t="shared" si="3"/>
        <v>7.499498294200281</v>
      </c>
      <c r="X20" s="485">
        <v>0</v>
      </c>
      <c r="Y20" s="486">
        <v>3</v>
      </c>
      <c r="Z20" s="485">
        <f>15+0.01+0.06</f>
        <v>15.07</v>
      </c>
      <c r="AA20" s="486">
        <f>12+0.01+0.01</f>
        <v>12.02</v>
      </c>
      <c r="AB20" s="485">
        <v>13</v>
      </c>
      <c r="AC20" s="486">
        <v>7.95</v>
      </c>
      <c r="AD20" s="485">
        <v>5</v>
      </c>
      <c r="AE20" s="324">
        <v>1977</v>
      </c>
      <c r="AF20" s="603">
        <f t="shared" ca="1" si="11"/>
        <v>15.974407310430562</v>
      </c>
      <c r="AG20" s="603">
        <f t="shared" ca="1" si="12"/>
        <v>17.254331931608565</v>
      </c>
      <c r="AH20" s="316">
        <f t="shared" ca="1" si="13"/>
        <v>4.1144597642473277</v>
      </c>
      <c r="AI20" s="316">
        <f t="shared" ca="1" si="14"/>
        <v>12.197099851958136</v>
      </c>
      <c r="AJ20" s="316">
        <f t="shared" ca="1" si="15"/>
        <v>7.470749694019676</v>
      </c>
      <c r="AK20" s="316">
        <f t="shared" ca="1" si="16"/>
        <v>0.72224655452868514</v>
      </c>
      <c r="AL20" s="316">
        <f t="shared" ca="1" si="17"/>
        <v>0.42290323521259954</v>
      </c>
      <c r="AM20" s="311">
        <f t="shared" ca="1" si="18"/>
        <v>6.6017240668086403</v>
      </c>
      <c r="AN20" s="311">
        <f t="shared" ca="1" si="19"/>
        <v>7.1306769732375681</v>
      </c>
      <c r="AO20" s="446">
        <v>3</v>
      </c>
      <c r="AP20" s="446">
        <v>3</v>
      </c>
      <c r="AQ20" s="590">
        <f t="shared" si="20"/>
        <v>0.1158</v>
      </c>
      <c r="AR20" s="627">
        <v>288970</v>
      </c>
      <c r="AS20" s="263">
        <v>273080</v>
      </c>
      <c r="AT20" s="390">
        <f t="shared" si="21"/>
        <v>-25880</v>
      </c>
    </row>
    <row r="21" spans="1:46" s="254" customFormat="1" x14ac:dyDescent="0.25">
      <c r="A21" s="384" t="s">
        <v>506</v>
      </c>
      <c r="B21" s="384" t="s">
        <v>66</v>
      </c>
      <c r="C21" s="385">
        <f t="shared" ca="1" si="4"/>
        <v>2.375</v>
      </c>
      <c r="D21" s="657" t="s">
        <v>287</v>
      </c>
      <c r="E21" s="387">
        <v>31</v>
      </c>
      <c r="F21" s="394">
        <f ca="1">74-41471+$D$1-112-112-29-112-112-112-112-112-112-112-112-112-112-112-112-112-112</f>
        <v>70</v>
      </c>
      <c r="G21" s="388" t="s">
        <v>296</v>
      </c>
      <c r="H21" s="371">
        <v>3</v>
      </c>
      <c r="I21" s="308">
        <v>11.8</v>
      </c>
      <c r="J21" s="486">
        <f t="shared" si="5"/>
        <v>1.4762799595304912</v>
      </c>
      <c r="K21" s="303">
        <f t="shared" si="6"/>
        <v>106.2</v>
      </c>
      <c r="L21" s="303">
        <f t="shared" si="7"/>
        <v>188.8</v>
      </c>
      <c r="M21" s="389">
        <v>7.6</v>
      </c>
      <c r="N21" s="445">
        <f t="shared" si="8"/>
        <v>95</v>
      </c>
      <c r="O21" s="445" t="s">
        <v>557</v>
      </c>
      <c r="P21" s="678">
        <v>1.5</v>
      </c>
      <c r="Q21" s="445">
        <v>7</v>
      </c>
      <c r="R21" s="500">
        <f t="shared" si="9"/>
        <v>1</v>
      </c>
      <c r="S21" s="500">
        <f t="shared" si="10"/>
        <v>1</v>
      </c>
      <c r="T21" s="324">
        <v>39350</v>
      </c>
      <c r="U21" s="626">
        <f t="shared" si="2"/>
        <v>2200</v>
      </c>
      <c r="V21" s="324">
        <v>2240</v>
      </c>
      <c r="W21" s="316">
        <f t="shared" si="3"/>
        <v>17.566964285714285</v>
      </c>
      <c r="X21" s="485">
        <v>0</v>
      </c>
      <c r="Y21" s="486">
        <f>5+(5/7)+0.07+0.21+0.07+0.07+0.07+0.07+0.07+0.07+0.06+0.03+0.03+0.03+0.03+0.03+0.2*33/90+0.03+0.03+0.02+0.02+0.01+0.01+0.01+0.01</f>
        <v>6.8376190476190493</v>
      </c>
      <c r="Z21" s="485">
        <v>8.9499999999999993</v>
      </c>
      <c r="AA21" s="486">
        <f>7.9+0.165+0.165+0.21+0.13+0.03+0.03+0.03+0.02+0.02+0.02+0.01+0.01</f>
        <v>8.7399999999999967</v>
      </c>
      <c r="AB21" s="485">
        <v>10</v>
      </c>
      <c r="AC21" s="486">
        <f>6.48+0.25+0.25+0.23+0.21+0.21+0.2+0.19+0.17+0.16+0.15+1/16</f>
        <v>8.5625000000000018</v>
      </c>
      <c r="AD21" s="485">
        <f>17.99+0.2+0.15+0.15+0.15+0.15+0.11+0.1</f>
        <v>18.999999999999993</v>
      </c>
      <c r="AE21" s="324">
        <v>1411</v>
      </c>
      <c r="AF21" s="603">
        <f t="shared" si="11"/>
        <v>11.92627995953049</v>
      </c>
      <c r="AG21" s="603">
        <f t="shared" si="12"/>
        <v>11.92627995953049</v>
      </c>
      <c r="AH21" s="316">
        <f t="shared" si="13"/>
        <v>4.4708073657763148</v>
      </c>
      <c r="AI21" s="316">
        <f t="shared" si="14"/>
        <v>23.641328710562384</v>
      </c>
      <c r="AJ21" s="316">
        <f t="shared" si="15"/>
        <v>18.845029959530486</v>
      </c>
      <c r="AK21" s="316">
        <f t="shared" si="16"/>
        <v>1.2362273967624391</v>
      </c>
      <c r="AL21" s="316">
        <f t="shared" si="17"/>
        <v>1.0518443590718962</v>
      </c>
      <c r="AM21" s="311">
        <f t="shared" si="18"/>
        <v>21.929176009741493</v>
      </c>
      <c r="AN21" s="311">
        <f t="shared" si="19"/>
        <v>21.929176009741493</v>
      </c>
      <c r="AO21" s="445">
        <v>4</v>
      </c>
      <c r="AP21" s="445">
        <v>2</v>
      </c>
      <c r="AQ21" s="590">
        <f t="shared" si="20"/>
        <v>0.157</v>
      </c>
      <c r="AR21" s="324">
        <v>37150</v>
      </c>
      <c r="AS21" s="254">
        <v>42840</v>
      </c>
      <c r="AT21" s="390">
        <f t="shared" si="21"/>
        <v>3490</v>
      </c>
    </row>
    <row r="22" spans="1:46" s="259" customFormat="1" x14ac:dyDescent="0.25">
      <c r="A22" s="384" t="s">
        <v>568</v>
      </c>
      <c r="B22" s="384" t="s">
        <v>66</v>
      </c>
      <c r="C22" s="385">
        <f t="shared" ca="1" si="4"/>
        <v>1.7589285714285714</v>
      </c>
      <c r="D22" s="657" t="s">
        <v>861</v>
      </c>
      <c r="E22" s="387">
        <v>32</v>
      </c>
      <c r="F22" s="211">
        <f ca="1">-41471+$D$1-748-112-112-12-112-112-112-22-112-112-112-112</f>
        <v>27</v>
      </c>
      <c r="G22" s="388" t="s">
        <v>268</v>
      </c>
      <c r="H22" s="371">
        <v>3</v>
      </c>
      <c r="I22" s="308">
        <v>12.1</v>
      </c>
      <c r="J22" s="486">
        <f t="shared" si="5"/>
        <v>1.4896950608743522</v>
      </c>
      <c r="K22" s="303">
        <f t="shared" si="6"/>
        <v>108.89999999999999</v>
      </c>
      <c r="L22" s="303">
        <f t="shared" si="7"/>
        <v>193.6</v>
      </c>
      <c r="M22" s="389">
        <v>7.2</v>
      </c>
      <c r="N22" s="445">
        <f t="shared" si="8"/>
        <v>91</v>
      </c>
      <c r="O22" s="677">
        <v>42869</v>
      </c>
      <c r="P22" s="678">
        <f ca="1">IF((TODAY()-O22)&gt;335,1,((TODAY()-O22)^0.64)/(336^0.64))</f>
        <v>1</v>
      </c>
      <c r="Q22" s="445">
        <v>6</v>
      </c>
      <c r="R22" s="500">
        <f t="shared" si="9"/>
        <v>0.92582009977255142</v>
      </c>
      <c r="S22" s="500">
        <f t="shared" si="10"/>
        <v>0.99928545900129484</v>
      </c>
      <c r="T22" s="324">
        <v>162950</v>
      </c>
      <c r="U22" s="626">
        <f t="shared" si="2"/>
        <v>-65150</v>
      </c>
      <c r="V22" s="324">
        <v>26232</v>
      </c>
      <c r="W22" s="316">
        <f t="shared" si="3"/>
        <v>6.2118786215309543</v>
      </c>
      <c r="X22" s="485">
        <v>0</v>
      </c>
      <c r="Y22" s="486">
        <f>2.98+0.02+0.02</f>
        <v>3.02</v>
      </c>
      <c r="Z22" s="485">
        <f>14+0.09*0.16+0.09*0.5+0.09*0.16+0.01+0.01+0.01+1/21*0.5+0.01+0.07+0.07</f>
        <v>14.277609523809524</v>
      </c>
      <c r="AA22" s="486">
        <f>3+0.02+0.02</f>
        <v>3.04</v>
      </c>
      <c r="AB22" s="485">
        <f>15+0.01+0.01</f>
        <v>15.02</v>
      </c>
      <c r="AC22" s="486">
        <v>9.9499999999999993</v>
      </c>
      <c r="AD22" s="485">
        <v>11</v>
      </c>
      <c r="AE22" s="324">
        <v>1903</v>
      </c>
      <c r="AF22" s="603">
        <f t="shared" ca="1" si="11"/>
        <v>15.523507603508786</v>
      </c>
      <c r="AG22" s="603">
        <f t="shared" ca="1" si="12"/>
        <v>16.767304584683878</v>
      </c>
      <c r="AH22" s="316">
        <f t="shared" ca="1" si="13"/>
        <v>4.6903302109332889</v>
      </c>
      <c r="AI22" s="316">
        <f t="shared" ca="1" si="14"/>
        <v>18.950820935848622</v>
      </c>
      <c r="AJ22" s="316">
        <f t="shared" ca="1" si="15"/>
        <v>12.197397495731632</v>
      </c>
      <c r="AK22" s="316">
        <f t="shared" ca="1" si="16"/>
        <v>1.0266756048699481</v>
      </c>
      <c r="AL22" s="316">
        <f t="shared" ca="1" si="17"/>
        <v>0.62507865426120457</v>
      </c>
      <c r="AM22" s="311">
        <f t="shared" ca="1" si="18"/>
        <v>12.446460476708797</v>
      </c>
      <c r="AN22" s="311">
        <f t="shared" ca="1" si="19"/>
        <v>13.443713827088601</v>
      </c>
      <c r="AO22" s="445">
        <v>1</v>
      </c>
      <c r="AP22" s="445">
        <v>3</v>
      </c>
      <c r="AQ22" s="590">
        <f t="shared" si="20"/>
        <v>4.9399999999999999E-2</v>
      </c>
      <c r="AR22" s="324">
        <v>228100</v>
      </c>
      <c r="AS22" s="259">
        <v>275040</v>
      </c>
      <c r="AT22" s="390">
        <f t="shared" si="21"/>
        <v>112090</v>
      </c>
    </row>
    <row r="23" spans="1:46" s="264" customFormat="1" x14ac:dyDescent="0.25">
      <c r="A23" s="384" t="s">
        <v>540</v>
      </c>
      <c r="B23" s="384" t="s">
        <v>66</v>
      </c>
      <c r="C23" s="385">
        <f t="shared" ca="1" si="4"/>
        <v>5.0982142857142856</v>
      </c>
      <c r="D23" s="658" t="s">
        <v>541</v>
      </c>
      <c r="E23" s="210">
        <v>28</v>
      </c>
      <c r="F23" s="211">
        <f ca="1">7-41471+$D$1-112-111-43-112-112-1-112-112-112-112-112-112-112-112-112-112-112</f>
        <v>101</v>
      </c>
      <c r="G23" s="262"/>
      <c r="H23" s="395">
        <v>5</v>
      </c>
      <c r="I23" s="214">
        <v>5.8</v>
      </c>
      <c r="J23" s="486">
        <f t="shared" si="5"/>
        <v>1.110011883608315</v>
      </c>
      <c r="K23" s="303">
        <f t="shared" si="6"/>
        <v>145</v>
      </c>
      <c r="L23" s="303">
        <f t="shared" si="7"/>
        <v>208.79999999999998</v>
      </c>
      <c r="M23" s="296">
        <v>6.9</v>
      </c>
      <c r="N23" s="445">
        <f t="shared" si="8"/>
        <v>88</v>
      </c>
      <c r="O23" s="445" t="s">
        <v>557</v>
      </c>
      <c r="P23" s="678">
        <v>1.5</v>
      </c>
      <c r="Q23" s="446">
        <v>3</v>
      </c>
      <c r="R23" s="500">
        <f t="shared" si="9"/>
        <v>0.65465367070797709</v>
      </c>
      <c r="S23" s="500">
        <f t="shared" si="10"/>
        <v>0.75498344352707503</v>
      </c>
      <c r="T23" s="627">
        <v>28550</v>
      </c>
      <c r="U23" s="626">
        <f t="shared" si="2"/>
        <v>-2900</v>
      </c>
      <c r="V23" s="627">
        <v>3110</v>
      </c>
      <c r="W23" s="316">
        <f t="shared" si="3"/>
        <v>9.180064308681672</v>
      </c>
      <c r="X23" s="485">
        <v>0</v>
      </c>
      <c r="Y23" s="486">
        <f>4+0.01+0.01</f>
        <v>4.0199999999999996</v>
      </c>
      <c r="Z23" s="485">
        <f>4.6+0.05+0.05+0.05+0.04+0.04+0.16+(0.16*30/90)+(0.16*60/90*0.16)+0.04+0.04+0.04+0.25/8+0.04+0.04+0.04+0.04+0.04+0.04+0.02+0.02*10/90+0.02+0.02+0.02+0.01+0.01+0.01+0.01</f>
        <v>5.5738722222222199</v>
      </c>
      <c r="AA23" s="486">
        <f>4.9+0.25+0.05+0.05+0.05+0.04+0.03+0.03+0.03+0.02+0.02+0.02+0.02</f>
        <v>5.5099999999999989</v>
      </c>
      <c r="AB23" s="485">
        <v>11</v>
      </c>
      <c r="AC23" s="486">
        <f>6.5+0.25+0.25+0.25+0.24+0.24+0.22+0.21+0.18*1/90+0.16+1/16</f>
        <v>8.384500000000001</v>
      </c>
      <c r="AD23" s="485">
        <f>9+1*5/90+0.65+0.65*61/90+0.65*52/90+0.55+0.55*27/90+0.55+0.5+0.5+0.3+0.25*0.6+0.25+(0.2*36/90)</f>
        <v>13.566666666666668</v>
      </c>
      <c r="AE23" s="324">
        <v>962</v>
      </c>
      <c r="AF23" s="603">
        <f t="shared" si="11"/>
        <v>5.3576097705306305</v>
      </c>
      <c r="AG23" s="603">
        <f t="shared" si="12"/>
        <v>6.1864348864576568</v>
      </c>
      <c r="AH23" s="316">
        <f t="shared" si="13"/>
        <v>2.770006261551055</v>
      </c>
      <c r="AI23" s="316">
        <f t="shared" si="14"/>
        <v>12.797211151989112</v>
      </c>
      <c r="AJ23" s="316">
        <f t="shared" si="15"/>
        <v>9.5723646636343602</v>
      </c>
      <c r="AK23" s="316">
        <f t="shared" si="16"/>
        <v>1.0350259506886652</v>
      </c>
      <c r="AL23" s="316">
        <f t="shared" si="17"/>
        <v>0.7505008318525821</v>
      </c>
      <c r="AM23" s="311">
        <f t="shared" si="18"/>
        <v>10.529823223076461</v>
      </c>
      <c r="AN23" s="311">
        <f t="shared" si="19"/>
        <v>12.158792544724735</v>
      </c>
      <c r="AO23" s="446">
        <v>2</v>
      </c>
      <c r="AP23" s="446">
        <v>1</v>
      </c>
      <c r="AQ23" s="590">
        <f t="shared" si="20"/>
        <v>6.1499999999999999E-2</v>
      </c>
      <c r="AR23" s="627">
        <v>31450</v>
      </c>
      <c r="AS23" s="264">
        <v>32430</v>
      </c>
      <c r="AT23" s="390">
        <f>AS23-T23</f>
        <v>3880</v>
      </c>
    </row>
    <row r="24" spans="1:46" x14ac:dyDescent="0.25">
      <c r="G24" s="4"/>
      <c r="H24"/>
      <c r="I24" s="284"/>
      <c r="J24" s="487"/>
      <c r="K24"/>
      <c r="T24" s="244">
        <f>SUM(T5:T23)+T3</f>
        <v>1693160</v>
      </c>
      <c r="U24" s="244">
        <f>SUM(U5:U23)</f>
        <v>-117820</v>
      </c>
      <c r="V24" s="244">
        <f>SUM(V5:V23)+V3</f>
        <v>259498</v>
      </c>
      <c r="W24" s="315">
        <f t="shared" si="3"/>
        <v>6.524751635850758</v>
      </c>
      <c r="X24"/>
      <c r="AD24" s="312"/>
      <c r="AE24" s="244">
        <f>AVERAGE(AE5:AE23)</f>
        <v>1543.3157894736842</v>
      </c>
      <c r="AH24" s="244"/>
      <c r="AI24" s="244"/>
      <c r="AJ24" s="244"/>
      <c r="AK24" s="244"/>
      <c r="AL24" s="244"/>
      <c r="AM24" s="244"/>
      <c r="AN24" s="244"/>
    </row>
    <row r="25" spans="1:46" x14ac:dyDescent="0.25">
      <c r="G25" s="455"/>
      <c r="K25" s="455"/>
      <c r="M25" s="455"/>
      <c r="N25" s="455"/>
      <c r="Q25" s="455"/>
      <c r="T25" s="313"/>
      <c r="U25" s="313"/>
      <c r="V25" s="313">
        <f>V24-V3</f>
        <v>259174</v>
      </c>
      <c r="W25" s="293"/>
      <c r="AE25" s="293"/>
      <c r="AH25" s="293"/>
      <c r="AI25" s="293"/>
      <c r="AJ25" s="293"/>
      <c r="AK25" s="293"/>
      <c r="AL25" s="293"/>
      <c r="AM25" s="293"/>
      <c r="AN25" s="293"/>
    </row>
    <row r="26" spans="1:46" x14ac:dyDescent="0.25">
      <c r="I26" s="265"/>
      <c r="Y26" s="159"/>
    </row>
    <row r="27" spans="1:46" x14ac:dyDescent="0.25">
      <c r="D27" s="605"/>
      <c r="I27" s="265"/>
      <c r="Y27" s="159"/>
      <c r="AE27" s="660"/>
    </row>
    <row r="28" spans="1:46" x14ac:dyDescent="0.25">
      <c r="D28" s="605"/>
      <c r="I28" s="265"/>
      <c r="V28" s="674"/>
      <c r="Y28" s="159"/>
    </row>
    <row r="29" spans="1:46" x14ac:dyDescent="0.25">
      <c r="D29" s="606"/>
      <c r="I29" s="265"/>
      <c r="V29" s="674"/>
      <c r="Y29" s="159"/>
    </row>
    <row r="30" spans="1:46" x14ac:dyDescent="0.25">
      <c r="I30" s="265"/>
      <c r="Y30" s="159"/>
    </row>
    <row r="31" spans="1:46" x14ac:dyDescent="0.25">
      <c r="I31" s="265"/>
      <c r="V31" s="674"/>
      <c r="Y31" s="159"/>
    </row>
    <row r="32" spans="1:46" x14ac:dyDescent="0.25">
      <c r="I32" s="265"/>
      <c r="Y32" s="159"/>
    </row>
    <row r="33" spans="3:40" x14ac:dyDescent="0.25">
      <c r="I33" s="265"/>
      <c r="Y33" s="159"/>
    </row>
    <row r="34" spans="3:40" x14ac:dyDescent="0.25">
      <c r="C34"/>
      <c r="D34"/>
      <c r="G34"/>
      <c r="H34"/>
      <c r="I34" s="265"/>
      <c r="K34"/>
      <c r="M34"/>
      <c r="N34"/>
      <c r="O34"/>
      <c r="P34"/>
      <c r="Q34"/>
      <c r="R34"/>
      <c r="S34"/>
      <c r="V34"/>
      <c r="W34"/>
      <c r="X34"/>
      <c r="AE34"/>
      <c r="AH34"/>
      <c r="AI34"/>
      <c r="AK34"/>
      <c r="AL34"/>
      <c r="AM34"/>
      <c r="AN34"/>
    </row>
    <row r="35" spans="3:40" x14ac:dyDescent="0.25">
      <c r="C35"/>
      <c r="D35"/>
      <c r="G35"/>
      <c r="H35"/>
      <c r="I35" s="265"/>
      <c r="K35"/>
      <c r="M35"/>
      <c r="N35"/>
      <c r="O35"/>
      <c r="P35"/>
      <c r="Q35"/>
      <c r="R35"/>
      <c r="S35"/>
      <c r="V35"/>
      <c r="W35"/>
      <c r="X35"/>
      <c r="AE35"/>
      <c r="AH35"/>
      <c r="AI35"/>
      <c r="AK35"/>
      <c r="AL35"/>
      <c r="AM35"/>
      <c r="AN35"/>
    </row>
    <row r="36" spans="3:40" x14ac:dyDescent="0.25">
      <c r="C36"/>
      <c r="D36"/>
      <c r="G36"/>
      <c r="H36"/>
      <c r="I36" s="265"/>
      <c r="K36"/>
      <c r="M36"/>
      <c r="N36"/>
      <c r="O36"/>
      <c r="P36"/>
      <c r="Q36"/>
      <c r="R36"/>
      <c r="S36"/>
      <c r="V36"/>
      <c r="W36"/>
      <c r="X36"/>
      <c r="AE36"/>
      <c r="AH36"/>
      <c r="AI36"/>
      <c r="AK36"/>
      <c r="AL36"/>
      <c r="AM36"/>
      <c r="AN36"/>
    </row>
    <row r="37" spans="3:40" x14ac:dyDescent="0.25">
      <c r="C37"/>
      <c r="D37"/>
      <c r="G37"/>
      <c r="H37"/>
      <c r="I37" s="265"/>
      <c r="K37"/>
      <c r="M37"/>
      <c r="N37"/>
      <c r="O37"/>
      <c r="P37"/>
      <c r="Q37"/>
      <c r="R37"/>
      <c r="S37"/>
      <c r="V37"/>
      <c r="W37"/>
      <c r="X37"/>
      <c r="AE37"/>
      <c r="AH37"/>
      <c r="AI37"/>
      <c r="AK37"/>
      <c r="AL37"/>
      <c r="AM37"/>
      <c r="AN37"/>
    </row>
  </sheetData>
  <sortState ref="A6:AR28">
    <sortCondition descending="1" ref="B6:B28"/>
  </sortState>
  <mergeCells count="1">
    <mergeCell ref="E1:G1"/>
  </mergeCells>
  <conditionalFormatting sqref="N6:N23">
    <cfRule type="cellIs" dxfId="361" priority="452" operator="greaterThan">
      <formula>82</formula>
    </cfRule>
    <cfRule type="cellIs" dxfId="360" priority="453" operator="lessThan">
      <formula>79</formula>
    </cfRule>
  </conditionalFormatting>
  <conditionalFormatting sqref="Q6:Q23">
    <cfRule type="cellIs" dxfId="359" priority="426" operator="greaterThan">
      <formula>6</formula>
    </cfRule>
    <cfRule type="cellIs" dxfId="358" priority="427" operator="lessThan">
      <formula>5</formula>
    </cfRule>
  </conditionalFormatting>
  <conditionalFormatting sqref="R6:S23">
    <cfRule type="cellIs" dxfId="357" priority="420" operator="greaterThan">
      <formula>0.95</formula>
    </cfRule>
    <cfRule type="cellIs" dxfId="356" priority="421" operator="lessThan">
      <formula>0.85</formula>
    </cfRule>
  </conditionalFormatting>
  <conditionalFormatting sqref="N5">
    <cfRule type="cellIs" dxfId="355" priority="301" operator="greaterThan">
      <formula>82</formula>
    </cfRule>
    <cfRule type="cellIs" dxfId="354" priority="302" operator="lessThan">
      <formula>79</formula>
    </cfRule>
  </conditionalFormatting>
  <conditionalFormatting sqref="Q5">
    <cfRule type="cellIs" dxfId="353" priority="299" operator="greaterThan">
      <formula>6</formula>
    </cfRule>
    <cfRule type="cellIs" dxfId="352" priority="300" operator="lessThan">
      <formula>5</formula>
    </cfRule>
  </conditionalFormatting>
  <conditionalFormatting sqref="R5:S5">
    <cfRule type="cellIs" dxfId="351" priority="297" operator="greaterThan">
      <formula>0.95</formula>
    </cfRule>
    <cfRule type="cellIs" dxfId="350" priority="298" operator="lessThan">
      <formula>0.85</formula>
    </cfRule>
  </conditionalFormatting>
  <conditionalFormatting sqref="AH5:AH23">
    <cfRule type="cellIs" dxfId="349" priority="31" operator="lessThan">
      <formula>3.6</formula>
    </cfRule>
    <cfRule type="cellIs" dxfId="348" priority="32" operator="greaterThan">
      <formula>3.6</formula>
    </cfRule>
  </conditionalFormatting>
  <conditionalFormatting sqref="AI5:AI23">
    <cfRule type="cellIs" dxfId="347" priority="28" operator="lessThan">
      <formula>12</formula>
    </cfRule>
    <cfRule type="cellIs" dxfId="346" priority="29" operator="between">
      <formula>12</formula>
      <formula>14</formula>
    </cfRule>
    <cfRule type="cellIs" dxfId="345" priority="30" operator="greaterThan">
      <formula>14</formula>
    </cfRule>
  </conditionalFormatting>
  <conditionalFormatting sqref="AJ5:AJ23">
    <cfRule type="cellIs" dxfId="344" priority="26" operator="lessThan">
      <formula>7.5</formula>
    </cfRule>
    <cfRule type="cellIs" dxfId="343" priority="27" operator="greaterThan">
      <formula>10</formula>
    </cfRule>
  </conditionalFormatting>
  <conditionalFormatting sqref="AK5:AL23">
    <cfRule type="cellIs" dxfId="342" priority="24" operator="lessThan">
      <formula>0.7</formula>
    </cfRule>
    <cfRule type="cellIs" dxfId="341" priority="25" operator="greaterThan">
      <formula>0.8</formula>
    </cfRule>
  </conditionalFormatting>
  <conditionalFormatting sqref="AM5:AN23">
    <cfRule type="cellIs" dxfId="340" priority="22" operator="lessThan">
      <formula>10</formula>
    </cfRule>
    <cfRule type="cellIs" dxfId="339" priority="23" operator="greaterThan">
      <formula>14</formula>
    </cfRule>
  </conditionalFormatting>
  <conditionalFormatting sqref="AQ5:AQ23">
    <cfRule type="cellIs" dxfId="338" priority="15" operator="lessThan">
      <formula>0.07</formula>
    </cfRule>
    <cfRule type="cellIs" dxfId="337" priority="16" operator="greaterThan">
      <formula>0.1</formula>
    </cfRule>
  </conditionalFormatting>
  <conditionalFormatting sqref="AF5:AG23">
    <cfRule type="cellIs" dxfId="336" priority="14" operator="greaterThan">
      <formula>12</formula>
    </cfRule>
  </conditionalFormatting>
  <conditionalFormatting sqref="I5:I23">
    <cfRule type="cellIs" dxfId="335" priority="9" operator="lessThan">
      <formula>3</formula>
    </cfRule>
    <cfRule type="cellIs" dxfId="334" priority="10" operator="greaterThan">
      <formula>7</formula>
    </cfRule>
  </conditionalFormatting>
  <conditionalFormatting sqref="C3">
    <cfRule type="colorScale" priority="1848">
      <colorScale>
        <cfvo type="min"/>
        <cfvo type="max"/>
        <color rgb="FFFFEF9C"/>
        <color rgb="FF63BE7B"/>
      </colorScale>
    </cfRule>
  </conditionalFormatting>
  <conditionalFormatting sqref="W3">
    <cfRule type="dataBar" priority="1849">
      <dataBar>
        <cfvo type="min"/>
        <cfvo type="max"/>
        <color rgb="FFFFB628"/>
      </dataBar>
    </cfRule>
  </conditionalFormatting>
  <conditionalFormatting sqref="V5:V23">
    <cfRule type="dataBar" priority="3059">
      <dataBar>
        <cfvo type="min"/>
        <cfvo type="max"/>
        <color rgb="FFFF555A"/>
      </dataBar>
      <extLst>
        <ext xmlns:x14="http://schemas.microsoft.com/office/spreadsheetml/2009/9/main" uri="{B025F937-C7B1-47D3-B67F-A62EFF666E3E}">
          <x14:id>{E7C097D9-B680-432D-BF62-5F3C642AF0AD}</x14:id>
        </ext>
      </extLst>
    </cfRule>
  </conditionalFormatting>
  <conditionalFormatting sqref="W5:W23">
    <cfRule type="dataBar" priority="3061">
      <dataBar>
        <cfvo type="min"/>
        <cfvo type="max"/>
        <color rgb="FFFFB628"/>
      </dataBar>
      <extLst>
        <ext xmlns:x14="http://schemas.microsoft.com/office/spreadsheetml/2009/9/main" uri="{B025F937-C7B1-47D3-B67F-A62EFF666E3E}">
          <x14:id>{3567EDC3-F608-464A-AE0A-1EA832FCF3E8}</x14:id>
        </ext>
      </extLst>
    </cfRule>
  </conditionalFormatting>
  <conditionalFormatting sqref="X5:AD23">
    <cfRule type="colorScale" priority="3063">
      <colorScale>
        <cfvo type="min"/>
        <cfvo type="max"/>
        <color rgb="FFFFEF9C"/>
        <color rgb="FF63BE7B"/>
      </colorScale>
    </cfRule>
  </conditionalFormatting>
  <conditionalFormatting sqref="T5:T23">
    <cfRule type="dataBar" priority="3065">
      <dataBar>
        <cfvo type="min"/>
        <cfvo type="max"/>
        <color rgb="FF638EC6"/>
      </dataBar>
      <extLst>
        <ext xmlns:x14="http://schemas.microsoft.com/office/spreadsheetml/2009/9/main" uri="{B025F937-C7B1-47D3-B67F-A62EFF666E3E}">
          <x14:id>{6526EE56-1374-458B-BF7F-FE05CE7F5717}</x14:id>
        </ext>
      </extLst>
    </cfRule>
  </conditionalFormatting>
  <conditionalFormatting sqref="U5:U23">
    <cfRule type="dataBar" priority="3067">
      <dataBar>
        <cfvo type="min"/>
        <cfvo type="max"/>
        <color rgb="FF63C384"/>
      </dataBar>
      <extLst>
        <ext xmlns:x14="http://schemas.microsoft.com/office/spreadsheetml/2009/9/main" uri="{B025F937-C7B1-47D3-B67F-A62EFF666E3E}">
          <x14:id>{48F466DF-8B55-4F4D-A6B0-FEE1C8210348}</x14:id>
        </ext>
      </extLst>
    </cfRule>
  </conditionalFormatting>
  <conditionalFormatting sqref="C5:C23">
    <cfRule type="colorScale" priority="3069">
      <colorScale>
        <cfvo type="min"/>
        <cfvo type="max"/>
        <color rgb="FFFFEF9C"/>
        <color rgb="FF63BE7B"/>
      </colorScale>
    </cfRule>
  </conditionalFormatting>
  <conditionalFormatting sqref="AE5:AE23">
    <cfRule type="dataBar" priority="3071">
      <dataBar>
        <cfvo type="min"/>
        <cfvo type="max"/>
        <color rgb="FF008AEF"/>
      </dataBar>
      <extLst>
        <ext xmlns:x14="http://schemas.microsoft.com/office/spreadsheetml/2009/9/main" uri="{B025F937-C7B1-47D3-B67F-A62EFF666E3E}">
          <x14:id>{9C1C1947-295C-4847-A125-212D9BCEE319}</x14:id>
        </ext>
      </extLst>
    </cfRule>
  </conditionalFormatting>
  <conditionalFormatting sqref="P5:P23">
    <cfRule type="colorScale" priority="3073">
      <colorScale>
        <cfvo type="min"/>
        <cfvo type="max"/>
        <color rgb="FFFFEF9C"/>
        <color rgb="FF63BE7B"/>
      </colorScale>
    </cfRule>
  </conditionalFormatting>
  <conditionalFormatting sqref="AR5:AR23">
    <cfRule type="dataBar" priority="1">
      <dataBar>
        <cfvo type="min"/>
        <cfvo type="max"/>
        <color rgb="FF638EC6"/>
      </dataBar>
      <extLst>
        <ext xmlns:x14="http://schemas.microsoft.com/office/spreadsheetml/2009/9/main" uri="{B025F937-C7B1-47D3-B67F-A62EFF666E3E}">
          <x14:id>{F28D47AF-E84A-43E2-9854-D6EC2B098B85}</x14:id>
        </ext>
      </extLst>
    </cfRule>
  </conditionalFormatting>
  <pageMargins left="0.7" right="0.7" top="0.75" bottom="0.75" header="0.3" footer="0.3"/>
  <pageSetup paperSize="9" scale="53"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E7C097D9-B680-432D-BF62-5F3C642AF0AD}">
            <x14:dataBar minLength="0" maxLength="100" gradient="0">
              <x14:cfvo type="autoMin"/>
              <x14:cfvo type="autoMax"/>
              <x14:negativeFillColor rgb="FFFF0000"/>
              <x14:axisColor rgb="FF000000"/>
            </x14:dataBar>
          </x14:cfRule>
          <xm:sqref>V5:V23</xm:sqref>
        </x14:conditionalFormatting>
        <x14:conditionalFormatting xmlns:xm="http://schemas.microsoft.com/office/excel/2006/main">
          <x14:cfRule type="dataBar" id="{3567EDC3-F608-464A-AE0A-1EA832FCF3E8}">
            <x14:dataBar minLength="0" maxLength="100" border="1" negativeBarBorderColorSameAsPositive="0">
              <x14:cfvo type="autoMin"/>
              <x14:cfvo type="autoMax"/>
              <x14:borderColor rgb="FFFFB628"/>
              <x14:negativeFillColor rgb="FFFF0000"/>
              <x14:negativeBorderColor rgb="FFFF0000"/>
              <x14:axisColor rgb="FF000000"/>
            </x14:dataBar>
          </x14:cfRule>
          <xm:sqref>W5:W23</xm:sqref>
        </x14:conditionalFormatting>
        <x14:conditionalFormatting xmlns:xm="http://schemas.microsoft.com/office/excel/2006/main">
          <x14:cfRule type="dataBar" id="{6526EE56-1374-458B-BF7F-FE05CE7F5717}">
            <x14:dataBar minLength="0" maxLength="100" border="1" negativeBarBorderColorSameAsPositive="0">
              <x14:cfvo type="autoMin"/>
              <x14:cfvo type="autoMax"/>
              <x14:borderColor rgb="FF638EC6"/>
              <x14:negativeFillColor rgb="FFFF0000"/>
              <x14:negativeBorderColor rgb="FFFF0000"/>
              <x14:axisColor rgb="FF000000"/>
            </x14:dataBar>
          </x14:cfRule>
          <xm:sqref>T5:T23</xm:sqref>
        </x14:conditionalFormatting>
        <x14:conditionalFormatting xmlns:xm="http://schemas.microsoft.com/office/excel/2006/main">
          <x14:cfRule type="dataBar" id="{48F466DF-8B55-4F4D-A6B0-FEE1C8210348}">
            <x14:dataBar minLength="0" maxLength="100" border="1" negativeBarBorderColorSameAsPositive="0">
              <x14:cfvo type="autoMin"/>
              <x14:cfvo type="autoMax"/>
              <x14:borderColor rgb="FF63C384"/>
              <x14:negativeFillColor rgb="FFFF0000"/>
              <x14:negativeBorderColor rgb="FFFF0000"/>
              <x14:axisColor rgb="FF000000"/>
            </x14:dataBar>
          </x14:cfRule>
          <xm:sqref>U5:U23</xm:sqref>
        </x14:conditionalFormatting>
        <x14:conditionalFormatting xmlns:xm="http://schemas.microsoft.com/office/excel/2006/main">
          <x14:cfRule type="dataBar" id="{9C1C1947-295C-4847-A125-212D9BCEE319}">
            <x14:dataBar minLength="0" maxLength="100" gradient="0">
              <x14:cfvo type="autoMin"/>
              <x14:cfvo type="autoMax"/>
              <x14:negativeFillColor rgb="FFFF0000"/>
              <x14:axisColor rgb="FF000000"/>
            </x14:dataBar>
          </x14:cfRule>
          <xm:sqref>AE5:AE23</xm:sqref>
        </x14:conditionalFormatting>
        <x14:conditionalFormatting xmlns:xm="http://schemas.microsoft.com/office/excel/2006/main">
          <x14:cfRule type="dataBar" id="{F28D47AF-E84A-43E2-9854-D6EC2B098B85}">
            <x14:dataBar minLength="0" maxLength="100" border="1" negativeBarBorderColorSameAsPositive="0">
              <x14:cfvo type="autoMin"/>
              <x14:cfvo type="autoMax"/>
              <x14:borderColor rgb="FF638EC6"/>
              <x14:negativeFillColor rgb="FFFF0000"/>
              <x14:negativeBorderColor rgb="FFFF0000"/>
              <x14:axisColor rgb="FF000000"/>
            </x14:dataBar>
          </x14:cfRule>
          <xm:sqref>AR5:AR23</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CK36"/>
  <sheetViews>
    <sheetView workbookViewId="0">
      <pane xSplit="17" ySplit="2" topLeftCell="R3" activePane="bottomRight" state="frozen"/>
      <selection pane="topRight" activeCell="R1" sqref="R1"/>
      <selection pane="bottomLeft" activeCell="A3" sqref="A3"/>
      <selection pane="bottomRight" activeCell="R16" sqref="R16"/>
    </sheetView>
  </sheetViews>
  <sheetFormatPr defaultColWidth="11.42578125" defaultRowHeight="15" x14ac:dyDescent="0.25"/>
  <cols>
    <col min="1" max="1" width="13.7109375" bestFit="1" customWidth="1"/>
    <col min="2" max="2" width="5.5703125" bestFit="1" customWidth="1"/>
    <col min="3" max="3" width="5.42578125" bestFit="1" customWidth="1"/>
    <col min="4" max="4" width="6.5703125" bestFit="1" customWidth="1"/>
    <col min="5" max="5" width="13" bestFit="1" customWidth="1"/>
    <col min="6" max="6" width="4.5703125" style="487" bestFit="1" customWidth="1"/>
    <col min="7" max="7" width="5.42578125" bestFit="1" customWidth="1"/>
    <col min="8" max="8" width="5.7109375" bestFit="1" customWidth="1"/>
    <col min="9" max="9" width="8.42578125" bestFit="1" customWidth="1"/>
    <col min="10" max="10" width="4.5703125" bestFit="1" customWidth="1"/>
    <col min="11" max="11" width="5.5703125" bestFit="1" customWidth="1"/>
    <col min="12" max="15" width="6.140625" bestFit="1" customWidth="1"/>
    <col min="16" max="17" width="5.5703125" bestFit="1" customWidth="1"/>
    <col min="18" max="18" width="4.85546875" bestFit="1" customWidth="1"/>
    <col min="19" max="19" width="5.5703125" bestFit="1" customWidth="1"/>
    <col min="20" max="21" width="6.140625" bestFit="1" customWidth="1"/>
    <col min="22" max="22" width="6.85546875" bestFit="1" customWidth="1"/>
    <col min="23" max="23" width="7.140625" bestFit="1" customWidth="1"/>
    <col min="24" max="24" width="7.7109375" bestFit="1" customWidth="1"/>
    <col min="25" max="25" width="7.85546875" bestFit="1" customWidth="1"/>
    <col min="26" max="26" width="7.42578125" bestFit="1" customWidth="1"/>
    <col min="27" max="27" width="10" bestFit="1" customWidth="1"/>
    <col min="28" max="28" width="7.85546875" bestFit="1" customWidth="1"/>
    <col min="29" max="29" width="7.42578125" bestFit="1" customWidth="1"/>
    <col min="30" max="30" width="5.140625" bestFit="1" customWidth="1"/>
    <col min="31" max="31" width="7.42578125" bestFit="1" customWidth="1"/>
    <col min="32" max="32" width="7.85546875" bestFit="1" customWidth="1"/>
    <col min="33" max="33" width="7.42578125" bestFit="1" customWidth="1"/>
    <col min="34" max="34" width="5.140625" bestFit="1" customWidth="1"/>
    <col min="35" max="35" width="9.7109375" bestFit="1" customWidth="1"/>
    <col min="36" max="36" width="7.85546875" bestFit="1" customWidth="1"/>
    <col min="37" max="37" width="5.140625" bestFit="1" customWidth="1"/>
    <col min="38" max="38" width="6.42578125" bestFit="1" customWidth="1"/>
    <col min="39" max="39" width="7.42578125" bestFit="1" customWidth="1"/>
    <col min="40" max="40" width="7.85546875" bestFit="1" customWidth="1"/>
    <col min="41" max="41" width="5.140625" bestFit="1" customWidth="1"/>
    <col min="42" max="42" width="6.42578125" bestFit="1" customWidth="1"/>
    <col min="43" max="43" width="7.42578125" bestFit="1" customWidth="1"/>
    <col min="44" max="44" width="7.85546875" bestFit="1" customWidth="1"/>
    <col min="45" max="45" width="7.42578125" bestFit="1" customWidth="1"/>
    <col min="46" max="46" width="5.5703125" bestFit="1" customWidth="1"/>
    <col min="47" max="47" width="6.42578125" bestFit="1" customWidth="1"/>
    <col min="48" max="48" width="6.85546875" bestFit="1" customWidth="1"/>
    <col min="49" max="49" width="6.42578125" bestFit="1" customWidth="1"/>
    <col min="50" max="50" width="7.42578125" bestFit="1" customWidth="1"/>
    <col min="51" max="51" width="7.85546875" bestFit="1" customWidth="1"/>
    <col min="52" max="52" width="7.42578125" bestFit="1" customWidth="1"/>
    <col min="53" max="53" width="5.5703125" bestFit="1" customWidth="1"/>
    <col min="54" max="54" width="6.42578125" bestFit="1" customWidth="1"/>
    <col min="55" max="55" width="6.85546875" bestFit="1" customWidth="1"/>
    <col min="56" max="56" width="6.42578125" bestFit="1" customWidth="1"/>
    <col min="57" max="57" width="7.42578125" bestFit="1" customWidth="1"/>
    <col min="58" max="58" width="7.85546875" bestFit="1" customWidth="1"/>
    <col min="59" max="59" width="5.5703125" bestFit="1" customWidth="1"/>
    <col min="60" max="60" width="6.42578125" bestFit="1" customWidth="1"/>
    <col min="61" max="61" width="6.85546875" bestFit="1" customWidth="1"/>
    <col min="62" max="62" width="7.42578125" bestFit="1" customWidth="1"/>
    <col min="63" max="63" width="7.85546875" bestFit="1" customWidth="1"/>
    <col min="64" max="64" width="5.140625" bestFit="1" customWidth="1"/>
    <col min="65" max="65" width="6.42578125" bestFit="1" customWidth="1"/>
    <col min="66" max="66" width="6.85546875" bestFit="1" customWidth="1"/>
    <col min="67" max="67" width="7.42578125" bestFit="1" customWidth="1"/>
    <col min="68" max="68" width="7.85546875" bestFit="1" customWidth="1"/>
    <col min="69" max="69" width="5.140625" bestFit="1" customWidth="1"/>
    <col min="70" max="70" width="6.42578125" bestFit="1" customWidth="1"/>
    <col min="71" max="71" width="6.85546875" bestFit="1" customWidth="1"/>
    <col min="72" max="72" width="7.42578125" bestFit="1" customWidth="1"/>
    <col min="73" max="73" width="7.85546875" bestFit="1" customWidth="1"/>
    <col min="74" max="74" width="5.140625" bestFit="1" customWidth="1"/>
    <col min="75" max="75" width="6.42578125" bestFit="1" customWidth="1"/>
    <col min="76" max="76" width="6.85546875" bestFit="1" customWidth="1"/>
    <col min="77" max="77" width="7.42578125" bestFit="1" customWidth="1"/>
    <col min="78" max="78" width="7.85546875" bestFit="1" customWidth="1"/>
    <col min="79" max="79" width="5.5703125" bestFit="1" customWidth="1"/>
    <col min="80" max="80" width="6.42578125" bestFit="1" customWidth="1"/>
    <col min="81" max="81" width="6.85546875" bestFit="1" customWidth="1"/>
    <col min="82" max="82" width="5.140625" bestFit="1" customWidth="1"/>
    <col min="83" max="83" width="6.42578125" bestFit="1" customWidth="1"/>
    <col min="84" max="84" width="6.85546875" bestFit="1" customWidth="1"/>
    <col min="85" max="86" width="6.42578125" bestFit="1" customWidth="1"/>
    <col min="87" max="87" width="6.85546875" bestFit="1" customWidth="1"/>
    <col min="88" max="88" width="6.42578125" bestFit="1" customWidth="1"/>
    <col min="89" max="89" width="5.140625" bestFit="1" customWidth="1"/>
  </cols>
  <sheetData>
    <row r="1" spans="1:89" x14ac:dyDescent="0.25">
      <c r="A1" s="290"/>
      <c r="D1" s="487"/>
      <c r="X1" t="s">
        <v>682</v>
      </c>
      <c r="AA1" t="s">
        <v>683</v>
      </c>
      <c r="AE1" t="s">
        <v>684</v>
      </c>
      <c r="AI1" t="s">
        <v>685</v>
      </c>
      <c r="AM1" t="s">
        <v>686</v>
      </c>
      <c r="AQ1" t="s">
        <v>681</v>
      </c>
      <c r="AX1" t="s">
        <v>687</v>
      </c>
      <c r="BE1" t="s">
        <v>503</v>
      </c>
      <c r="BJ1" t="s">
        <v>688</v>
      </c>
      <c r="BO1" t="s">
        <v>631</v>
      </c>
      <c r="BT1" t="s">
        <v>806</v>
      </c>
      <c r="BY1" t="s">
        <v>625</v>
      </c>
      <c r="CD1" t="s">
        <v>602</v>
      </c>
      <c r="CH1" t="s">
        <v>66</v>
      </c>
    </row>
    <row r="2" spans="1:89" x14ac:dyDescent="0.25">
      <c r="A2" s="488" t="s">
        <v>179</v>
      </c>
      <c r="B2" s="488" t="s">
        <v>689</v>
      </c>
      <c r="C2" s="488" t="s">
        <v>62</v>
      </c>
      <c r="D2" s="489" t="s">
        <v>690</v>
      </c>
      <c r="E2" s="488" t="s">
        <v>691</v>
      </c>
      <c r="F2" s="490" t="s">
        <v>692</v>
      </c>
      <c r="G2" s="490" t="s">
        <v>693</v>
      </c>
      <c r="H2" s="490" t="s">
        <v>694</v>
      </c>
      <c r="I2" s="491" t="s">
        <v>695</v>
      </c>
      <c r="J2" s="492" t="s">
        <v>696</v>
      </c>
      <c r="K2" s="492" t="s">
        <v>1</v>
      </c>
      <c r="L2" s="492" t="s">
        <v>2</v>
      </c>
      <c r="M2" s="492" t="s">
        <v>697</v>
      </c>
      <c r="N2" s="492" t="s">
        <v>65</v>
      </c>
      <c r="O2" s="492" t="s">
        <v>578</v>
      </c>
      <c r="P2" s="492" t="s">
        <v>698</v>
      </c>
      <c r="Q2" s="492" t="s">
        <v>0</v>
      </c>
      <c r="R2" s="493" t="s">
        <v>565</v>
      </c>
      <c r="S2" s="493" t="s">
        <v>828</v>
      </c>
      <c r="T2" s="493" t="s">
        <v>699</v>
      </c>
      <c r="U2" s="493" t="s">
        <v>700</v>
      </c>
      <c r="V2" s="493" t="s">
        <v>588</v>
      </c>
      <c r="W2" s="493" t="s">
        <v>589</v>
      </c>
      <c r="X2" s="494" t="s">
        <v>701</v>
      </c>
      <c r="Y2" s="494" t="s">
        <v>702</v>
      </c>
      <c r="Z2" s="494" t="s">
        <v>701</v>
      </c>
      <c r="AA2" s="495" t="s">
        <v>701</v>
      </c>
      <c r="AB2" s="495" t="s">
        <v>702</v>
      </c>
      <c r="AC2" s="495" t="s">
        <v>701</v>
      </c>
      <c r="AD2" s="495" t="s">
        <v>64</v>
      </c>
      <c r="AE2" s="495" t="s">
        <v>701</v>
      </c>
      <c r="AF2" s="495" t="s">
        <v>702</v>
      </c>
      <c r="AG2" s="495" t="s">
        <v>701</v>
      </c>
      <c r="AH2" s="495" t="s">
        <v>64</v>
      </c>
      <c r="AI2" s="494" t="s">
        <v>701</v>
      </c>
      <c r="AJ2" s="494" t="s">
        <v>702</v>
      </c>
      <c r="AK2" s="494" t="s">
        <v>64</v>
      </c>
      <c r="AL2" s="494" t="s">
        <v>703</v>
      </c>
      <c r="AM2" s="494" t="s">
        <v>701</v>
      </c>
      <c r="AN2" s="494" t="s">
        <v>702</v>
      </c>
      <c r="AO2" s="494" t="s">
        <v>64</v>
      </c>
      <c r="AP2" s="494" t="s">
        <v>703</v>
      </c>
      <c r="AQ2" s="494" t="s">
        <v>701</v>
      </c>
      <c r="AR2" s="494" t="s">
        <v>702</v>
      </c>
      <c r="AS2" s="494" t="s">
        <v>701</v>
      </c>
      <c r="AT2" s="494" t="s">
        <v>64</v>
      </c>
      <c r="AU2" s="494" t="s">
        <v>703</v>
      </c>
      <c r="AV2" s="494" t="s">
        <v>704</v>
      </c>
      <c r="AW2" s="494" t="s">
        <v>703</v>
      </c>
      <c r="AX2" s="494" t="s">
        <v>701</v>
      </c>
      <c r="AY2" s="494" t="s">
        <v>702</v>
      </c>
      <c r="AZ2" s="494" t="s">
        <v>701</v>
      </c>
      <c r="BA2" s="494" t="s">
        <v>64</v>
      </c>
      <c r="BB2" s="494" t="s">
        <v>703</v>
      </c>
      <c r="BC2" s="494" t="s">
        <v>704</v>
      </c>
      <c r="BD2" s="494" t="s">
        <v>703</v>
      </c>
      <c r="BE2" s="495" t="s">
        <v>701</v>
      </c>
      <c r="BF2" s="495" t="s">
        <v>702</v>
      </c>
      <c r="BG2" s="495" t="s">
        <v>64</v>
      </c>
      <c r="BH2" s="495" t="s">
        <v>703</v>
      </c>
      <c r="BI2" s="495" t="s">
        <v>704</v>
      </c>
      <c r="BJ2" s="495" t="s">
        <v>701</v>
      </c>
      <c r="BK2" s="495" t="s">
        <v>702</v>
      </c>
      <c r="BL2" s="495" t="s">
        <v>64</v>
      </c>
      <c r="BM2" s="495" t="s">
        <v>703</v>
      </c>
      <c r="BN2" s="495" t="s">
        <v>704</v>
      </c>
      <c r="BO2" s="494" t="s">
        <v>701</v>
      </c>
      <c r="BP2" s="494" t="s">
        <v>702</v>
      </c>
      <c r="BQ2" s="494" t="s">
        <v>64</v>
      </c>
      <c r="BR2" s="494" t="s">
        <v>703</v>
      </c>
      <c r="BS2" s="494" t="s">
        <v>704</v>
      </c>
      <c r="BT2" s="494" t="s">
        <v>701</v>
      </c>
      <c r="BU2" s="494" t="s">
        <v>702</v>
      </c>
      <c r="BV2" s="494" t="s">
        <v>64</v>
      </c>
      <c r="BW2" s="494" t="s">
        <v>703</v>
      </c>
      <c r="BX2" s="494" t="s">
        <v>704</v>
      </c>
      <c r="BY2" s="494" t="s">
        <v>701</v>
      </c>
      <c r="BZ2" s="494" t="s">
        <v>702</v>
      </c>
      <c r="CA2" s="494" t="s">
        <v>64</v>
      </c>
      <c r="CB2" s="494" t="s">
        <v>703</v>
      </c>
      <c r="CC2" s="494" t="s">
        <v>704</v>
      </c>
      <c r="CD2" s="495" t="s">
        <v>64</v>
      </c>
      <c r="CE2" s="495" t="s">
        <v>703</v>
      </c>
      <c r="CF2" s="495" t="s">
        <v>704</v>
      </c>
      <c r="CG2" s="495" t="s">
        <v>703</v>
      </c>
      <c r="CH2" s="494" t="s">
        <v>703</v>
      </c>
      <c r="CI2" s="494" t="s">
        <v>704</v>
      </c>
      <c r="CJ2" s="494" t="s">
        <v>703</v>
      </c>
      <c r="CK2" s="494" t="s">
        <v>64</v>
      </c>
    </row>
    <row r="3" spans="1:89" x14ac:dyDescent="0.25">
      <c r="A3" t="str">
        <f>PLANTILLA!D5</f>
        <v>D. Gehmacher</v>
      </c>
      <c r="B3" s="487">
        <f>PLANTILLA!E5</f>
        <v>31</v>
      </c>
      <c r="C3" s="341">
        <f ca="1">PLANTILLA!F5</f>
        <v>98</v>
      </c>
      <c r="D3" s="487"/>
      <c r="E3" s="290">
        <v>42468</v>
      </c>
      <c r="F3" s="341">
        <f>PLANTILLA!Q5</f>
        <v>5</v>
      </c>
      <c r="G3" s="406">
        <f>(F3/7)^0.5</f>
        <v>0.84515425472851657</v>
      </c>
      <c r="H3" s="406">
        <f>IF(F3=7,1,((F3+0.99)/7)^0.5)</f>
        <v>0.92504826128926143</v>
      </c>
      <c r="I3" s="496">
        <v>1</v>
      </c>
      <c r="J3" s="497">
        <f>PLANTILLA!I5</f>
        <v>20.3</v>
      </c>
      <c r="K3" s="163">
        <f>PLANTILLA!X5</f>
        <v>16.666666666666668</v>
      </c>
      <c r="L3" s="163">
        <f>PLANTILLA!Y5</f>
        <v>12.080559440559444</v>
      </c>
      <c r="M3" s="163">
        <f>PLANTILLA!Z5</f>
        <v>2.0699999999999985</v>
      </c>
      <c r="N3" s="163">
        <f>PLANTILLA!AA5</f>
        <v>2.149999999999999</v>
      </c>
      <c r="O3" s="163">
        <f>PLANTILLA!AB5</f>
        <v>1.0400000000000003</v>
      </c>
      <c r="P3" s="163">
        <f>PLANTILLA!AC5</f>
        <v>0.14055555555555557</v>
      </c>
      <c r="Q3" s="163">
        <f>PLANTILLA!AD5</f>
        <v>18.2</v>
      </c>
      <c r="R3" s="163">
        <f>((2*(O3+1))+(L3+1))/8</f>
        <v>2.1450699300699307</v>
      </c>
      <c r="S3" s="163">
        <f>1.66*(P3+(LOG(J3)*4/3)+I3)+0.55*(Q3+(LOG(J3)*4/3)+I3)-7.6</f>
        <v>8.7060772139398228</v>
      </c>
      <c r="T3" s="163">
        <f>(0.5*P3+ 0.3*Q3)/10</f>
        <v>0.55302777777777778</v>
      </c>
      <c r="U3" s="163">
        <f>(0.4*L3+0.3*Q3)/10</f>
        <v>1.0292223776223779</v>
      </c>
      <c r="V3" s="163">
        <f ca="1">IF(TODAY()-E3&gt;335,(Q3+1+(LOG(J3)*4/3))*(F3/7)^0.5,(Q3+((TODAY()-E3)^0.5)/(336^0.5)+(LOG(J3)*4/3))*(F3/7)^0.5)</f>
        <v>17.700342810098224</v>
      </c>
      <c r="W3" s="163">
        <f ca="1">IF(F3=7,V3,IF(TODAY()-E3&gt;335,(Q3+1+(LOG(J3)*4/3))*((F3+0.99)/7)^0.5,(Q3+((TODAY()-E3)^0.5)/(336^0.5)+(LOG(J3)*4/3))*((F3+0.99)/7)^0.5))</f>
        <v>19.373589198772773</v>
      </c>
      <c r="X3" s="159">
        <f>((K3+I3+(LOG(J3)*4/3))*0.597)+((L3+I3+(LOG(J3)*4/3))*0.276)</f>
        <v>15.679159793725386</v>
      </c>
      <c r="Y3" s="159">
        <f>((K3+I3+(LOG(J3)*4/3))*0.866)+((L3+I3+(LOG(J3)*4/3))*0.425)</f>
        <v>23.109207608832374</v>
      </c>
      <c r="Z3" s="159">
        <f>X3</f>
        <v>15.679159793725386</v>
      </c>
      <c r="AA3" s="159">
        <f>((L3+I3+(LOG(J3)*4/3))*0.516)</f>
        <v>7.6491259454129636</v>
      </c>
      <c r="AB3" s="159">
        <f>(L3+I3+(LOG(J3)*4/3))*1</f>
        <v>14.823887491110394</v>
      </c>
      <c r="AC3" s="159">
        <f>AA3/2</f>
        <v>3.8245629727064818</v>
      </c>
      <c r="AD3" s="159">
        <f>(M3+I3+(LOG(J3)*4/3))*0.238</f>
        <v>1.1455720760311259</v>
      </c>
      <c r="AE3" s="159">
        <f>((L3+I3+(LOG(J3)*4/3))*0.378)</f>
        <v>5.6034294716397293</v>
      </c>
      <c r="AF3" s="159">
        <f>(L3+I3+(LOG(J3)*4/3))*0.723</f>
        <v>10.717670656072814</v>
      </c>
      <c r="AG3" s="159">
        <f>AE3/2</f>
        <v>2.8017147358198646</v>
      </c>
      <c r="AH3" s="159">
        <f>(M3+I3+(LOG(J3)*4/3))*0.385</f>
        <v>1.8531312994621156</v>
      </c>
      <c r="AI3" s="159">
        <f>((L3+I3+(LOG(J3)*4/3))*0.92)</f>
        <v>13.637976491821563</v>
      </c>
      <c r="AJ3" s="159">
        <f>(L3+I3+(LOG(J3)*4/3))*0.414</f>
        <v>6.1370894213197031</v>
      </c>
      <c r="AK3" s="159">
        <f>((M3+I3+(LOG(J3)*4/3))*0.167)</f>
        <v>0.80382578444200858</v>
      </c>
      <c r="AL3" s="159">
        <f>(N3+I3+(LOG(J3)*4/3))*0.588</f>
        <v>2.8772768937239581</v>
      </c>
      <c r="AM3" s="159">
        <f>((L3+I3+(LOG(J3)*4/3))*0.754)</f>
        <v>11.177211168297237</v>
      </c>
      <c r="AN3" s="159">
        <f>((L3+I3+(LOG(J3)*4/3))*0.708)</f>
        <v>10.495312343706159</v>
      </c>
      <c r="AO3" s="159">
        <f>((Q3+I3+(LOG(J3)*4/3))*0.167)</f>
        <v>3.4975357844420087</v>
      </c>
      <c r="AP3" s="159">
        <f>((R3+I3+(LOG(J3)*4/3))*0.288)</f>
        <v>1.4078586184188138</v>
      </c>
      <c r="AQ3" s="159">
        <f>((L3+I3+(LOG(J3)*4/3))*0.27)</f>
        <v>4.0024496225998067</v>
      </c>
      <c r="AR3" s="159">
        <f>((L3+I3+(LOG(J3)*4/3))*0.594)</f>
        <v>8.8053891697195734</v>
      </c>
      <c r="AS3" s="159">
        <f>AQ3/2</f>
        <v>2.0012248112999034</v>
      </c>
      <c r="AT3" s="159">
        <f>((M3+I3+(LOG(J3)*4/3))*0.944)</f>
        <v>4.5437816797200963</v>
      </c>
      <c r="AU3" s="159">
        <f>((O3+I3+(LOG(J3)*4/3))*0.13)</f>
        <v>0.49183264657162362</v>
      </c>
      <c r="AV3" s="159">
        <f>((P3+I3+(LOG(J3)*4/3))*0.173)+((O3+I3+(LOG(J3)*4/3))*0.12)</f>
        <v>0.95291122992253974</v>
      </c>
      <c r="AW3" s="159">
        <f>AU3/2</f>
        <v>0.24591632328581181</v>
      </c>
      <c r="AX3" s="159">
        <f>((L3+I3+(LOG(J3)*4/3))*0.189)</f>
        <v>2.8017147358198646</v>
      </c>
      <c r="AY3" s="159">
        <f>((L3+I3+(LOG(J3)*4/3))*0.4)</f>
        <v>5.9295549964441578</v>
      </c>
      <c r="AZ3" s="159">
        <f>AX3/2</f>
        <v>1.4008573679099323</v>
      </c>
      <c r="BA3" s="159">
        <f>((M3+I3+(LOG(J3)*4/3))*1)</f>
        <v>4.8133280505509495</v>
      </c>
      <c r="BB3" s="159">
        <f>((O3+I3+(LOG(J3)*4/3))*0.253)</f>
        <v>0.95718199678939064</v>
      </c>
      <c r="BC3" s="159">
        <f>((P3+I3+(LOG(J3)*4/3))*0.21)+((O3+I3+(LOG(J3)*4/3))*0.341)</f>
        <v>1.8957304225202407</v>
      </c>
      <c r="BD3" s="159">
        <f>BB3/2</f>
        <v>0.47859099839469532</v>
      </c>
      <c r="BE3" s="159">
        <f>((L3+I3+(LOG(J3)*4/3))*0.291)</f>
        <v>4.3137512599131247</v>
      </c>
      <c r="BF3" s="159">
        <f>((L3+I3+(LOG(J3)*4/3))*0.348)</f>
        <v>5.1587128469064165</v>
      </c>
      <c r="BG3" s="159">
        <f>((M3+I3+(LOG(J3)*4/3))*0.881)</f>
        <v>4.2405420125353865</v>
      </c>
      <c r="BH3" s="159">
        <f>((N3+I3+(LOG(J3)*4/3))*0.574)+((O3+I3+(LOG(J3)*4/3))*0.315)</f>
        <v>4.0005186369397947</v>
      </c>
      <c r="BI3" s="159">
        <f>((O3+I3+(LOG(J3)*4/3))*0.241)</f>
        <v>0.91178206018277919</v>
      </c>
      <c r="BJ3" s="159">
        <f>((L3+I3+(LOG(J3)*4/3))*0.485)</f>
        <v>7.1895854331885412</v>
      </c>
      <c r="BK3" s="159">
        <f>((L3+I3+(LOG(J3)*4/3))*0.264)</f>
        <v>3.9135062976531443</v>
      </c>
      <c r="BL3" s="159">
        <f>((M3+I3+(LOG(J3)*4/3))*0.381)</f>
        <v>1.8338779872599118</v>
      </c>
      <c r="BM3" s="159">
        <f>((N3+I3+(LOG(J3)*4/3))*0.673)+((O3+I3+(LOG(J3)*4/3))*0.201)</f>
        <v>4.0536587161815305</v>
      </c>
      <c r="BN3" s="159">
        <f>((O3+I3+(LOG(J3)*4/3))*0.052)</f>
        <v>0.19673305862864945</v>
      </c>
      <c r="BO3" s="159">
        <f>((L3+I3+(LOG(J3)*4/3))*0.18)</f>
        <v>2.6682997483998707</v>
      </c>
      <c r="BP3" s="159">
        <f>(L3+I3+(LOG(J3)*4/3))*0.068</f>
        <v>1.0080243493955068</v>
      </c>
      <c r="BQ3" s="159">
        <f>((M3+I3+(LOG(J3)*4/3))*0.305)</f>
        <v>1.4680650554180397</v>
      </c>
      <c r="BR3" s="159">
        <f>((N3+I3+(LOG(J3)*4/3))*1)+((O3+I3+(LOG(J3)*4/3))*0.286)</f>
        <v>5.9753598730085216</v>
      </c>
      <c r="BS3" s="159">
        <f>((O3+I3+(LOG(J3)*4/3))*0.135)</f>
        <v>0.51074928682437837</v>
      </c>
      <c r="BT3" s="159">
        <f>((L3+I3+(LOG(J3)*4/3))*0.284)</f>
        <v>4.2099840474753512</v>
      </c>
      <c r="BU3" s="159">
        <f>(L3+I3+(LOG(J3)*4/3))*0.244</f>
        <v>3.6170285478309361</v>
      </c>
      <c r="BV3" s="159">
        <f>((M3+I3+(LOG(J3)*4/3))*0.455)</f>
        <v>2.1900642630006821</v>
      </c>
      <c r="BW3" s="159">
        <f>((N3+I3+(LOG(J3)*4/3))*0.864)+((O3+I3+(LOG(J3)*4/3))*0.244)</f>
        <v>5.1509674800104523</v>
      </c>
      <c r="BX3" s="159">
        <f>((O3+I3+(LOG(J3)*4/3))*0.121)</f>
        <v>0.45778269411666506</v>
      </c>
      <c r="BY3" s="159">
        <f>((L3+I3+(LOG(J3)*4/3))*0.284)</f>
        <v>4.2099840474753512</v>
      </c>
      <c r="BZ3" s="159">
        <f>((L3+I3+(LOG(J3)*4/3))*0.244)</f>
        <v>3.6170285478309361</v>
      </c>
      <c r="CA3" s="159">
        <f>((M3+I3+(LOG(J3)*4/3))*0.631)</f>
        <v>3.0372099998976489</v>
      </c>
      <c r="CB3" s="159">
        <f>((N3+I3+(LOG(J3)*4/3))*0.702)+((O3+I3+(LOG(J3)*4/3))*0.193)</f>
        <v>4.1652986052431</v>
      </c>
      <c r="CC3" s="159">
        <f>((O3+I3+(LOG(J3)*4/3))*0.148)</f>
        <v>0.55993255148154075</v>
      </c>
      <c r="CD3" s="159">
        <f>((M3+I3+(LOG(J3)*4/3))*0.406)</f>
        <v>1.9542111885236857</v>
      </c>
      <c r="CE3" s="159">
        <f>IF(D3="TEC",((N3+I3+(LOG(J3)*4/3))*0.15)+((O3+I3+(LOG(J3)*4/3))*0.324)+((P3+I3+(LOG(J3)*4/3))*0.127),(((N3+I3+(LOG(J3)*4/3))*0.144)+((O3+I3+(LOG(J3)*4/3))*0.25)+((P3+I3+(LOG(J3)*4/3))*0.127)))</f>
        <v>2.0167244698926008</v>
      </c>
      <c r="CF3" s="159">
        <f>((O3+I3+(LOG(J3)*4/3))*0.543)+((P3+I3+(LOG(J3)*4/3))*0.583)</f>
        <v>3.7356512738092595</v>
      </c>
      <c r="CG3" s="159">
        <f>CE3</f>
        <v>2.0167244698926008</v>
      </c>
      <c r="CH3" s="159">
        <f>((P3+1+(LOG(J3)*4/3))*0.26)+((N3+I3+(LOG(J3)*4/3))*0.221)+((O3+I3+(LOG(J3)*4/3))*0.142)</f>
        <v>2.3684678199376865</v>
      </c>
      <c r="CI3" s="159">
        <f>((P3+I3+(LOG(J3)*4/3))*1)+((O3+I3+(LOG(J3)*4/3))*0.369)</f>
        <v>4.2799316567598069</v>
      </c>
      <c r="CJ3" s="159">
        <f>CH3</f>
        <v>2.3684678199376865</v>
      </c>
      <c r="CK3" s="159">
        <f>((M3+I3+(LOG(J3)*4/3))*0.25)</f>
        <v>1.2033320126377374</v>
      </c>
    </row>
    <row r="4" spans="1:89" x14ac:dyDescent="0.25">
      <c r="A4" t="str">
        <f>PLANTILLA!D6</f>
        <v>T. Hammond</v>
      </c>
      <c r="B4" s="487">
        <f>PLANTILLA!E6</f>
        <v>35</v>
      </c>
      <c r="C4" s="487">
        <f ca="1">PLANTILLA!F6</f>
        <v>107</v>
      </c>
      <c r="D4" s="487" t="str">
        <f>PLANTILLA!G6</f>
        <v>CAB</v>
      </c>
      <c r="E4" s="290">
        <v>41400</v>
      </c>
      <c r="F4" s="341">
        <f>PLANTILLA!Q6</f>
        <v>4</v>
      </c>
      <c r="G4" s="406">
        <f t="shared" ref="G4:G5" si="0">(F4/7)^0.5</f>
        <v>0.7559289460184544</v>
      </c>
      <c r="H4" s="406">
        <f t="shared" ref="H4:H5" si="1">IF(F4=7,1,((F4+0.99)/7)^0.5)</f>
        <v>0.84430867747355465</v>
      </c>
      <c r="I4" s="496">
        <v>1.5</v>
      </c>
      <c r="J4" s="497">
        <f>PLANTILLA!I6</f>
        <v>8.1999999999999993</v>
      </c>
      <c r="K4" s="163">
        <f>PLANTILLA!X6</f>
        <v>9.9499999999999993</v>
      </c>
      <c r="L4" s="163">
        <f>PLANTILLA!Y6</f>
        <v>9.9499999999999993</v>
      </c>
      <c r="M4" s="163">
        <f>PLANTILLA!Z6</f>
        <v>3.99</v>
      </c>
      <c r="N4" s="163">
        <f>PLANTILLA!AA6</f>
        <v>4.95</v>
      </c>
      <c r="O4" s="163">
        <f>PLANTILLA!AB6</f>
        <v>5.95</v>
      </c>
      <c r="P4" s="163">
        <f>PLANTILLA!AC6</f>
        <v>2.95</v>
      </c>
      <c r="Q4" s="163">
        <f>PLANTILLA!AD6</f>
        <v>15.778888888888888</v>
      </c>
      <c r="R4" s="163">
        <f t="shared" ref="R4:R21" si="2">((2*(O4+1))+(L4+1))/8</f>
        <v>3.1062500000000002</v>
      </c>
      <c r="S4" s="163">
        <f t="shared" ref="S4:S21" si="3">1.66*(P4+(LOG(J4)*4/3)+I4)+0.55*(Q4+(LOG(J4)*4/3)+I4)-7.6</f>
        <v>11.983093707246242</v>
      </c>
      <c r="T4" s="163">
        <f t="shared" ref="T4:T21" si="4">(0.5*P4+ 0.3*Q4)/10</f>
        <v>0.62086666666666657</v>
      </c>
      <c r="U4" s="163">
        <f t="shared" ref="U4:U21" si="5">(0.4*L4+0.3*Q4)/10</f>
        <v>0.87136666666666662</v>
      </c>
      <c r="V4" s="163">
        <f t="shared" ref="V4:V21" ca="1" si="6">IF(TODAY()-E4&gt;335,(Q4+1+(LOG(J4)*4/3))*(F4/7)^0.5,(Q4+((TODAY()-E4)^0.5)/(336^0.5)+(LOG(J4)*4/3))*(F4/7)^0.5)</f>
        <v>13.604685582857847</v>
      </c>
      <c r="W4" s="163">
        <f t="shared" ref="W4:W21" ca="1" si="7">IF(F4=7,V4,IF(TODAY()-E4&gt;335,(Q4+1+(LOG(J4)*4/3))*((F4+0.99)/7)^0.5,(Q4+((TODAY()-E4)^0.5)/(336^0.5)+(LOG(J4)*4/3))*((F4+0.99)/7)^0.5))</f>
        <v>15.195282774137644</v>
      </c>
      <c r="X4" s="159">
        <f t="shared" ref="X4:X21" si="8">((K4+I4+(LOG(J4)*4/3))*0.597)+((L4+I4+(LOG(J4)*4/3))*0.276)</f>
        <v>11.059529324174646</v>
      </c>
      <c r="Y4" s="159">
        <f t="shared" ref="Y4:Y21" si="9">((K4+I4+(LOG(J4)*4/3))*0.866)+((L4+I4+(LOG(J4)*4/3))*0.425)</f>
        <v>16.354928244569837</v>
      </c>
      <c r="Z4" s="159">
        <f t="shared" ref="Z4:Z21" si="10">X4</f>
        <v>11.059529324174646</v>
      </c>
      <c r="AA4" s="159">
        <f t="shared" ref="AA4:AA21" si="11">((L4+I4+(LOG(J4)*4/3))*0.516)</f>
        <v>6.5369039304399967</v>
      </c>
      <c r="AB4" s="159">
        <f t="shared" ref="AB4:AB21" si="12">(L4+I4+(LOG(J4)*4/3))*1</f>
        <v>12.668418469844955</v>
      </c>
      <c r="AC4" s="159">
        <f t="shared" ref="AC4:AC21" si="13">AA4/2</f>
        <v>3.2684519652199984</v>
      </c>
      <c r="AD4" s="159">
        <f t="shared" ref="AD4:AD21" si="14">(M4+I4+(LOG(J4)*4/3))*0.238</f>
        <v>1.5966035958230995</v>
      </c>
      <c r="AE4" s="159">
        <f t="shared" ref="AE4:AE21" si="15">((L4+I4+(LOG(J4)*4/3))*0.378)</f>
        <v>4.788662181601393</v>
      </c>
      <c r="AF4" s="159">
        <f t="shared" ref="AF4:AF21" si="16">(L4+I4+(LOG(J4)*4/3))*0.723</f>
        <v>9.1592665536979023</v>
      </c>
      <c r="AG4" s="159">
        <f t="shared" ref="AG4:AG21" si="17">AE4/2</f>
        <v>2.3943310908006965</v>
      </c>
      <c r="AH4" s="159">
        <f t="shared" ref="AH4:AH21" si="18">(M4+I4+(LOG(J4)*4/3))*0.385</f>
        <v>2.582741110890308</v>
      </c>
      <c r="AI4" s="159">
        <f t="shared" ref="AI4:AI21" si="19">((L4+I4+(LOG(J4)*4/3))*0.92)</f>
        <v>11.654944992257359</v>
      </c>
      <c r="AJ4" s="159">
        <f t="shared" ref="AJ4:AJ21" si="20">(L4+I4+(LOG(J4)*4/3))*0.414</f>
        <v>5.2447252465158112</v>
      </c>
      <c r="AK4" s="159">
        <f t="shared" ref="AK4:AK21" si="21">((M4+I4+(LOG(J4)*4/3))*0.167)</f>
        <v>1.1203058844641076</v>
      </c>
      <c r="AL4" s="159">
        <f t="shared" ref="AL4:AL21" si="22">(N4+I4+(LOG(J4)*4/3))*0.588</f>
        <v>4.5090300602688336</v>
      </c>
      <c r="AM4" s="159">
        <f t="shared" ref="AM4:AM21" si="23">((L4+I4+(LOG(J4)*4/3))*0.754)</f>
        <v>9.5519875262630958</v>
      </c>
      <c r="AN4" s="159">
        <f t="shared" ref="AN4:AN21" si="24">((L4+I4+(LOG(J4)*4/3))*0.708)</f>
        <v>8.9692402766502273</v>
      </c>
      <c r="AO4" s="159">
        <f t="shared" ref="AO4:AO21" si="25">((Q4+I4+(LOG(J4)*4/3))*0.167)</f>
        <v>3.0890503289085518</v>
      </c>
      <c r="AP4" s="159">
        <f t="shared" ref="AP4:AP21" si="26">((R4+I4+(LOG(J4)*4/3))*0.288)</f>
        <v>1.6775045193153471</v>
      </c>
      <c r="AQ4" s="159">
        <f t="shared" ref="AQ4:AQ21" si="27">((L4+I4+(LOG(J4)*4/3))*0.27)</f>
        <v>3.4204729868581381</v>
      </c>
      <c r="AR4" s="159">
        <f t="shared" ref="AR4:AR21" si="28">((L4+I4+(LOG(J4)*4/3))*0.594)</f>
        <v>7.5250405710879029</v>
      </c>
      <c r="AS4" s="159">
        <f t="shared" ref="AS4:AS21" si="29">AQ4/2</f>
        <v>1.710236493429069</v>
      </c>
      <c r="AT4" s="159">
        <f t="shared" ref="AT4:AT21" si="30">((M4+I4+(LOG(J4)*4/3))*0.944)</f>
        <v>6.3327470355336377</v>
      </c>
      <c r="AU4" s="159">
        <f t="shared" ref="AU4:AU21" si="31">((O4+I4+(LOG(J4)*4/3))*0.13)</f>
        <v>1.1268944010798441</v>
      </c>
      <c r="AV4" s="159">
        <f t="shared" ref="AV4:AV21" si="32">((P4+I4+(LOG(J4)*4/3))*0.173)+((O4+I4+(LOG(J4)*4/3))*0.12)</f>
        <v>2.020846611664572</v>
      </c>
      <c r="AW4" s="159">
        <f t="shared" ref="AW4:AW21" si="33">AU4/2</f>
        <v>0.56344720053992203</v>
      </c>
      <c r="AX4" s="159">
        <f t="shared" ref="AX4:AX21" si="34">((L4+I4+(LOG(J4)*4/3))*0.189)</f>
        <v>2.3943310908006965</v>
      </c>
      <c r="AY4" s="159">
        <f t="shared" ref="AY4:AY21" si="35">((L4+I4+(LOG(J4)*4/3))*0.4)</f>
        <v>5.0673673879379821</v>
      </c>
      <c r="AZ4" s="159">
        <f t="shared" ref="AZ4:AZ21" si="36">AX4/2</f>
        <v>1.1971655454003483</v>
      </c>
      <c r="BA4" s="159">
        <f t="shared" ref="BA4:BA21" si="37">((M4+I4+(LOG(J4)*4/3))*1)</f>
        <v>6.7084184698449558</v>
      </c>
      <c r="BB4" s="159">
        <f t="shared" ref="BB4:BB21" si="38">((O4+I4+(LOG(J4)*4/3))*0.253)</f>
        <v>2.1931098728707736</v>
      </c>
      <c r="BC4" s="159">
        <f t="shared" ref="BC4:BC21" si="39">((P4+I4+(LOG(J4)*4/3))*0.21)+((O4+I4+(LOG(J4)*4/3))*0.341)</f>
        <v>4.1462985768845702</v>
      </c>
      <c r="BD4" s="159">
        <f t="shared" ref="BD4:BD21" si="40">BB4/2</f>
        <v>1.0965549364353868</v>
      </c>
      <c r="BE4" s="159">
        <f t="shared" ref="BE4:BE21" si="41">((L4+I4+(LOG(J4)*4/3))*0.291)</f>
        <v>3.6865097747248816</v>
      </c>
      <c r="BF4" s="159">
        <f t="shared" ref="BF4:BF21" si="42">((L4+I4+(LOG(J4)*4/3))*0.348)</f>
        <v>4.4086096275060438</v>
      </c>
      <c r="BG4" s="159">
        <f t="shared" ref="BG4:BG21" si="43">((M4+I4+(LOG(J4)*4/3))*0.881)</f>
        <v>5.9101166719334062</v>
      </c>
      <c r="BH4" s="159">
        <f t="shared" ref="BH4:BH21" si="44">((N4+I4+(LOG(J4)*4/3))*0.574)+((O4+I4+(LOG(J4)*4/3))*0.315)</f>
        <v>7.1322240196921651</v>
      </c>
      <c r="BI4" s="159">
        <f t="shared" ref="BI4:BI21" si="45">((O4+I4+(LOG(J4)*4/3))*0.241)</f>
        <v>2.089088851232634</v>
      </c>
      <c r="BJ4" s="159">
        <f t="shared" ref="BJ4:BJ21" si="46">((L4+I4+(LOG(J4)*4/3))*0.485)</f>
        <v>6.1441829578748033</v>
      </c>
      <c r="BK4" s="159">
        <f t="shared" ref="BK4:BK21" si="47">((L4+I4+(LOG(J4)*4/3))*0.264)</f>
        <v>3.3444624760390682</v>
      </c>
      <c r="BL4" s="159">
        <f t="shared" ref="BL4:BL21" si="48">((M4+I4+(LOG(J4)*4/3))*0.381)</f>
        <v>2.5559074370109283</v>
      </c>
      <c r="BM4" s="159">
        <f t="shared" ref="BM4:BM21" si="49">((N4+I4+(LOG(J4)*4/3))*0.673)+((O4+I4+(LOG(J4)*4/3))*0.201)</f>
        <v>6.9031977426444922</v>
      </c>
      <c r="BN4" s="159">
        <f t="shared" ref="BN4:BN21" si="50">((O4+I4+(LOG(J4)*4/3))*0.052)</f>
        <v>0.45075776043193766</v>
      </c>
      <c r="BO4" s="159">
        <f t="shared" ref="BO4:BO21" si="51">((L4+I4+(LOG(J4)*4/3))*0.18)</f>
        <v>2.2803153245720917</v>
      </c>
      <c r="BP4" s="159">
        <f t="shared" ref="BP4:BP21" si="52">(L4+I4+(LOG(J4)*4/3))*0.068</f>
        <v>0.86145245594945696</v>
      </c>
      <c r="BQ4" s="159">
        <f t="shared" ref="BQ4:BQ21" si="53">((M4+I4+(LOG(J4)*4/3))*0.305)</f>
        <v>2.0460676333027115</v>
      </c>
      <c r="BR4" s="159">
        <f t="shared" ref="BR4:BR21" si="54">((N4+I4+(LOG(J4)*4/3))*1)+((O4+I4+(LOG(J4)*4/3))*0.286)</f>
        <v>10.147586152220612</v>
      </c>
      <c r="BS4" s="159">
        <f t="shared" ref="BS4:BS21" si="55">((O4+I4+(LOG(J4)*4/3))*0.135)</f>
        <v>1.170236493429069</v>
      </c>
      <c r="BT4" s="159">
        <f t="shared" ref="BT4:BT21" si="56">((L4+I4+(LOG(J4)*4/3))*0.284)</f>
        <v>3.5978308454359667</v>
      </c>
      <c r="BU4" s="159">
        <f t="shared" ref="BU4:BU21" si="57">(L4+I4+(LOG(J4)*4/3))*0.244</f>
        <v>3.0910941066421689</v>
      </c>
      <c r="BV4" s="159">
        <f t="shared" ref="BV4:BV21" si="58">((M4+I4+(LOG(J4)*4/3))*0.455)</f>
        <v>3.0523304037794552</v>
      </c>
      <c r="BW4" s="159">
        <f t="shared" ref="BW4:BW21" si="59">((N4+I4+(LOG(J4)*4/3))*0.864)+((O4+I4+(LOG(J4)*4/3))*0.244)</f>
        <v>8.7406076645882109</v>
      </c>
      <c r="BX4" s="159">
        <f t="shared" ref="BX4:BX21" si="60">((O4+I4+(LOG(J4)*4/3))*0.121)</f>
        <v>1.0488786348512396</v>
      </c>
      <c r="BY4" s="159">
        <f t="shared" ref="BY4:BY21" si="61">((L4+I4+(LOG(J4)*4/3))*0.284)</f>
        <v>3.5978308454359667</v>
      </c>
      <c r="BZ4" s="159">
        <f t="shared" ref="BZ4:BZ21" si="62">((L4+I4+(LOG(J4)*4/3))*0.244)</f>
        <v>3.0910941066421689</v>
      </c>
      <c r="CA4" s="159">
        <f t="shared" ref="CA4:CA21" si="63">((M4+I4+(LOG(J4)*4/3))*0.631)</f>
        <v>4.2330120544721668</v>
      </c>
      <c r="CB4" s="159">
        <f t="shared" ref="CB4:CB21" si="64">((N4+I4+(LOG(J4)*4/3))*0.702)+((O4+I4+(LOG(J4)*4/3))*0.193)</f>
        <v>7.0562345305112348</v>
      </c>
      <c r="CC4" s="159">
        <f t="shared" ref="CC4:CC21" si="65">((O4+I4+(LOG(J4)*4/3))*0.148)</f>
        <v>1.2829259335370533</v>
      </c>
      <c r="CD4" s="159">
        <f t="shared" ref="CD4:CD21" si="66">((M4+I4+(LOG(J4)*4/3))*0.406)</f>
        <v>2.7236178987570523</v>
      </c>
      <c r="CE4" s="159">
        <f t="shared" ref="CE4:CE21" si="67">IF(D4="TEC",((N4+I4+(LOG(J4)*4/3))*0.15)+((O4+I4+(LOG(J4)*4/3))*0.324)+((P4+I4+(LOG(J4)*4/3))*0.127),(((N4+I4+(LOG(J4)*4/3))*0.144)+((O4+I4+(LOG(J4)*4/3))*0.25)+((P4+I4+(LOG(J4)*4/3))*0.127)))</f>
        <v>3.9912460227892219</v>
      </c>
      <c r="CF4" s="159">
        <f t="shared" ref="CF4:CF21" si="68">((O4+I4+(LOG(J4)*4/3))*0.543)+((P4+I4+(LOG(J4)*4/3))*0.583)</f>
        <v>8.0116391970454188</v>
      </c>
      <c r="CG4" s="159">
        <f t="shared" ref="CG4:CG21" si="69">CE4</f>
        <v>3.9912460227892219</v>
      </c>
      <c r="CH4" s="159">
        <f t="shared" ref="CH4:CH21" si="70">((P4+1+(LOG(J4)*4/3))*0.26)+((N4+I4+(LOG(J4)*4/3))*0.221)+((O4+I4+(LOG(J4)*4/3))*0.142)</f>
        <v>4.2694247067134077</v>
      </c>
      <c r="CI4" s="159">
        <f t="shared" ref="CI4:CI21" si="71">((P4+I4+(LOG(J4)*4/3))*1)+((O4+I4+(LOG(J4)*4/3))*0.369)</f>
        <v>8.8670648852177436</v>
      </c>
      <c r="CJ4" s="159">
        <f t="shared" ref="CJ4:CJ21" si="72">CH4</f>
        <v>4.2694247067134077</v>
      </c>
      <c r="CK4" s="159">
        <f t="shared" ref="CK4:CK21" si="73">((M4+I4+(LOG(J4)*4/3))*0.25)</f>
        <v>1.677104617461239</v>
      </c>
    </row>
    <row r="5" spans="1:89" x14ac:dyDescent="0.25">
      <c r="A5" t="str">
        <f>PLANTILLA!D8</f>
        <v>D. Toh</v>
      </c>
      <c r="B5" s="487">
        <f>PLANTILLA!E8</f>
        <v>33</v>
      </c>
      <c r="C5" s="487">
        <f ca="1">PLANTILLA!F8</f>
        <v>43</v>
      </c>
      <c r="D5" s="487" t="str">
        <f>PLANTILLA!G8</f>
        <v>CAB</v>
      </c>
      <c r="E5" s="290">
        <v>41519</v>
      </c>
      <c r="F5" s="341">
        <f>PLANTILLA!Q8</f>
        <v>6</v>
      </c>
      <c r="G5" s="406">
        <f t="shared" si="0"/>
        <v>0.92582009977255142</v>
      </c>
      <c r="H5" s="406">
        <f t="shared" si="1"/>
        <v>0.99928545900129484</v>
      </c>
      <c r="I5" s="496">
        <v>1.5</v>
      </c>
      <c r="J5" s="497">
        <f>PLANTILLA!I8</f>
        <v>8.4</v>
      </c>
      <c r="K5" s="163">
        <f>PLANTILLA!X8</f>
        <v>0</v>
      </c>
      <c r="L5" s="163">
        <f>PLANTILLA!Y8</f>
        <v>11.077333333333334</v>
      </c>
      <c r="M5" s="163">
        <f>PLANTILLA!Z8</f>
        <v>6.2194444444444406</v>
      </c>
      <c r="N5" s="163">
        <f>PLANTILLA!AA8</f>
        <v>5.95</v>
      </c>
      <c r="O5" s="163">
        <f>PLANTILLA!AB8</f>
        <v>7.7227777777777789</v>
      </c>
      <c r="P5" s="163">
        <f>PLANTILLA!AC8</f>
        <v>3.9933333333333318</v>
      </c>
      <c r="Q5" s="163">
        <f>PLANTILLA!AD8</f>
        <v>15.587777777777776</v>
      </c>
      <c r="R5" s="163">
        <f t="shared" si="2"/>
        <v>3.6903611111111116</v>
      </c>
      <c r="S5" s="163">
        <f t="shared" si="3"/>
        <v>13.640754074040119</v>
      </c>
      <c r="T5" s="163">
        <f t="shared" si="4"/>
        <v>0.66729999999999978</v>
      </c>
      <c r="U5" s="163">
        <f t="shared" si="5"/>
        <v>0.91072666666666657</v>
      </c>
      <c r="V5" s="163">
        <f t="shared" ca="1" si="6"/>
        <v>16.498253198346482</v>
      </c>
      <c r="W5" s="163">
        <f t="shared" ca="1" si="7"/>
        <v>17.807416931301791</v>
      </c>
      <c r="X5" s="159">
        <f t="shared" si="8"/>
        <v>5.4427050889760311</v>
      </c>
      <c r="Y5" s="159">
        <f t="shared" si="9"/>
        <v>8.2353594110745192</v>
      </c>
      <c r="Z5" s="159">
        <f t="shared" si="10"/>
        <v>5.4427050889760311</v>
      </c>
      <c r="AA5" s="159">
        <f t="shared" si="11"/>
        <v>7.1258081488105756</v>
      </c>
      <c r="AB5" s="159">
        <f t="shared" si="12"/>
        <v>13.809705714749176</v>
      </c>
      <c r="AC5" s="159">
        <f t="shared" si="13"/>
        <v>3.5629040744052878</v>
      </c>
      <c r="AD5" s="159">
        <f t="shared" si="14"/>
        <v>2.1305324045547471</v>
      </c>
      <c r="AE5" s="159">
        <f t="shared" si="15"/>
        <v>5.2200687601751889</v>
      </c>
      <c r="AF5" s="159">
        <f t="shared" si="16"/>
        <v>9.9844172317636541</v>
      </c>
      <c r="AG5" s="159">
        <f t="shared" si="17"/>
        <v>2.6100343800875945</v>
      </c>
      <c r="AH5" s="159">
        <f t="shared" si="18"/>
        <v>3.4464494779562087</v>
      </c>
      <c r="AI5" s="159">
        <f t="shared" si="19"/>
        <v>12.704929257569242</v>
      </c>
      <c r="AJ5" s="159">
        <f t="shared" si="20"/>
        <v>5.7172181659061589</v>
      </c>
      <c r="AK5" s="159">
        <f t="shared" si="21"/>
        <v>1.4949534099186672</v>
      </c>
      <c r="AL5" s="159">
        <f t="shared" si="22"/>
        <v>5.1052349602725151</v>
      </c>
      <c r="AM5" s="159">
        <f t="shared" si="23"/>
        <v>10.41251810892088</v>
      </c>
      <c r="AN5" s="159">
        <f t="shared" si="24"/>
        <v>9.7772716460424167</v>
      </c>
      <c r="AO5" s="159">
        <f t="shared" si="25"/>
        <v>3.059465076585334</v>
      </c>
      <c r="AP5" s="159">
        <f t="shared" si="26"/>
        <v>1.8497472458477624</v>
      </c>
      <c r="AQ5" s="159">
        <f t="shared" si="27"/>
        <v>3.7286205429822781</v>
      </c>
      <c r="AR5" s="159">
        <f t="shared" si="28"/>
        <v>8.2029651945610098</v>
      </c>
      <c r="AS5" s="159">
        <f t="shared" si="29"/>
        <v>1.864310271491139</v>
      </c>
      <c r="AT5" s="159">
        <f t="shared" si="30"/>
        <v>8.4505150836121068</v>
      </c>
      <c r="AU5" s="159">
        <f t="shared" si="31"/>
        <v>1.3591695206951708</v>
      </c>
      <c r="AV5" s="159">
        <f t="shared" si="32"/>
        <v>2.4181651077548416</v>
      </c>
      <c r="AW5" s="159">
        <f t="shared" si="33"/>
        <v>0.67958476034758541</v>
      </c>
      <c r="AX5" s="159">
        <f t="shared" si="34"/>
        <v>2.6100343800875945</v>
      </c>
      <c r="AY5" s="159">
        <f t="shared" si="35"/>
        <v>5.5238822858996706</v>
      </c>
      <c r="AZ5" s="159">
        <f t="shared" si="36"/>
        <v>1.3050171900437972</v>
      </c>
      <c r="BA5" s="159">
        <f t="shared" si="37"/>
        <v>8.9518168258602824</v>
      </c>
      <c r="BB5" s="159">
        <f t="shared" si="38"/>
        <v>2.6451529902759865</v>
      </c>
      <c r="BC5" s="159">
        <f t="shared" si="39"/>
        <v>4.977604404382352</v>
      </c>
      <c r="BD5" s="159">
        <f t="shared" si="40"/>
        <v>1.3225764951379932</v>
      </c>
      <c r="BE5" s="159">
        <f t="shared" si="41"/>
        <v>4.0186243629920098</v>
      </c>
      <c r="BF5" s="159">
        <f t="shared" si="42"/>
        <v>4.8057775887327132</v>
      </c>
      <c r="BG5" s="159">
        <f t="shared" si="43"/>
        <v>7.8865506235829086</v>
      </c>
      <c r="BH5" s="159">
        <f t="shared" si="44"/>
        <v>8.2770540470786838</v>
      </c>
      <c r="BI5" s="159">
        <f t="shared" si="45"/>
        <v>2.5196911883656625</v>
      </c>
      <c r="BJ5" s="159">
        <f t="shared" si="46"/>
        <v>6.6977072716533508</v>
      </c>
      <c r="BK5" s="159">
        <f t="shared" si="47"/>
        <v>3.6457623086937829</v>
      </c>
      <c r="BL5" s="159">
        <f t="shared" si="48"/>
        <v>3.4106422106527678</v>
      </c>
      <c r="BM5" s="159">
        <f t="shared" si="49"/>
        <v>7.9447217946907802</v>
      </c>
      <c r="BN5" s="159">
        <f t="shared" si="50"/>
        <v>0.54366780827806827</v>
      </c>
      <c r="BO5" s="159">
        <f t="shared" si="51"/>
        <v>2.4857470286548518</v>
      </c>
      <c r="BP5" s="159">
        <f t="shared" si="52"/>
        <v>0.93905998860294404</v>
      </c>
      <c r="BQ5" s="159">
        <f t="shared" si="53"/>
        <v>2.7303041318873862</v>
      </c>
      <c r="BR5" s="159">
        <f t="shared" si="54"/>
        <v>11.672545326945217</v>
      </c>
      <c r="BS5" s="159">
        <f t="shared" si="55"/>
        <v>1.411445271491139</v>
      </c>
      <c r="BT5" s="159">
        <f t="shared" si="56"/>
        <v>3.9219564229887656</v>
      </c>
      <c r="BU5" s="159">
        <f t="shared" si="57"/>
        <v>3.369568194398799</v>
      </c>
      <c r="BV5" s="159">
        <f t="shared" si="58"/>
        <v>4.0730766557664282</v>
      </c>
      <c r="BW5" s="159">
        <f t="shared" si="59"/>
        <v>10.052626376386531</v>
      </c>
      <c r="BX5" s="159">
        <f t="shared" si="60"/>
        <v>1.2650731692624282</v>
      </c>
      <c r="BY5" s="159">
        <f t="shared" si="61"/>
        <v>3.9219564229887656</v>
      </c>
      <c r="BZ5" s="159">
        <f t="shared" si="62"/>
        <v>3.369568194398799</v>
      </c>
      <c r="CA5" s="159">
        <f t="shared" si="63"/>
        <v>5.6485964171178384</v>
      </c>
      <c r="CB5" s="159">
        <f t="shared" si="64"/>
        <v>8.1128693924782898</v>
      </c>
      <c r="CC5" s="159">
        <f t="shared" si="65"/>
        <v>1.5473622235606559</v>
      </c>
      <c r="CD5" s="159">
        <f t="shared" si="66"/>
        <v>3.6344376312992748</v>
      </c>
      <c r="CE5" s="159">
        <f t="shared" si="67"/>
        <v>4.718213788495432</v>
      </c>
      <c r="CF5" s="159">
        <f t="shared" si="68"/>
        <v>9.5982329681409055</v>
      </c>
      <c r="CG5" s="159">
        <f t="shared" si="69"/>
        <v>4.718213788495432</v>
      </c>
      <c r="CH5" s="159">
        <f t="shared" si="70"/>
        <v>5.0221191047331804</v>
      </c>
      <c r="CI5" s="159">
        <f t="shared" si="71"/>
        <v>10.583656123491622</v>
      </c>
      <c r="CJ5" s="159">
        <f t="shared" si="72"/>
        <v>5.0221191047331804</v>
      </c>
      <c r="CK5" s="159">
        <f t="shared" si="73"/>
        <v>2.2379542064650706</v>
      </c>
    </row>
    <row r="6" spans="1:89" x14ac:dyDescent="0.25">
      <c r="A6" t="str">
        <f>PLANTILLA!D9</f>
        <v>E. Toney</v>
      </c>
      <c r="B6" s="487">
        <f>PLANTILLA!E9</f>
        <v>32</v>
      </c>
      <c r="C6" s="487">
        <f ca="1">PLANTILLA!F9</f>
        <v>109</v>
      </c>
      <c r="D6" s="487"/>
      <c r="E6" s="290">
        <v>41539</v>
      </c>
      <c r="F6" s="341">
        <f>PLANTILLA!Q9</f>
        <v>5</v>
      </c>
      <c r="G6" s="406">
        <f t="shared" ref="G6:G10" si="74">(F6/7)^0.5</f>
        <v>0.84515425472851657</v>
      </c>
      <c r="H6" s="406">
        <f>IF(F6=7,1,((F6+0.99)/7)^0.5)</f>
        <v>0.92504826128926143</v>
      </c>
      <c r="I6" s="496">
        <v>1.5</v>
      </c>
      <c r="J6" s="497">
        <f>PLANTILLA!I9</f>
        <v>14.3</v>
      </c>
      <c r="K6" s="163">
        <f>PLANTILLA!X9</f>
        <v>0</v>
      </c>
      <c r="L6" s="163">
        <f>PLANTILLA!Y9</f>
        <v>12.200000000000005</v>
      </c>
      <c r="M6" s="163">
        <f>PLANTILLA!Z9</f>
        <v>13.261555555555553</v>
      </c>
      <c r="N6" s="163">
        <f>PLANTILLA!AA9</f>
        <v>9.8750000000000053</v>
      </c>
      <c r="O6" s="163">
        <f>PLANTILLA!AB9</f>
        <v>9.6</v>
      </c>
      <c r="P6" s="163">
        <f>PLANTILLA!AC9</f>
        <v>3.6816666666666658</v>
      </c>
      <c r="Q6" s="163">
        <f>PLANTILLA!AD9</f>
        <v>17.177777777777774</v>
      </c>
      <c r="R6" s="163">
        <f t="shared" si="2"/>
        <v>4.3000000000000007</v>
      </c>
      <c r="S6" s="163">
        <f t="shared" si="3"/>
        <v>14.678734634841492</v>
      </c>
      <c r="T6" s="163">
        <f t="shared" si="4"/>
        <v>0.69941666666666646</v>
      </c>
      <c r="U6" s="163">
        <f t="shared" si="5"/>
        <v>1.0033333333333334</v>
      </c>
      <c r="V6" s="163">
        <f t="shared" ca="1" si="6"/>
        <v>16.664942454004741</v>
      </c>
      <c r="W6" s="163">
        <f t="shared" ca="1" si="7"/>
        <v>18.240310517651743</v>
      </c>
      <c r="X6" s="159">
        <f t="shared" si="8"/>
        <v>6.021511147609333</v>
      </c>
      <c r="Y6" s="159">
        <f t="shared" si="9"/>
        <v>9.1102184324898623</v>
      </c>
      <c r="Z6" s="159">
        <f t="shared" si="10"/>
        <v>6.021511147609333</v>
      </c>
      <c r="AA6" s="159">
        <f t="shared" si="11"/>
        <v>7.8640711937759651</v>
      </c>
      <c r="AB6" s="159">
        <f t="shared" si="12"/>
        <v>15.24044804995342</v>
      </c>
      <c r="AC6" s="159">
        <f t="shared" si="13"/>
        <v>3.9320355968879825</v>
      </c>
      <c r="AD6" s="159">
        <f t="shared" si="14"/>
        <v>3.8798768581111345</v>
      </c>
      <c r="AE6" s="159">
        <f t="shared" si="15"/>
        <v>5.7608893628823932</v>
      </c>
      <c r="AF6" s="159">
        <f t="shared" si="16"/>
        <v>11.018843940116323</v>
      </c>
      <c r="AG6" s="159">
        <f t="shared" si="17"/>
        <v>2.8804446814411966</v>
      </c>
      <c r="AH6" s="159">
        <f t="shared" si="18"/>
        <v>6.2762713881209526</v>
      </c>
      <c r="AI6" s="159">
        <f t="shared" si="19"/>
        <v>14.021212205957147</v>
      </c>
      <c r="AJ6" s="159">
        <f t="shared" si="20"/>
        <v>6.3095454926807157</v>
      </c>
      <c r="AK6" s="159">
        <f t="shared" si="21"/>
        <v>2.7224346021199977</v>
      </c>
      <c r="AL6" s="159">
        <f t="shared" si="22"/>
        <v>7.5942834533726105</v>
      </c>
      <c r="AM6" s="159">
        <f t="shared" si="23"/>
        <v>11.491297829664878</v>
      </c>
      <c r="AN6" s="159">
        <f t="shared" si="24"/>
        <v>10.79023721936702</v>
      </c>
      <c r="AO6" s="159">
        <f t="shared" si="25"/>
        <v>3.3764437132311089</v>
      </c>
      <c r="AP6" s="159">
        <f t="shared" si="26"/>
        <v>2.1140490383865838</v>
      </c>
      <c r="AQ6" s="159">
        <f t="shared" si="27"/>
        <v>4.1149209734874237</v>
      </c>
      <c r="AR6" s="159">
        <f t="shared" si="28"/>
        <v>9.0528261416723304</v>
      </c>
      <c r="AS6" s="159">
        <f t="shared" si="29"/>
        <v>2.0574604867437118</v>
      </c>
      <c r="AT6" s="159">
        <f t="shared" si="30"/>
        <v>15.389091403600466</v>
      </c>
      <c r="AU6" s="159">
        <f t="shared" si="31"/>
        <v>1.643258246493944</v>
      </c>
      <c r="AV6" s="159">
        <f t="shared" si="32"/>
        <v>2.6797796119696837</v>
      </c>
      <c r="AW6" s="159">
        <f t="shared" si="33"/>
        <v>0.82162912324697202</v>
      </c>
      <c r="AX6" s="159">
        <f t="shared" si="34"/>
        <v>2.8804446814411966</v>
      </c>
      <c r="AY6" s="159">
        <f t="shared" si="35"/>
        <v>6.0961792199813685</v>
      </c>
      <c r="AZ6" s="159">
        <f t="shared" si="36"/>
        <v>1.4402223407205983</v>
      </c>
      <c r="BA6" s="159">
        <f t="shared" si="37"/>
        <v>16.302003605508968</v>
      </c>
      <c r="BB6" s="159">
        <f t="shared" si="38"/>
        <v>3.1980333566382142</v>
      </c>
      <c r="BC6" s="159">
        <f t="shared" si="39"/>
        <v>5.7220368755243314</v>
      </c>
      <c r="BD6" s="159">
        <f t="shared" si="40"/>
        <v>1.5990166783191071</v>
      </c>
      <c r="BE6" s="159">
        <f t="shared" si="41"/>
        <v>4.434970382536445</v>
      </c>
      <c r="BF6" s="159">
        <f t="shared" si="42"/>
        <v>5.3036759213837898</v>
      </c>
      <c r="BG6" s="159">
        <f t="shared" si="43"/>
        <v>14.362065176453401</v>
      </c>
      <c r="BH6" s="159">
        <f t="shared" si="44"/>
        <v>11.395208316408588</v>
      </c>
      <c r="BI6" s="159">
        <f t="shared" si="45"/>
        <v>3.0463479800387727</v>
      </c>
      <c r="BJ6" s="159">
        <f t="shared" si="46"/>
        <v>7.3916173042274087</v>
      </c>
      <c r="BK6" s="159">
        <f t="shared" si="47"/>
        <v>4.0234782851877027</v>
      </c>
      <c r="BL6" s="159">
        <f t="shared" si="48"/>
        <v>6.2110633736989174</v>
      </c>
      <c r="BM6" s="159">
        <f t="shared" si="49"/>
        <v>11.23282659565929</v>
      </c>
      <c r="BN6" s="159">
        <f t="shared" si="50"/>
        <v>0.65730329859757752</v>
      </c>
      <c r="BO6" s="159">
        <f t="shared" si="51"/>
        <v>2.7432806489916155</v>
      </c>
      <c r="BP6" s="159">
        <f t="shared" si="52"/>
        <v>1.0363504673968327</v>
      </c>
      <c r="BQ6" s="159">
        <f t="shared" si="53"/>
        <v>4.9721110996802356</v>
      </c>
      <c r="BR6" s="159">
        <f t="shared" si="54"/>
        <v>16.530616192240096</v>
      </c>
      <c r="BS6" s="159">
        <f t="shared" si="55"/>
        <v>1.7064604867437112</v>
      </c>
      <c r="BT6" s="159">
        <f t="shared" si="56"/>
        <v>4.328287246186771</v>
      </c>
      <c r="BU6" s="159">
        <f t="shared" si="57"/>
        <v>3.7186693241886344</v>
      </c>
      <c r="BV6" s="159">
        <f t="shared" si="58"/>
        <v>7.4174116405065806</v>
      </c>
      <c r="BW6" s="159">
        <f t="shared" si="59"/>
        <v>14.243216439348387</v>
      </c>
      <c r="BX6" s="159">
        <f t="shared" si="60"/>
        <v>1.5294942140443633</v>
      </c>
      <c r="BY6" s="159">
        <f t="shared" si="61"/>
        <v>4.328287246186771</v>
      </c>
      <c r="BZ6" s="159">
        <f t="shared" si="62"/>
        <v>3.7186693241886344</v>
      </c>
      <c r="CA6" s="159">
        <f t="shared" si="63"/>
        <v>10.286564275076159</v>
      </c>
      <c r="CB6" s="159">
        <f t="shared" si="64"/>
        <v>11.506251004708309</v>
      </c>
      <c r="CC6" s="159">
        <f t="shared" si="65"/>
        <v>1.8707863113931054</v>
      </c>
      <c r="CD6" s="159">
        <f t="shared" si="66"/>
        <v>6.6186134638366418</v>
      </c>
      <c r="CE6" s="159">
        <f t="shared" si="67"/>
        <v>5.8736451006923964</v>
      </c>
      <c r="CF6" s="159">
        <f t="shared" si="68"/>
        <v>10.782756170914212</v>
      </c>
      <c r="CG6" s="159">
        <f t="shared" si="69"/>
        <v>5.8736451006923964</v>
      </c>
      <c r="CH6" s="159">
        <f t="shared" si="70"/>
        <v>6.2670074684543122</v>
      </c>
      <c r="CI6" s="159">
        <f t="shared" si="71"/>
        <v>11.386440047052892</v>
      </c>
      <c r="CJ6" s="159">
        <f t="shared" si="72"/>
        <v>6.2670074684543122</v>
      </c>
      <c r="CK6" s="159">
        <f t="shared" si="73"/>
        <v>4.0755009013772421</v>
      </c>
    </row>
    <row r="7" spans="1:89" x14ac:dyDescent="0.25">
      <c r="A7" t="str">
        <f>PLANTILLA!D10</f>
        <v>B. Bartolache</v>
      </c>
      <c r="B7" s="487">
        <f>PLANTILLA!E10</f>
        <v>32</v>
      </c>
      <c r="C7" s="487">
        <f ca="1">PLANTILLA!F10</f>
        <v>94</v>
      </c>
      <c r="D7" s="487"/>
      <c r="E7" s="290">
        <v>41527</v>
      </c>
      <c r="F7" s="341">
        <f>PLANTILLA!Q10</f>
        <v>6</v>
      </c>
      <c r="G7" s="406">
        <f t="shared" si="74"/>
        <v>0.92582009977255142</v>
      </c>
      <c r="H7" s="406">
        <f t="shared" ref="H7:H21" si="75">IF(F7=7,1,((F7+0.99)/7)^0.5)</f>
        <v>0.99928545900129484</v>
      </c>
      <c r="I7" s="496">
        <v>1.5</v>
      </c>
      <c r="J7" s="497">
        <f>PLANTILLA!I10</f>
        <v>10.4</v>
      </c>
      <c r="K7" s="163">
        <f>PLANTILLA!X10</f>
        <v>0</v>
      </c>
      <c r="L7" s="163">
        <f>PLANTILLA!Y10</f>
        <v>12</v>
      </c>
      <c r="M7" s="163">
        <f>PLANTILLA!Z10</f>
        <v>6.95</v>
      </c>
      <c r="N7" s="163">
        <f>PLANTILLA!AA10</f>
        <v>7.5000000000000018</v>
      </c>
      <c r="O7" s="163">
        <f>PLANTILLA!AB10</f>
        <v>8.9499999999999993</v>
      </c>
      <c r="P7" s="163">
        <f>PLANTILLA!AC10</f>
        <v>3.95</v>
      </c>
      <c r="Q7" s="163">
        <f>PLANTILLA!AD10</f>
        <v>16</v>
      </c>
      <c r="R7" s="163">
        <f t="shared" si="2"/>
        <v>4.1124999999999998</v>
      </c>
      <c r="S7" s="163">
        <f t="shared" si="3"/>
        <v>14.068858239800408</v>
      </c>
      <c r="T7" s="163">
        <f t="shared" si="4"/>
        <v>0.67749999999999999</v>
      </c>
      <c r="U7" s="163">
        <f t="shared" si="5"/>
        <v>0.96000000000000019</v>
      </c>
      <c r="V7" s="163">
        <f t="shared" ca="1" si="6"/>
        <v>16.994394906348848</v>
      </c>
      <c r="W7" s="163">
        <f t="shared" ca="1" si="7"/>
        <v>18.342928306063079</v>
      </c>
      <c r="X7" s="159">
        <f t="shared" si="8"/>
        <v>5.8053268069437802</v>
      </c>
      <c r="Y7" s="159">
        <f t="shared" si="9"/>
        <v>8.7871533880462991</v>
      </c>
      <c r="Z7" s="159">
        <f t="shared" si="10"/>
        <v>5.8053268069437802</v>
      </c>
      <c r="AA7" s="159">
        <f t="shared" si="11"/>
        <v>7.6657189374375614</v>
      </c>
      <c r="AB7" s="159">
        <f t="shared" si="12"/>
        <v>14.856044452398374</v>
      </c>
      <c r="AC7" s="159">
        <f t="shared" si="13"/>
        <v>3.8328594687187807</v>
      </c>
      <c r="AD7" s="159">
        <f t="shared" si="14"/>
        <v>2.3338385796708128</v>
      </c>
      <c r="AE7" s="159">
        <f t="shared" si="15"/>
        <v>5.6155848030065849</v>
      </c>
      <c r="AF7" s="159">
        <f t="shared" si="16"/>
        <v>10.740920139084023</v>
      </c>
      <c r="AG7" s="159">
        <f t="shared" si="17"/>
        <v>2.8077924015032925</v>
      </c>
      <c r="AH7" s="159">
        <f t="shared" si="18"/>
        <v>3.7753271141733737</v>
      </c>
      <c r="AI7" s="159">
        <f t="shared" si="19"/>
        <v>13.667560896206504</v>
      </c>
      <c r="AJ7" s="159">
        <f t="shared" si="20"/>
        <v>6.1504024032929268</v>
      </c>
      <c r="AK7" s="159">
        <f t="shared" si="21"/>
        <v>1.6376094235505283</v>
      </c>
      <c r="AL7" s="159">
        <f t="shared" si="22"/>
        <v>6.0893541380102443</v>
      </c>
      <c r="AM7" s="159">
        <f t="shared" si="23"/>
        <v>11.201457517108373</v>
      </c>
      <c r="AN7" s="159">
        <f t="shared" si="24"/>
        <v>10.518079472298048</v>
      </c>
      <c r="AO7" s="159">
        <f t="shared" si="25"/>
        <v>3.1489594235505285</v>
      </c>
      <c r="AP7" s="159">
        <f t="shared" si="26"/>
        <v>2.0069408022907314</v>
      </c>
      <c r="AQ7" s="159">
        <f t="shared" si="27"/>
        <v>4.0111320021475612</v>
      </c>
      <c r="AR7" s="159">
        <f t="shared" si="28"/>
        <v>8.8244904047246333</v>
      </c>
      <c r="AS7" s="159">
        <f t="shared" si="29"/>
        <v>2.0055660010737806</v>
      </c>
      <c r="AT7" s="159">
        <f t="shared" si="30"/>
        <v>9.2569059630640638</v>
      </c>
      <c r="AU7" s="159">
        <f t="shared" si="31"/>
        <v>1.5347857788117885</v>
      </c>
      <c r="AV7" s="159">
        <f t="shared" si="32"/>
        <v>2.5941710245527236</v>
      </c>
      <c r="AW7" s="159">
        <f t="shared" si="33"/>
        <v>0.76739288940589423</v>
      </c>
      <c r="AX7" s="159">
        <f t="shared" si="34"/>
        <v>2.8077924015032925</v>
      </c>
      <c r="AY7" s="159">
        <f t="shared" si="35"/>
        <v>5.9424177809593495</v>
      </c>
      <c r="AZ7" s="159">
        <f t="shared" si="36"/>
        <v>1.4038962007516462</v>
      </c>
      <c r="BA7" s="159">
        <f t="shared" si="37"/>
        <v>9.806044452398373</v>
      </c>
      <c r="BB7" s="159">
        <f t="shared" si="38"/>
        <v>2.9869292464567883</v>
      </c>
      <c r="BC7" s="159">
        <f t="shared" si="39"/>
        <v>5.4551304932715041</v>
      </c>
      <c r="BD7" s="159">
        <f t="shared" si="40"/>
        <v>1.4934646232283941</v>
      </c>
      <c r="BE7" s="159">
        <f t="shared" si="41"/>
        <v>4.3231089356479266</v>
      </c>
      <c r="BF7" s="159">
        <f t="shared" si="42"/>
        <v>5.169903469434634</v>
      </c>
      <c r="BG7" s="159">
        <f t="shared" si="43"/>
        <v>8.6391251625629675</v>
      </c>
      <c r="BH7" s="159">
        <f t="shared" si="44"/>
        <v>9.6632735181821552</v>
      </c>
      <c r="BI7" s="159">
        <f t="shared" si="45"/>
        <v>2.8452567130280078</v>
      </c>
      <c r="BJ7" s="159">
        <f t="shared" si="46"/>
        <v>7.2051815594132114</v>
      </c>
      <c r="BK7" s="159">
        <f t="shared" si="47"/>
        <v>3.9219957354331707</v>
      </c>
      <c r="BL7" s="159">
        <f t="shared" si="48"/>
        <v>3.7361029363637801</v>
      </c>
      <c r="BM7" s="159">
        <f t="shared" si="49"/>
        <v>9.3426328513961803</v>
      </c>
      <c r="BN7" s="159">
        <f t="shared" si="50"/>
        <v>0.61391431152471532</v>
      </c>
      <c r="BO7" s="159">
        <f t="shared" si="51"/>
        <v>2.674088001431707</v>
      </c>
      <c r="BP7" s="159">
        <f t="shared" si="52"/>
        <v>1.0102110227630894</v>
      </c>
      <c r="BQ7" s="159">
        <f t="shared" si="53"/>
        <v>2.9908435579815036</v>
      </c>
      <c r="BR7" s="159">
        <f t="shared" si="54"/>
        <v>13.732573165784309</v>
      </c>
      <c r="BS7" s="159">
        <f t="shared" si="55"/>
        <v>1.5938160010737805</v>
      </c>
      <c r="BT7" s="159">
        <f t="shared" si="56"/>
        <v>4.2191166244811376</v>
      </c>
      <c r="BU7" s="159">
        <f t="shared" si="57"/>
        <v>3.624874846385203</v>
      </c>
      <c r="BV7" s="159">
        <f t="shared" si="58"/>
        <v>4.4617502258412598</v>
      </c>
      <c r="BW7" s="159">
        <f t="shared" si="59"/>
        <v>11.828297253257398</v>
      </c>
      <c r="BX7" s="159">
        <f t="shared" si="60"/>
        <v>1.4285313787402032</v>
      </c>
      <c r="BY7" s="159">
        <f t="shared" si="61"/>
        <v>4.2191166244811376</v>
      </c>
      <c r="BZ7" s="159">
        <f t="shared" si="62"/>
        <v>3.624874846385203</v>
      </c>
      <c r="CA7" s="159">
        <f t="shared" si="63"/>
        <v>6.1876140494633738</v>
      </c>
      <c r="CB7" s="159">
        <f t="shared" si="64"/>
        <v>9.5485097848965452</v>
      </c>
      <c r="CC7" s="159">
        <f t="shared" si="65"/>
        <v>1.7472945789549592</v>
      </c>
      <c r="CD7" s="159">
        <f t="shared" si="66"/>
        <v>3.9812540476737399</v>
      </c>
      <c r="CE7" s="159">
        <f t="shared" si="67"/>
        <v>5.307149159699553</v>
      </c>
      <c r="CF7" s="159">
        <f t="shared" si="68"/>
        <v>10.378606053400569</v>
      </c>
      <c r="CG7" s="159">
        <f t="shared" si="69"/>
        <v>5.307149159699553</v>
      </c>
      <c r="CH7" s="159">
        <f t="shared" si="70"/>
        <v>5.6047156938441871</v>
      </c>
      <c r="CI7" s="159">
        <f t="shared" si="71"/>
        <v>11.162474855333373</v>
      </c>
      <c r="CJ7" s="159">
        <f t="shared" si="72"/>
        <v>5.6047156938441871</v>
      </c>
      <c r="CK7" s="159">
        <f t="shared" si="73"/>
        <v>2.4515111130995932</v>
      </c>
    </row>
    <row r="8" spans="1:89" x14ac:dyDescent="0.25">
      <c r="A8" t="str">
        <f>PLANTILLA!D11</f>
        <v>F. Lasprilla</v>
      </c>
      <c r="B8" s="487">
        <f>PLANTILLA!E11</f>
        <v>29</v>
      </c>
      <c r="C8" s="487">
        <f ca="1">PLANTILLA!F11</f>
        <v>5</v>
      </c>
      <c r="D8" s="487"/>
      <c r="E8" s="290">
        <v>42106</v>
      </c>
      <c r="F8" s="341">
        <f>PLANTILLA!Q11</f>
        <v>5</v>
      </c>
      <c r="G8" s="406">
        <f t="shared" si="74"/>
        <v>0.84515425472851657</v>
      </c>
      <c r="H8" s="406">
        <f t="shared" si="75"/>
        <v>0.92504826128926143</v>
      </c>
      <c r="I8" s="496">
        <v>1.5</v>
      </c>
      <c r="J8" s="497">
        <f>PLANTILLA!I11</f>
        <v>5.3</v>
      </c>
      <c r="K8" s="163">
        <f>PLANTILLA!X11</f>
        <v>0</v>
      </c>
      <c r="L8" s="163">
        <f>PLANTILLA!Y11</f>
        <v>9.6046666666666667</v>
      </c>
      <c r="M8" s="163">
        <f>PLANTILLA!Z11</f>
        <v>7.7607222222222223</v>
      </c>
      <c r="N8" s="163">
        <f>PLANTILLA!AA11</f>
        <v>6.1599999999999984</v>
      </c>
      <c r="O8" s="163">
        <f>PLANTILLA!AB11</f>
        <v>8.8633333333333315</v>
      </c>
      <c r="P8" s="163">
        <f>PLANTILLA!AC11</f>
        <v>3.2566666666666673</v>
      </c>
      <c r="Q8" s="163">
        <f>PLANTILLA!AD11</f>
        <v>13.33611111111111</v>
      </c>
      <c r="R8" s="163">
        <f t="shared" si="2"/>
        <v>3.7914166666666662</v>
      </c>
      <c r="S8" s="163">
        <f t="shared" si="3"/>
        <v>10.590127340201436</v>
      </c>
      <c r="T8" s="163">
        <f t="shared" si="4"/>
        <v>0.56291666666666662</v>
      </c>
      <c r="U8" s="163">
        <f t="shared" si="5"/>
        <v>0.78426999999999991</v>
      </c>
      <c r="V8" s="163">
        <f t="shared" ca="1" si="6"/>
        <v>12.932391745536719</v>
      </c>
      <c r="W8" s="163">
        <f t="shared" ca="1" si="7"/>
        <v>14.154914835473631</v>
      </c>
      <c r="X8" s="159">
        <f t="shared" si="8"/>
        <v>4.8034451122153188</v>
      </c>
      <c r="Y8" s="159">
        <f t="shared" si="9"/>
        <v>7.2652035302061577</v>
      </c>
      <c r="Z8" s="159">
        <f t="shared" si="10"/>
        <v>4.8034451122153188</v>
      </c>
      <c r="AA8" s="159">
        <f t="shared" si="11"/>
        <v>6.228309798285343</v>
      </c>
      <c r="AB8" s="159">
        <f t="shared" si="12"/>
        <v>12.070367826134385</v>
      </c>
      <c r="AC8" s="159">
        <f t="shared" si="13"/>
        <v>3.1141548991426715</v>
      </c>
      <c r="AD8" s="159">
        <f t="shared" si="14"/>
        <v>2.4338887648422056</v>
      </c>
      <c r="AE8" s="159">
        <f t="shared" si="15"/>
        <v>4.5625990382787975</v>
      </c>
      <c r="AF8" s="159">
        <f t="shared" si="16"/>
        <v>8.7268759382951604</v>
      </c>
      <c r="AG8" s="159">
        <f t="shared" si="17"/>
        <v>2.2812995191393988</v>
      </c>
      <c r="AH8" s="159">
        <f t="shared" si="18"/>
        <v>3.9371730019506272</v>
      </c>
      <c r="AI8" s="159">
        <f t="shared" si="19"/>
        <v>11.104738400043635</v>
      </c>
      <c r="AJ8" s="159">
        <f t="shared" si="20"/>
        <v>4.9971322800196347</v>
      </c>
      <c r="AK8" s="159">
        <f t="shared" si="21"/>
        <v>1.7078127047422202</v>
      </c>
      <c r="AL8" s="159">
        <f t="shared" si="22"/>
        <v>5.071912281767017</v>
      </c>
      <c r="AM8" s="159">
        <f t="shared" si="23"/>
        <v>9.1010573409053261</v>
      </c>
      <c r="AN8" s="159">
        <f t="shared" si="24"/>
        <v>8.5458204209031443</v>
      </c>
      <c r="AO8" s="159">
        <f t="shared" si="25"/>
        <v>2.6389026491866647</v>
      </c>
      <c r="AP8" s="159">
        <f t="shared" si="26"/>
        <v>1.8020499339267027</v>
      </c>
      <c r="AQ8" s="159">
        <f t="shared" si="27"/>
        <v>3.2589993130562842</v>
      </c>
      <c r="AR8" s="159">
        <f t="shared" si="28"/>
        <v>7.1697984887238242</v>
      </c>
      <c r="AS8" s="159">
        <f t="shared" si="29"/>
        <v>1.6294996565281421</v>
      </c>
      <c r="AT8" s="159">
        <f t="shared" si="30"/>
        <v>9.6537436723153043</v>
      </c>
      <c r="AU8" s="159">
        <f t="shared" si="31"/>
        <v>1.4727744840641366</v>
      </c>
      <c r="AV8" s="159">
        <f t="shared" si="32"/>
        <v>2.3494537730573746</v>
      </c>
      <c r="AW8" s="159">
        <f t="shared" si="33"/>
        <v>0.73638724203206829</v>
      </c>
      <c r="AX8" s="159">
        <f t="shared" si="34"/>
        <v>2.2812995191393988</v>
      </c>
      <c r="AY8" s="159">
        <f t="shared" si="35"/>
        <v>4.828147130453754</v>
      </c>
      <c r="AZ8" s="159">
        <f t="shared" si="36"/>
        <v>1.1406497595696994</v>
      </c>
      <c r="BA8" s="159">
        <f t="shared" si="37"/>
        <v>10.226423381689941</v>
      </c>
      <c r="BB8" s="159">
        <f t="shared" si="38"/>
        <v>2.8662457266786658</v>
      </c>
      <c r="BC8" s="159">
        <f t="shared" si="39"/>
        <v>5.0648980055333794</v>
      </c>
      <c r="BD8" s="159">
        <f t="shared" si="40"/>
        <v>1.4331228633393329</v>
      </c>
      <c r="BE8" s="159">
        <f t="shared" si="41"/>
        <v>3.5124770374051058</v>
      </c>
      <c r="BF8" s="159">
        <f t="shared" si="42"/>
        <v>4.2004880034947654</v>
      </c>
      <c r="BG8" s="159">
        <f t="shared" si="43"/>
        <v>9.009478999268838</v>
      </c>
      <c r="BH8" s="159">
        <f t="shared" si="44"/>
        <v>8.5197983307668004</v>
      </c>
      <c r="BI8" s="159">
        <f t="shared" si="45"/>
        <v>2.7302973127650527</v>
      </c>
      <c r="BJ8" s="159">
        <f t="shared" si="46"/>
        <v>5.8541283956751764</v>
      </c>
      <c r="BK8" s="159">
        <f t="shared" si="47"/>
        <v>3.1865771060994779</v>
      </c>
      <c r="BL8" s="159">
        <f t="shared" si="48"/>
        <v>3.8962673084238673</v>
      </c>
      <c r="BM8" s="159">
        <f t="shared" si="49"/>
        <v>8.0822328133747838</v>
      </c>
      <c r="BN8" s="159">
        <f t="shared" si="50"/>
        <v>0.58910979362565452</v>
      </c>
      <c r="BO8" s="159">
        <f t="shared" si="51"/>
        <v>2.172666208704189</v>
      </c>
      <c r="BP8" s="159">
        <f t="shared" si="52"/>
        <v>0.82078501217713828</v>
      </c>
      <c r="BQ8" s="159">
        <f t="shared" si="53"/>
        <v>3.1190591314154319</v>
      </c>
      <c r="BR8" s="159">
        <f t="shared" si="54"/>
        <v>11.865805024408816</v>
      </c>
      <c r="BS8" s="159">
        <f t="shared" si="55"/>
        <v>1.5294196565281417</v>
      </c>
      <c r="BT8" s="159">
        <f t="shared" si="56"/>
        <v>3.4279844626221649</v>
      </c>
      <c r="BU8" s="159">
        <f t="shared" si="57"/>
        <v>2.9451697495767899</v>
      </c>
      <c r="BV8" s="159">
        <f t="shared" si="58"/>
        <v>4.6530226386689231</v>
      </c>
      <c r="BW8" s="159">
        <f t="shared" si="59"/>
        <v>10.216890218023563</v>
      </c>
      <c r="BX8" s="159">
        <f t="shared" si="60"/>
        <v>1.3708131736289271</v>
      </c>
      <c r="BY8" s="159">
        <f t="shared" si="61"/>
        <v>3.4279844626221649</v>
      </c>
      <c r="BZ8" s="159">
        <f t="shared" si="62"/>
        <v>2.9451697495767899</v>
      </c>
      <c r="CA8" s="159">
        <f t="shared" si="63"/>
        <v>6.4528731538463528</v>
      </c>
      <c r="CB8" s="159">
        <f t="shared" si="64"/>
        <v>8.2417458710569385</v>
      </c>
      <c r="CC8" s="159">
        <f t="shared" si="65"/>
        <v>1.6766971049345554</v>
      </c>
      <c r="CD8" s="159">
        <f t="shared" si="66"/>
        <v>4.1519278929661159</v>
      </c>
      <c r="CE8" s="159">
        <f t="shared" si="67"/>
        <v>4.8011003040826807</v>
      </c>
      <c r="CF8" s="159">
        <f t="shared" si="68"/>
        <v>9.4878061722273177</v>
      </c>
      <c r="CG8" s="159">
        <f t="shared" si="69"/>
        <v>4.8011003040826807</v>
      </c>
      <c r="CH8" s="159">
        <f t="shared" si="70"/>
        <v>4.8728184890150548</v>
      </c>
      <c r="CI8" s="159">
        <f t="shared" si="71"/>
        <v>9.9027815539779738</v>
      </c>
      <c r="CJ8" s="159">
        <f t="shared" si="72"/>
        <v>4.8728184890150548</v>
      </c>
      <c r="CK8" s="159">
        <f t="shared" si="73"/>
        <v>2.5566058454224851</v>
      </c>
    </row>
    <row r="9" spans="1:89" x14ac:dyDescent="0.25">
      <c r="A9" t="str">
        <f>PLANTILLA!D7</f>
        <v>B. Pinczehelyi</v>
      </c>
      <c r="B9" s="487">
        <f>PLANTILLA!E7</f>
        <v>31</v>
      </c>
      <c r="C9" s="487">
        <f ca="1">PLANTILLA!F7</f>
        <v>110</v>
      </c>
      <c r="D9" s="487" t="str">
        <f>PLANTILLA!G7</f>
        <v>CAB</v>
      </c>
      <c r="E9" s="290">
        <v>42716</v>
      </c>
      <c r="F9" s="341">
        <f>PLANTILLA!Q7</f>
        <v>6</v>
      </c>
      <c r="G9" s="406">
        <f>(F9/7)^0.5</f>
        <v>0.92582009977255142</v>
      </c>
      <c r="H9" s="406">
        <f>IF(F9=7,1,((F9+0.99)/7)^0.5)</f>
        <v>0.99928545900129484</v>
      </c>
      <c r="I9" s="496">
        <v>1</v>
      </c>
      <c r="J9" s="497">
        <f>PLANTILLA!I7</f>
        <v>16</v>
      </c>
      <c r="K9" s="163">
        <f>PLANTILLA!X7</f>
        <v>0</v>
      </c>
      <c r="L9" s="163">
        <f>PLANTILLA!Y7</f>
        <v>14.300000000000004</v>
      </c>
      <c r="M9" s="163">
        <f>PLANTILLA!Z7</f>
        <v>9.3793333333333351</v>
      </c>
      <c r="N9" s="163">
        <f>PLANTILLA!AA7</f>
        <v>14.333333333333329</v>
      </c>
      <c r="O9" s="163">
        <f>PLANTILLA!AB7</f>
        <v>9.4199999999999982</v>
      </c>
      <c r="P9" s="163">
        <f>PLANTILLA!AC7</f>
        <v>1.1428571428571428</v>
      </c>
      <c r="Q9" s="163">
        <f>PLANTILLA!AD7</f>
        <v>11</v>
      </c>
      <c r="R9" s="163">
        <f>((2*(O9+1))+(L9+1))/8</f>
        <v>4.5175000000000001</v>
      </c>
      <c r="S9" s="163">
        <f t="shared" si="3"/>
        <v>6.1052830727023153</v>
      </c>
      <c r="T9" s="163">
        <f>(0.5*P9+ 0.3*Q9)/10</f>
        <v>0.38714285714285712</v>
      </c>
      <c r="U9" s="163">
        <f>(0.4*L9+0.3*Q9)/10</f>
        <v>0.90200000000000036</v>
      </c>
      <c r="V9" s="163">
        <f t="shared" ref="V9" ca="1" si="76">IF(TODAY()-E9&gt;335,(Q9+1+(LOG(J9)*4/3))*(F9/7)^0.5,(Q9+((TODAY()-E9)^0.5)/(336^0.5)+(LOG(J9)*4/3))*(F9/7)^0.5)</f>
        <v>12.596239173911458</v>
      </c>
      <c r="W9" s="163">
        <f t="shared" ref="W9" ca="1" si="77">IF(F9=7,V9,IF(TODAY()-E9&gt;335,(Q9+1+(LOG(J9)*4/3))*((F9+0.99)/7)^0.5,(Q9+((TODAY()-E9)^0.5)/(336^0.5)+(LOG(J9)*4/3))*((F9+0.99)/7)^0.5))</f>
        <v>13.595771627430148</v>
      </c>
      <c r="X9" s="159">
        <f>((K9+I9+(LOG(J9)*4/3))*0.597)+((L9+I9+(LOG(J9)*4/3))*0.276)</f>
        <v>6.2213956598114981</v>
      </c>
      <c r="Y9" s="159">
        <f>((K9+I9+(LOG(J9)*4/3))*0.866)+((L9+I9+(LOG(J9)*4/3))*0.425)</f>
        <v>9.4411918634783998</v>
      </c>
      <c r="Z9" s="159">
        <f>X9</f>
        <v>6.2213956598114981</v>
      </c>
      <c r="AA9" s="159">
        <f>((L9+I9+(LOG(J9)*4/3))*0.516)</f>
        <v>8.7232345480672802</v>
      </c>
      <c r="AB9" s="159">
        <f>(L9+I9+(LOG(J9)*4/3))*1</f>
        <v>16.905493310207905</v>
      </c>
      <c r="AC9" s="159">
        <f>AA9/2</f>
        <v>4.3616172740336401</v>
      </c>
      <c r="AD9" s="159">
        <f>(M9+I9+(LOG(J9)*4/3))*0.238</f>
        <v>2.8523887411628137</v>
      </c>
      <c r="AE9" s="159">
        <f>((L9+I9+(LOG(J9)*4/3))*0.378)</f>
        <v>6.3902764712585887</v>
      </c>
      <c r="AF9" s="159">
        <f>(L9+I9+(LOG(J9)*4/3))*0.723</f>
        <v>12.222671663280316</v>
      </c>
      <c r="AG9" s="159">
        <f>AE9/2</f>
        <v>3.1951382356292943</v>
      </c>
      <c r="AH9" s="159">
        <f>(M9+I9+(LOG(J9)*4/3))*0.385</f>
        <v>4.6141582577633757</v>
      </c>
      <c r="AI9" s="159">
        <f>((L9+I9+(LOG(J9)*4/3))*0.92)</f>
        <v>15.553053845391274</v>
      </c>
      <c r="AJ9" s="159">
        <f>(L9+I9+(LOG(J9)*4/3))*0.414</f>
        <v>6.9988742304260727</v>
      </c>
      <c r="AK9" s="159">
        <f>((M9+I9+(LOG(J9)*4/3))*0.167)</f>
        <v>2.0014660494713863</v>
      </c>
      <c r="AL9" s="159">
        <f>(N9+I9+(LOG(J9)*4/3))*0.588</f>
        <v>9.9600300664022434</v>
      </c>
      <c r="AM9" s="159">
        <f>((L9+I9+(LOG(J9)*4/3))*0.754)</f>
        <v>12.746741955896761</v>
      </c>
      <c r="AN9" s="159">
        <f>((L9+I9+(LOG(J9)*4/3))*0.708)</f>
        <v>11.969089263627197</v>
      </c>
      <c r="AO9" s="159">
        <f>((Q9+I9+(LOG(J9)*4/3))*0.167)</f>
        <v>2.2721173828047192</v>
      </c>
      <c r="AP9" s="159">
        <f>((R9+I9+(LOG(J9)*4/3))*0.288)</f>
        <v>2.0514220733398747</v>
      </c>
      <c r="AQ9" s="159">
        <f>((L9+I9+(LOG(J9)*4/3))*0.27)</f>
        <v>4.5644831937561348</v>
      </c>
      <c r="AR9" s="159">
        <f>((L9+I9+(LOG(J9)*4/3))*0.594)</f>
        <v>10.041863026263496</v>
      </c>
      <c r="AS9" s="159">
        <f>AQ9/2</f>
        <v>2.2822415968780674</v>
      </c>
      <c r="AT9" s="159">
        <f>((M9+I9+(LOG(J9)*4/3))*0.944)</f>
        <v>11.313676351502925</v>
      </c>
      <c r="AU9" s="159">
        <f>((O9+I9+(LOG(J9)*4/3))*0.13)</f>
        <v>1.5633141303270268</v>
      </c>
      <c r="AV9" s="159">
        <f>((P9+I9+(LOG(J9)*4/3))*0.173)+((O9+I9+(LOG(J9)*4/3))*0.12)</f>
        <v>2.0915238256051998</v>
      </c>
      <c r="AW9" s="159">
        <f>AU9/2</f>
        <v>0.78165706516351341</v>
      </c>
      <c r="AX9" s="159">
        <f>((L9+I9+(LOG(J9)*4/3))*0.189)</f>
        <v>3.1951382356292943</v>
      </c>
      <c r="AY9" s="159">
        <f>((L9+I9+(LOG(J9)*4/3))*0.4)</f>
        <v>6.7621973240831625</v>
      </c>
      <c r="AZ9" s="159">
        <f>AX9/2</f>
        <v>1.5975691178146472</v>
      </c>
      <c r="BA9" s="159">
        <f>((M9+I9+(LOG(J9)*4/3))*1)</f>
        <v>11.984826643541235</v>
      </c>
      <c r="BB9" s="159">
        <f>((O9+I9+(LOG(J9)*4/3))*0.253)</f>
        <v>3.0424498074825981</v>
      </c>
      <c r="BC9" s="159">
        <f>((P9+I9+(LOG(J9)*4/3))*0.21)+((O9+I9+(LOG(J9)*4/3))*0.341)</f>
        <v>4.8878468139245523</v>
      </c>
      <c r="BD9" s="159">
        <f>BB9/2</f>
        <v>1.521224903741299</v>
      </c>
      <c r="BE9" s="159">
        <f>((L9+I9+(LOG(J9)*4/3))*0.291)</f>
        <v>4.9194985532705005</v>
      </c>
      <c r="BF9" s="159">
        <f>((L9+I9+(LOG(J9)*4/3))*0.348)</f>
        <v>5.8831116719523511</v>
      </c>
      <c r="BG9" s="159">
        <f>((M9+I9+(LOG(J9)*4/3))*0.881)</f>
        <v>10.558632272959828</v>
      </c>
      <c r="BH9" s="159">
        <f>((N9+I9+(LOG(J9)*4/3))*0.574)+((O9+I9+(LOG(J9)*4/3))*0.315)</f>
        <v>13.510916886108152</v>
      </c>
      <c r="BI9" s="159">
        <f>((O9+I9+(LOG(J9)*4/3))*0.241)</f>
        <v>2.8981438877601033</v>
      </c>
      <c r="BJ9" s="159">
        <f>((L9+I9+(LOG(J9)*4/3))*0.485)</f>
        <v>8.1991642554508335</v>
      </c>
      <c r="BK9" s="159">
        <f>((L9+I9+(LOG(J9)*4/3))*0.264)</f>
        <v>4.4630502338948874</v>
      </c>
      <c r="BL9" s="159">
        <f>((M9+I9+(LOG(J9)*4/3))*0.381)</f>
        <v>4.5662189511892102</v>
      </c>
      <c r="BM9" s="159">
        <f>((N9+I9+(LOG(J9)*4/3))*0.673)+((O9+I9+(LOG(J9)*4/3))*0.201)</f>
        <v>13.816954486455035</v>
      </c>
      <c r="BN9" s="159">
        <f>((O9+I9+(LOG(J9)*4/3))*0.052)</f>
        <v>0.62532565213081059</v>
      </c>
      <c r="BO9" s="159">
        <f>((L9+I9+(LOG(J9)*4/3))*0.18)</f>
        <v>3.0429887958374229</v>
      </c>
      <c r="BP9" s="159">
        <f>(L9+I9+(LOG(J9)*4/3))*0.068</f>
        <v>1.1495735450941376</v>
      </c>
      <c r="BQ9" s="159">
        <f>((M9+I9+(LOG(J9)*4/3))*0.305)</f>
        <v>3.6553721262800765</v>
      </c>
      <c r="BR9" s="159">
        <f>((N9+I9+(LOG(J9)*4/3))*1)+((O9+I9+(LOG(J9)*4/3))*0.286)</f>
        <v>20.378117730260687</v>
      </c>
      <c r="BS9" s="159">
        <f>((O9+I9+(LOG(J9)*4/3))*0.135)</f>
        <v>1.6234415968780662</v>
      </c>
      <c r="BT9" s="159">
        <f t="shared" si="56"/>
        <v>4.8011601000990449</v>
      </c>
      <c r="BU9" s="159">
        <f t="shared" si="57"/>
        <v>4.124940367690729</v>
      </c>
      <c r="BV9" s="159">
        <f t="shared" si="58"/>
        <v>5.453096122811262</v>
      </c>
      <c r="BW9" s="159">
        <f t="shared" si="59"/>
        <v>17.569366587710348</v>
      </c>
      <c r="BX9" s="159">
        <f t="shared" si="60"/>
        <v>1.4550846905351555</v>
      </c>
      <c r="BY9" s="159">
        <f>((L9+I9+(LOG(J9)*4/3))*0.284)</f>
        <v>4.8011601000990449</v>
      </c>
      <c r="BZ9" s="159">
        <f>((L9+I9+(LOG(J9)*4/3))*0.244)</f>
        <v>4.124940367690729</v>
      </c>
      <c r="CA9" s="159">
        <f>((M9+I9+(LOG(J9)*4/3))*0.631)</f>
        <v>7.5624256120745192</v>
      </c>
      <c r="CB9" s="159">
        <f>((N9+I9+(LOG(J9)*4/3))*0.702)+((O9+I9+(LOG(J9)*4/3))*0.193)</f>
        <v>14.211976512636067</v>
      </c>
      <c r="CC9" s="159">
        <f>((O9+I9+(LOG(J9)*4/3))*0.148)</f>
        <v>1.7797730099107687</v>
      </c>
      <c r="CD9" s="159">
        <f>((M9+I9+(LOG(J9)*4/3))*0.406)</f>
        <v>4.8658396172777412</v>
      </c>
      <c r="CE9" s="159">
        <f>IF(D9="TEC",((N9+I9+(LOG(J9)*4/3))*0.15)+((O9+I9+(LOG(J9)*4/3))*0.324)+((P9+I9+(LOG(J9)*4/3))*0.127),(((N9+I9+(LOG(J9)*4/3))*0.144)+((O9+I9+(LOG(J9)*4/3))*0.25)+((P9+I9+(LOG(J9)*4/3))*0.127)))</f>
        <v>5.921604871761172</v>
      </c>
      <c r="CF9" s="159">
        <f>((O9+I9+(LOG(J9)*4/3))*0.543)+((P9+I9+(LOG(J9)*4/3))*0.583)</f>
        <v>8.7151311815798085</v>
      </c>
      <c r="CG9" s="159">
        <f>CE9</f>
        <v>5.921604871761172</v>
      </c>
      <c r="CH9" s="159">
        <f>((P9+1+(LOG(J9)*4/3))*0.26)+((N9+I9+(LOG(J9)*4/3))*0.221)+((O9+I9+(LOG(J9)*4/3))*0.142)</f>
        <v>6.4256718560690445</v>
      </c>
      <c r="CI9" s="159">
        <f>((P9+I9+(LOG(J9)*4/3))*1)+((O9+I9+(LOG(J9)*4/3))*0.369)</f>
        <v>8.1857574845317558</v>
      </c>
      <c r="CJ9" s="159">
        <f>CH9</f>
        <v>6.4256718560690445</v>
      </c>
      <c r="CK9" s="159">
        <f>((M9+I9+(LOG(J9)*4/3))*0.25)</f>
        <v>2.9962066608853086</v>
      </c>
    </row>
    <row r="10" spans="1:89" x14ac:dyDescent="0.25">
      <c r="A10" t="str">
        <f>PLANTILLA!D12</f>
        <v>E. Romweber</v>
      </c>
      <c r="B10" s="487">
        <f>PLANTILLA!E12</f>
        <v>32</v>
      </c>
      <c r="C10" s="487">
        <f ca="1">PLANTILLA!F12</f>
        <v>71</v>
      </c>
      <c r="D10" s="487" t="str">
        <f>PLANTILLA!G12</f>
        <v>IMP</v>
      </c>
      <c r="E10" s="290">
        <v>41583</v>
      </c>
      <c r="F10" s="341">
        <f>PLANTILLA!Q12</f>
        <v>5</v>
      </c>
      <c r="G10" s="406">
        <f t="shared" si="74"/>
        <v>0.84515425472851657</v>
      </c>
      <c r="H10" s="406">
        <f t="shared" si="75"/>
        <v>0.92504826128926143</v>
      </c>
      <c r="I10" s="496">
        <v>1.5</v>
      </c>
      <c r="J10" s="497">
        <f>PLANTILLA!I12</f>
        <v>14</v>
      </c>
      <c r="K10" s="163">
        <f>PLANTILLA!X12</f>
        <v>0</v>
      </c>
      <c r="L10" s="163">
        <f>PLANTILLA!Y12</f>
        <v>12.06111111111111</v>
      </c>
      <c r="M10" s="163">
        <f>PLANTILLA!Z12</f>
        <v>12.614111111111114</v>
      </c>
      <c r="N10" s="163">
        <f>PLANTILLA!AA12</f>
        <v>13.216666666666669</v>
      </c>
      <c r="O10" s="163">
        <f>PLANTILLA!AB12</f>
        <v>11</v>
      </c>
      <c r="P10" s="163">
        <f>PLANTILLA!AC12</f>
        <v>7.7700000000000005</v>
      </c>
      <c r="Q10" s="163">
        <f>PLANTILLA!AD12</f>
        <v>17.529999999999998</v>
      </c>
      <c r="R10" s="163">
        <f t="shared" si="2"/>
        <v>4.6326388888888888</v>
      </c>
      <c r="S10" s="163">
        <f t="shared" si="3"/>
        <v>21.631957278465208</v>
      </c>
      <c r="T10" s="163">
        <f t="shared" si="4"/>
        <v>0.91439999999999999</v>
      </c>
      <c r="U10" s="163">
        <f t="shared" si="5"/>
        <v>1.0083444444444445</v>
      </c>
      <c r="V10" s="163">
        <f t="shared" ca="1" si="6"/>
        <v>16.952248321208877</v>
      </c>
      <c r="W10" s="163">
        <f t="shared" ca="1" si="7"/>
        <v>18.554775943848718</v>
      </c>
      <c r="X10" s="159">
        <f t="shared" si="8"/>
        <v>5.9724597001961346</v>
      </c>
      <c r="Y10" s="159">
        <f t="shared" si="9"/>
        <v>9.0353406143030277</v>
      </c>
      <c r="Z10" s="159">
        <f t="shared" si="10"/>
        <v>5.9724597001961346</v>
      </c>
      <c r="AA10" s="159">
        <f t="shared" si="11"/>
        <v>7.7860694218799607</v>
      </c>
      <c r="AB10" s="159">
        <f t="shared" si="12"/>
        <v>15.08928182534876</v>
      </c>
      <c r="AC10" s="159">
        <f t="shared" si="13"/>
        <v>3.8930347109399803</v>
      </c>
      <c r="AD10" s="159">
        <f t="shared" si="14"/>
        <v>3.7228630744330058</v>
      </c>
      <c r="AE10" s="159">
        <f t="shared" si="15"/>
        <v>5.7037485299818309</v>
      </c>
      <c r="AF10" s="159">
        <f t="shared" si="16"/>
        <v>10.909550759727153</v>
      </c>
      <c r="AG10" s="159">
        <f t="shared" si="17"/>
        <v>2.8518742649909155</v>
      </c>
      <c r="AH10" s="159">
        <f t="shared" si="18"/>
        <v>6.0222785027592742</v>
      </c>
      <c r="AI10" s="159">
        <f t="shared" si="19"/>
        <v>13.88213927932086</v>
      </c>
      <c r="AJ10" s="159">
        <f t="shared" si="20"/>
        <v>6.2469626756943866</v>
      </c>
      <c r="AK10" s="159">
        <f t="shared" si="21"/>
        <v>2.6122610648332438</v>
      </c>
      <c r="AL10" s="159">
        <f t="shared" si="22"/>
        <v>9.5519643799717393</v>
      </c>
      <c r="AM10" s="159">
        <f t="shared" si="23"/>
        <v>11.377318496312965</v>
      </c>
      <c r="AN10" s="159">
        <f t="shared" si="24"/>
        <v>10.683211532346922</v>
      </c>
      <c r="AO10" s="159">
        <f t="shared" si="25"/>
        <v>3.4332145092776871</v>
      </c>
      <c r="AP10" s="159">
        <f t="shared" si="26"/>
        <v>2.2063131657004433</v>
      </c>
      <c r="AQ10" s="159">
        <f t="shared" si="27"/>
        <v>4.0741060928441657</v>
      </c>
      <c r="AR10" s="159">
        <f t="shared" si="28"/>
        <v>8.9630334042571622</v>
      </c>
      <c r="AS10" s="159">
        <f t="shared" si="29"/>
        <v>2.0370530464220828</v>
      </c>
      <c r="AT10" s="159">
        <f t="shared" si="30"/>
        <v>14.766314043129233</v>
      </c>
      <c r="AU10" s="159">
        <f t="shared" si="31"/>
        <v>1.8236621928508945</v>
      </c>
      <c r="AV10" s="159">
        <f t="shared" si="32"/>
        <v>3.5514640192716311</v>
      </c>
      <c r="AW10" s="159">
        <f t="shared" si="33"/>
        <v>0.91183109642544724</v>
      </c>
      <c r="AX10" s="159">
        <f t="shared" si="34"/>
        <v>2.8518742649909155</v>
      </c>
      <c r="AY10" s="159">
        <f t="shared" si="35"/>
        <v>6.0357127301395046</v>
      </c>
      <c r="AZ10" s="159">
        <f t="shared" si="36"/>
        <v>1.4259371324954577</v>
      </c>
      <c r="BA10" s="159">
        <f t="shared" si="37"/>
        <v>15.642281825348764</v>
      </c>
      <c r="BB10" s="159">
        <f t="shared" si="38"/>
        <v>3.5491271907021256</v>
      </c>
      <c r="BC10" s="159">
        <f t="shared" si="39"/>
        <v>7.0512220635449454</v>
      </c>
      <c r="BD10" s="159">
        <f t="shared" si="40"/>
        <v>1.7745635953510628</v>
      </c>
      <c r="BE10" s="159">
        <f t="shared" si="41"/>
        <v>4.3909810111764891</v>
      </c>
      <c r="BF10" s="159">
        <f t="shared" si="42"/>
        <v>5.2510700752213681</v>
      </c>
      <c r="BG10" s="159">
        <f t="shared" si="43"/>
        <v>13.780850288132262</v>
      </c>
      <c r="BH10" s="159">
        <f t="shared" si="44"/>
        <v>13.743410431623937</v>
      </c>
      <c r="BI10" s="159">
        <f t="shared" si="45"/>
        <v>3.3807891421312735</v>
      </c>
      <c r="BJ10" s="159">
        <f t="shared" si="46"/>
        <v>7.3183016852941485</v>
      </c>
      <c r="BK10" s="159">
        <f t="shared" si="47"/>
        <v>3.9835704018920728</v>
      </c>
      <c r="BL10" s="159">
        <f t="shared" si="48"/>
        <v>5.9597093754578792</v>
      </c>
      <c r="BM10" s="159">
        <f t="shared" si="49"/>
        <v>13.752437870910375</v>
      </c>
      <c r="BN10" s="159">
        <f t="shared" si="50"/>
        <v>0.72946487714035779</v>
      </c>
      <c r="BO10" s="159">
        <f t="shared" si="51"/>
        <v>2.7160707285627765</v>
      </c>
      <c r="BP10" s="159">
        <f t="shared" si="52"/>
        <v>1.0260711641237157</v>
      </c>
      <c r="BQ10" s="159">
        <f t="shared" si="53"/>
        <v>4.7708959567313727</v>
      </c>
      <c r="BR10" s="159">
        <f t="shared" si="54"/>
        <v>20.256894205176287</v>
      </c>
      <c r="BS10" s="159">
        <f t="shared" si="55"/>
        <v>1.8938030464220827</v>
      </c>
      <c r="BT10" s="159">
        <f t="shared" si="56"/>
        <v>4.2853560383990477</v>
      </c>
      <c r="BU10" s="159">
        <f t="shared" si="57"/>
        <v>3.6817847653850975</v>
      </c>
      <c r="BV10" s="159">
        <f t="shared" si="58"/>
        <v>7.1172382305336876</v>
      </c>
      <c r="BW10" s="159">
        <f t="shared" si="59"/>
        <v>17.458413151375318</v>
      </c>
      <c r="BX10" s="159">
        <f t="shared" si="60"/>
        <v>1.6974086564227555</v>
      </c>
      <c r="BY10" s="159">
        <f t="shared" si="61"/>
        <v>4.2853560383990477</v>
      </c>
      <c r="BZ10" s="159">
        <f t="shared" si="62"/>
        <v>3.6817847653850975</v>
      </c>
      <c r="CA10" s="159">
        <f t="shared" si="63"/>
        <v>9.8702798317950702</v>
      </c>
      <c r="CB10" s="159">
        <f t="shared" si="64"/>
        <v>14.111312789242696</v>
      </c>
      <c r="CC10" s="159">
        <f t="shared" si="65"/>
        <v>2.076169265707172</v>
      </c>
      <c r="CD10" s="159">
        <f t="shared" si="66"/>
        <v>6.3507664210915991</v>
      </c>
      <c r="CE10" s="159">
        <f t="shared" si="67"/>
        <v>7.2176669421178152</v>
      </c>
      <c r="CF10" s="159">
        <f t="shared" si="68"/>
        <v>13.912630224231593</v>
      </c>
      <c r="CG10" s="159">
        <f t="shared" si="69"/>
        <v>7.2176669421178152</v>
      </c>
      <c r="CH10" s="159">
        <f t="shared" si="70"/>
        <v>8.2596336883033885</v>
      </c>
      <c r="CI10" s="159">
        <f t="shared" si="71"/>
        <v>15.974565707791342</v>
      </c>
      <c r="CJ10" s="159">
        <f t="shared" si="72"/>
        <v>8.2596336883033885</v>
      </c>
      <c r="CK10" s="159">
        <f t="shared" si="73"/>
        <v>3.910570456337191</v>
      </c>
    </row>
    <row r="11" spans="1:89" x14ac:dyDescent="0.25">
      <c r="A11" t="str">
        <f>PLANTILLA!D13</f>
        <v>K. Helms</v>
      </c>
      <c r="B11" s="487">
        <f>PLANTILLA!E13</f>
        <v>32</v>
      </c>
      <c r="C11" s="487">
        <f ca="1">PLANTILLA!F13</f>
        <v>18</v>
      </c>
      <c r="D11" s="487" t="str">
        <f>PLANTILLA!G13</f>
        <v>TEC</v>
      </c>
      <c r="E11" s="290">
        <v>41722</v>
      </c>
      <c r="F11" s="341">
        <f>PLANTILLA!Q13</f>
        <v>6</v>
      </c>
      <c r="G11" s="406">
        <f t="shared" ref="G11:G21" si="78">(F11/7)^0.5</f>
        <v>0.92582009977255142</v>
      </c>
      <c r="H11" s="406">
        <f t="shared" si="75"/>
        <v>0.99928545900129484</v>
      </c>
      <c r="I11" s="496">
        <v>1.5</v>
      </c>
      <c r="J11" s="497">
        <f>PLANTILLA!I13</f>
        <v>11.3</v>
      </c>
      <c r="K11" s="163">
        <f>PLANTILLA!X13</f>
        <v>0</v>
      </c>
      <c r="L11" s="163">
        <f>PLANTILLA!Y13</f>
        <v>7.2503030303030309</v>
      </c>
      <c r="M11" s="163">
        <f>PLANTILLA!Z13</f>
        <v>10.600000000000005</v>
      </c>
      <c r="N11" s="163">
        <f>PLANTILLA!AA13</f>
        <v>13.471666666666668</v>
      </c>
      <c r="O11" s="163">
        <f>PLANTILLA!AB13</f>
        <v>10.359999999999998</v>
      </c>
      <c r="P11" s="163">
        <f>PLANTILLA!AC13</f>
        <v>4.95</v>
      </c>
      <c r="Q11" s="163">
        <f>PLANTILLA!AD13</f>
        <v>18</v>
      </c>
      <c r="R11" s="163">
        <f t="shared" si="2"/>
        <v>3.8712878787878782</v>
      </c>
      <c r="S11" s="163">
        <f t="shared" si="3"/>
        <v>16.93507114679781</v>
      </c>
      <c r="T11" s="163">
        <f t="shared" si="4"/>
        <v>0.78749999999999998</v>
      </c>
      <c r="U11" s="163">
        <f t="shared" si="5"/>
        <v>0.8300121212121212</v>
      </c>
      <c r="V11" s="163">
        <f t="shared" ca="1" si="6"/>
        <v>18.890530148497337</v>
      </c>
      <c r="W11" s="163">
        <f t="shared" ca="1" si="7"/>
        <v>20.389525022038868</v>
      </c>
      <c r="X11" s="159">
        <f t="shared" si="8"/>
        <v>4.5363669445783366</v>
      </c>
      <c r="Y11" s="159">
        <f t="shared" si="9"/>
        <v>6.8305778152615808</v>
      </c>
      <c r="Z11" s="159">
        <f t="shared" si="10"/>
        <v>4.5363669445783366</v>
      </c>
      <c r="AA11" s="159">
        <f t="shared" si="11"/>
        <v>5.2396743327529567</v>
      </c>
      <c r="AB11" s="159">
        <f t="shared" si="12"/>
        <v>10.154407621614256</v>
      </c>
      <c r="AC11" s="159">
        <f t="shared" si="13"/>
        <v>2.6198371663764783</v>
      </c>
      <c r="AD11" s="159">
        <f t="shared" si="14"/>
        <v>3.2139768927320729</v>
      </c>
      <c r="AE11" s="159">
        <f t="shared" si="15"/>
        <v>3.8383660809701889</v>
      </c>
      <c r="AF11" s="159">
        <f t="shared" si="16"/>
        <v>7.3416367104271067</v>
      </c>
      <c r="AG11" s="159">
        <f t="shared" si="17"/>
        <v>1.9191830404850945</v>
      </c>
      <c r="AH11" s="159">
        <f t="shared" si="18"/>
        <v>5.199080267654824</v>
      </c>
      <c r="AI11" s="159">
        <f t="shared" si="19"/>
        <v>9.3420550118851153</v>
      </c>
      <c r="AJ11" s="159">
        <f t="shared" si="20"/>
        <v>4.2039247553483019</v>
      </c>
      <c r="AK11" s="159">
        <f t="shared" si="21"/>
        <v>2.2551854667489759</v>
      </c>
      <c r="AL11" s="159">
        <f t="shared" si="22"/>
        <v>9.6289534996910024</v>
      </c>
      <c r="AM11" s="159">
        <f t="shared" si="23"/>
        <v>7.6564233466971494</v>
      </c>
      <c r="AN11" s="159">
        <f t="shared" si="24"/>
        <v>7.1893205961028928</v>
      </c>
      <c r="AO11" s="159">
        <f t="shared" si="25"/>
        <v>3.4909854667489753</v>
      </c>
      <c r="AP11" s="159">
        <f t="shared" si="26"/>
        <v>1.9513130313885421</v>
      </c>
      <c r="AQ11" s="159">
        <f t="shared" si="27"/>
        <v>2.7416900578358492</v>
      </c>
      <c r="AR11" s="159">
        <f t="shared" si="28"/>
        <v>6.031718127238868</v>
      </c>
      <c r="AS11" s="159">
        <f t="shared" si="29"/>
        <v>1.3708450289179246</v>
      </c>
      <c r="AT11" s="159">
        <f t="shared" si="30"/>
        <v>12.747874734197801</v>
      </c>
      <c r="AU11" s="159">
        <f t="shared" si="31"/>
        <v>1.7243335968704592</v>
      </c>
      <c r="AV11" s="159">
        <f t="shared" si="32"/>
        <v>2.950452645254189</v>
      </c>
      <c r="AW11" s="159">
        <f t="shared" si="33"/>
        <v>0.86216679843522959</v>
      </c>
      <c r="AX11" s="159">
        <f t="shared" si="34"/>
        <v>1.9191830404850945</v>
      </c>
      <c r="AY11" s="159">
        <f t="shared" si="35"/>
        <v>4.0617630486457026</v>
      </c>
      <c r="AZ11" s="159">
        <f t="shared" si="36"/>
        <v>0.95959152024254724</v>
      </c>
      <c r="BA11" s="159">
        <f t="shared" si="37"/>
        <v>13.504104591311231</v>
      </c>
      <c r="BB11" s="159">
        <f t="shared" si="38"/>
        <v>3.3558184616017397</v>
      </c>
      <c r="BC11" s="159">
        <f t="shared" si="39"/>
        <v>6.1724216298124848</v>
      </c>
      <c r="BD11" s="159">
        <f t="shared" si="40"/>
        <v>1.6779092308008698</v>
      </c>
      <c r="BE11" s="159">
        <f t="shared" si="41"/>
        <v>2.9549326178897481</v>
      </c>
      <c r="BF11" s="159">
        <f t="shared" si="42"/>
        <v>3.533733852321761</v>
      </c>
      <c r="BG11" s="159">
        <f t="shared" si="43"/>
        <v>11.897116144945194</v>
      </c>
      <c r="BH11" s="159">
        <f t="shared" si="44"/>
        <v>13.577885648342347</v>
      </c>
      <c r="BI11" s="159">
        <f t="shared" si="45"/>
        <v>3.1966492065060046</v>
      </c>
      <c r="BJ11" s="159">
        <f t="shared" si="46"/>
        <v>4.924887696482914</v>
      </c>
      <c r="BK11" s="159">
        <f t="shared" si="47"/>
        <v>2.6807636121061638</v>
      </c>
      <c r="BL11" s="159">
        <f t="shared" si="48"/>
        <v>5.1450638492895795</v>
      </c>
      <c r="BM11" s="159">
        <f t="shared" si="49"/>
        <v>13.68697907947268</v>
      </c>
      <c r="BN11" s="159">
        <f t="shared" si="50"/>
        <v>0.6897334387481836</v>
      </c>
      <c r="BO11" s="159">
        <f t="shared" si="51"/>
        <v>1.8277933718905661</v>
      </c>
      <c r="BP11" s="159">
        <f t="shared" si="52"/>
        <v>0.69049971826976941</v>
      </c>
      <c r="BQ11" s="159">
        <f t="shared" si="53"/>
        <v>4.1187519003499258</v>
      </c>
      <c r="BR11" s="159">
        <f t="shared" si="54"/>
        <v>20.169305171092905</v>
      </c>
      <c r="BS11" s="159">
        <f t="shared" si="55"/>
        <v>1.7906541198270154</v>
      </c>
      <c r="BT11" s="159">
        <f t="shared" si="56"/>
        <v>2.8838517645384485</v>
      </c>
      <c r="BU11" s="159">
        <f t="shared" si="57"/>
        <v>2.4776754596738786</v>
      </c>
      <c r="BV11" s="159">
        <f t="shared" si="58"/>
        <v>6.1443675890466105</v>
      </c>
      <c r="BW11" s="159">
        <f t="shared" si="59"/>
        <v>17.38510788717284</v>
      </c>
      <c r="BX11" s="159">
        <f t="shared" si="60"/>
        <v>1.6049566555486581</v>
      </c>
      <c r="BY11" s="159">
        <f t="shared" si="61"/>
        <v>2.8838517645384485</v>
      </c>
      <c r="BZ11" s="159">
        <f t="shared" si="62"/>
        <v>2.4776754596738786</v>
      </c>
      <c r="CA11" s="159">
        <f t="shared" si="63"/>
        <v>8.5210899971173877</v>
      </c>
      <c r="CB11" s="159">
        <f t="shared" si="64"/>
        <v>14.055763609223547</v>
      </c>
      <c r="CC11" s="159">
        <f t="shared" si="65"/>
        <v>1.9630874795140609</v>
      </c>
      <c r="CD11" s="159">
        <f t="shared" si="66"/>
        <v>5.4826664640723601</v>
      </c>
      <c r="CE11" s="159">
        <f t="shared" si="67"/>
        <v>7.7514068593780463</v>
      </c>
      <c r="CF11" s="159">
        <f t="shared" si="68"/>
        <v>11.781351769816439</v>
      </c>
      <c r="CG11" s="159">
        <f t="shared" si="69"/>
        <v>7.7514068593780463</v>
      </c>
      <c r="CH11" s="159">
        <f t="shared" si="70"/>
        <v>7.4146154937202269</v>
      </c>
      <c r="CI11" s="159">
        <f t="shared" si="71"/>
        <v>12.748559185505068</v>
      </c>
      <c r="CJ11" s="159">
        <f t="shared" si="72"/>
        <v>7.4146154937202269</v>
      </c>
      <c r="CK11" s="159">
        <f t="shared" si="73"/>
        <v>3.3760261478278077</v>
      </c>
    </row>
    <row r="12" spans="1:89" x14ac:dyDescent="0.25">
      <c r="A12" t="str">
        <f>PLANTILLA!D14</f>
        <v>S. Zobbe</v>
      </c>
      <c r="B12" s="487">
        <f>PLANTILLA!E14</f>
        <v>29</v>
      </c>
      <c r="C12" s="487">
        <f ca="1">PLANTILLA!F14</f>
        <v>33</v>
      </c>
      <c r="D12" s="487" t="str">
        <f>PLANTILLA!G14</f>
        <v>CAB</v>
      </c>
      <c r="E12" s="290">
        <v>41911</v>
      </c>
      <c r="F12" s="341">
        <f>PLANTILLA!Q14</f>
        <v>6</v>
      </c>
      <c r="G12" s="406">
        <f t="shared" si="78"/>
        <v>0.92582009977255142</v>
      </c>
      <c r="H12" s="406">
        <f t="shared" si="75"/>
        <v>0.99928545900129484</v>
      </c>
      <c r="I12" s="496">
        <v>1.5</v>
      </c>
      <c r="J12" s="497">
        <f>PLANTILLA!I14</f>
        <v>10.5</v>
      </c>
      <c r="K12" s="163">
        <f>PLANTILLA!X14</f>
        <v>0</v>
      </c>
      <c r="L12" s="163">
        <f>PLANTILLA!Y14</f>
        <v>8.3599999999999977</v>
      </c>
      <c r="M12" s="163">
        <f>PLANTILLA!Z14</f>
        <v>12.253412698412699</v>
      </c>
      <c r="N12" s="163">
        <f>PLANTILLA!AA14</f>
        <v>12.36</v>
      </c>
      <c r="O12" s="163">
        <f>PLANTILLA!AB14</f>
        <v>10.24</v>
      </c>
      <c r="P12" s="163">
        <f>PLANTILLA!AC14</f>
        <v>7.4766666666666666</v>
      </c>
      <c r="Q12" s="163">
        <f>PLANTILLA!AD14</f>
        <v>16</v>
      </c>
      <c r="R12" s="163">
        <f t="shared" si="2"/>
        <v>3.9799999999999995</v>
      </c>
      <c r="S12" s="163">
        <f t="shared" si="3"/>
        <v>19.935371134592749</v>
      </c>
      <c r="T12" s="163">
        <f t="shared" si="4"/>
        <v>0.85383333333333344</v>
      </c>
      <c r="U12" s="163">
        <f t="shared" si="5"/>
        <v>0.81439999999999979</v>
      </c>
      <c r="V12" s="163">
        <f t="shared" ca="1" si="6"/>
        <v>16.999525134468829</v>
      </c>
      <c r="W12" s="163">
        <f t="shared" ca="1" si="7"/>
        <v>18.34846562628643</v>
      </c>
      <c r="X12" s="159">
        <f t="shared" si="8"/>
        <v>4.8055243441174076</v>
      </c>
      <c r="Y12" s="159">
        <f t="shared" si="9"/>
        <v>7.2473071801323865</v>
      </c>
      <c r="Z12" s="159">
        <f t="shared" si="10"/>
        <v>4.8055243441174076</v>
      </c>
      <c r="AA12" s="159">
        <f t="shared" si="11"/>
        <v>5.7903382377601167</v>
      </c>
      <c r="AB12" s="159">
        <f t="shared" si="12"/>
        <v>11.221585732093249</v>
      </c>
      <c r="AC12" s="159">
        <f t="shared" si="13"/>
        <v>2.8951691188800583</v>
      </c>
      <c r="AD12" s="159">
        <f t="shared" si="14"/>
        <v>3.5973696264604156</v>
      </c>
      <c r="AE12" s="159">
        <f t="shared" si="15"/>
        <v>4.2417594067312479</v>
      </c>
      <c r="AF12" s="159">
        <f t="shared" si="16"/>
        <v>8.1132064843034186</v>
      </c>
      <c r="AG12" s="159">
        <f t="shared" si="17"/>
        <v>2.1208797033656239</v>
      </c>
      <c r="AH12" s="159">
        <f t="shared" si="18"/>
        <v>5.8192743957447908</v>
      </c>
      <c r="AI12" s="159">
        <f t="shared" si="19"/>
        <v>10.32385887352579</v>
      </c>
      <c r="AJ12" s="159">
        <f t="shared" si="20"/>
        <v>4.6457364930866047</v>
      </c>
      <c r="AK12" s="159">
        <f t="shared" si="21"/>
        <v>2.5242047378944936</v>
      </c>
      <c r="AL12" s="159">
        <f t="shared" si="22"/>
        <v>8.9502924104708299</v>
      </c>
      <c r="AM12" s="159">
        <f t="shared" si="23"/>
        <v>8.4610756419983097</v>
      </c>
      <c r="AN12" s="159">
        <f t="shared" si="24"/>
        <v>7.9448826983220204</v>
      </c>
      <c r="AO12" s="159">
        <f t="shared" si="25"/>
        <v>3.149884817259573</v>
      </c>
      <c r="AP12" s="159">
        <f t="shared" si="26"/>
        <v>1.9703766908428559</v>
      </c>
      <c r="AQ12" s="159">
        <f t="shared" si="27"/>
        <v>3.0298281476651776</v>
      </c>
      <c r="AR12" s="159">
        <f t="shared" si="28"/>
        <v>6.6656219248633901</v>
      </c>
      <c r="AS12" s="159">
        <f t="shared" si="29"/>
        <v>1.5149140738325888</v>
      </c>
      <c r="AT12" s="159">
        <f t="shared" si="30"/>
        <v>14.268558518397615</v>
      </c>
      <c r="AU12" s="159">
        <f t="shared" si="31"/>
        <v>1.7032061451721228</v>
      </c>
      <c r="AV12" s="159">
        <f t="shared" si="32"/>
        <v>3.3607079528366555</v>
      </c>
      <c r="AW12" s="159">
        <f t="shared" si="33"/>
        <v>0.85160307258606138</v>
      </c>
      <c r="AX12" s="159">
        <f t="shared" si="34"/>
        <v>2.1208797033656239</v>
      </c>
      <c r="AY12" s="159">
        <f t="shared" si="35"/>
        <v>4.4886342928372995</v>
      </c>
      <c r="AZ12" s="159">
        <f t="shared" si="36"/>
        <v>1.060439851682812</v>
      </c>
      <c r="BA12" s="159">
        <f t="shared" si="37"/>
        <v>15.114998430505949</v>
      </c>
      <c r="BB12" s="159">
        <f t="shared" si="38"/>
        <v>3.3147011902195929</v>
      </c>
      <c r="BC12" s="159">
        <f t="shared" si="39"/>
        <v>6.6386737383833818</v>
      </c>
      <c r="BD12" s="159">
        <f t="shared" si="40"/>
        <v>1.6573505951097964</v>
      </c>
      <c r="BE12" s="159">
        <f t="shared" si="41"/>
        <v>3.2654814480391354</v>
      </c>
      <c r="BF12" s="159">
        <f t="shared" si="42"/>
        <v>3.9051118347684506</v>
      </c>
      <c r="BG12" s="159">
        <f t="shared" si="43"/>
        <v>13.316313617275741</v>
      </c>
      <c r="BH12" s="159">
        <f t="shared" si="44"/>
        <v>12.864189715830898</v>
      </c>
      <c r="BI12" s="159">
        <f t="shared" si="45"/>
        <v>3.1574821614344737</v>
      </c>
      <c r="BJ12" s="159">
        <f t="shared" si="46"/>
        <v>5.4424690800652256</v>
      </c>
      <c r="BK12" s="159">
        <f t="shared" si="47"/>
        <v>2.962498633272618</v>
      </c>
      <c r="BL12" s="159">
        <f t="shared" si="48"/>
        <v>5.7588144020227663</v>
      </c>
      <c r="BM12" s="159">
        <f t="shared" si="49"/>
        <v>12.877545929849502</v>
      </c>
      <c r="BN12" s="159">
        <f t="shared" si="50"/>
        <v>0.68128245806884902</v>
      </c>
      <c r="BO12" s="159">
        <f t="shared" si="51"/>
        <v>2.0198854317767849</v>
      </c>
      <c r="BP12" s="159">
        <f t="shared" si="52"/>
        <v>0.763067829782341</v>
      </c>
      <c r="BQ12" s="159">
        <f t="shared" si="53"/>
        <v>4.6100745213043144</v>
      </c>
      <c r="BR12" s="159">
        <f t="shared" si="54"/>
        <v>18.96863925147192</v>
      </c>
      <c r="BS12" s="159">
        <f t="shared" si="55"/>
        <v>1.7687140738325891</v>
      </c>
      <c r="BT12" s="159">
        <f t="shared" si="56"/>
        <v>3.1869303479144824</v>
      </c>
      <c r="BU12" s="159">
        <f t="shared" si="57"/>
        <v>2.7380669186307527</v>
      </c>
      <c r="BV12" s="159">
        <f t="shared" si="58"/>
        <v>6.8773242858802073</v>
      </c>
      <c r="BW12" s="159">
        <f t="shared" si="59"/>
        <v>16.348236991159322</v>
      </c>
      <c r="BX12" s="159">
        <f t="shared" si="60"/>
        <v>1.5852918735832835</v>
      </c>
      <c r="BY12" s="159">
        <f t="shared" si="61"/>
        <v>3.1869303479144824</v>
      </c>
      <c r="BZ12" s="159">
        <f t="shared" si="62"/>
        <v>2.7380669186307527</v>
      </c>
      <c r="CA12" s="159">
        <f t="shared" si="63"/>
        <v>9.5375640096492535</v>
      </c>
      <c r="CB12" s="159">
        <f t="shared" si="64"/>
        <v>13.214159230223459</v>
      </c>
      <c r="CC12" s="159">
        <f t="shared" si="65"/>
        <v>1.9390346883498011</v>
      </c>
      <c r="CD12" s="159">
        <f t="shared" si="66"/>
        <v>6.1366893627854155</v>
      </c>
      <c r="CE12" s="159">
        <f t="shared" si="67"/>
        <v>6.7802628330872494</v>
      </c>
      <c r="CF12" s="159">
        <f t="shared" si="68"/>
        <v>13.141362201003666</v>
      </c>
      <c r="CG12" s="159">
        <f t="shared" si="69"/>
        <v>6.7802628330872494</v>
      </c>
      <c r="CH12" s="159">
        <f t="shared" si="70"/>
        <v>7.7823412444274274</v>
      </c>
      <c r="CI12" s="159">
        <f t="shared" si="71"/>
        <v>15.172737533902326</v>
      </c>
      <c r="CJ12" s="159">
        <f t="shared" si="72"/>
        <v>7.7823412444274274</v>
      </c>
      <c r="CK12" s="159">
        <f t="shared" si="73"/>
        <v>3.7787496076264873</v>
      </c>
    </row>
    <row r="13" spans="1:89" x14ac:dyDescent="0.25">
      <c r="A13" t="str">
        <f>PLANTILLA!D15</f>
        <v>S. Buschelman</v>
      </c>
      <c r="B13" s="487">
        <f>PLANTILLA!E15</f>
        <v>31</v>
      </c>
      <c r="C13" s="487">
        <f ca="1">PLANTILLA!F15</f>
        <v>30</v>
      </c>
      <c r="D13" s="487" t="str">
        <f>PLANTILLA!G15</f>
        <v>TEC</v>
      </c>
      <c r="E13" s="290">
        <v>41747</v>
      </c>
      <c r="F13" s="341">
        <f>PLANTILLA!Q15</f>
        <v>6</v>
      </c>
      <c r="G13" s="406">
        <f t="shared" si="78"/>
        <v>0.92582009977255142</v>
      </c>
      <c r="H13" s="406">
        <f t="shared" si="75"/>
        <v>0.99928545900129484</v>
      </c>
      <c r="I13" s="496">
        <v>1.5</v>
      </c>
      <c r="J13" s="497">
        <f>PLANTILLA!I15</f>
        <v>11.8</v>
      </c>
      <c r="K13" s="163">
        <f>PLANTILLA!X15</f>
        <v>0</v>
      </c>
      <c r="L13" s="163">
        <f>PLANTILLA!Y15</f>
        <v>9.3036666666666648</v>
      </c>
      <c r="M13" s="163">
        <f>PLANTILLA!Z15</f>
        <v>14</v>
      </c>
      <c r="N13" s="163">
        <f>PLANTILLA!AA15</f>
        <v>12.945</v>
      </c>
      <c r="O13" s="163">
        <f>PLANTILLA!AB15</f>
        <v>10</v>
      </c>
      <c r="P13" s="163">
        <f>PLANTILLA!AC15</f>
        <v>4.95</v>
      </c>
      <c r="Q13" s="163">
        <f>PLANTILLA!AD15</f>
        <v>15.588888888888887</v>
      </c>
      <c r="R13" s="163">
        <f t="shared" si="2"/>
        <v>4.0379583333333331</v>
      </c>
      <c r="S13" s="163">
        <f t="shared" si="3"/>
        <v>15.664367870417609</v>
      </c>
      <c r="T13" s="163">
        <f t="shared" si="4"/>
        <v>0.71516666666666651</v>
      </c>
      <c r="U13" s="163">
        <f t="shared" si="5"/>
        <v>0.83981333333333319</v>
      </c>
      <c r="V13" s="163">
        <f t="shared" ca="1" si="6"/>
        <v>16.681486642158294</v>
      </c>
      <c r="W13" s="163">
        <f t="shared" ca="1" si="7"/>
        <v>18.005190252542988</v>
      </c>
      <c r="X13" s="159">
        <f t="shared" si="8"/>
        <v>5.1249826565043293</v>
      </c>
      <c r="Y13" s="159">
        <f t="shared" si="9"/>
        <v>7.73562456190961</v>
      </c>
      <c r="Z13" s="159">
        <f t="shared" si="10"/>
        <v>5.1249826565043293</v>
      </c>
      <c r="AA13" s="159">
        <f t="shared" si="11"/>
        <v>6.3121468210266132</v>
      </c>
      <c r="AB13" s="159">
        <f t="shared" si="12"/>
        <v>12.232842676408165</v>
      </c>
      <c r="AC13" s="159">
        <f t="shared" si="13"/>
        <v>3.1560734105133066</v>
      </c>
      <c r="AD13" s="159">
        <f t="shared" si="14"/>
        <v>4.0291438903184771</v>
      </c>
      <c r="AE13" s="159">
        <f t="shared" si="15"/>
        <v>4.6240145316822865</v>
      </c>
      <c r="AF13" s="159">
        <f t="shared" si="16"/>
        <v>8.8443452550431036</v>
      </c>
      <c r="AG13" s="159">
        <f t="shared" si="17"/>
        <v>2.3120072658411432</v>
      </c>
      <c r="AH13" s="159">
        <f t="shared" si="18"/>
        <v>6.5177327637504776</v>
      </c>
      <c r="AI13" s="159">
        <f t="shared" si="19"/>
        <v>11.254215262295512</v>
      </c>
      <c r="AJ13" s="159">
        <f t="shared" si="20"/>
        <v>5.0643968680329801</v>
      </c>
      <c r="AK13" s="159">
        <f t="shared" si="21"/>
        <v>2.8271723936268307</v>
      </c>
      <c r="AL13" s="159">
        <f t="shared" si="22"/>
        <v>9.3340154937280015</v>
      </c>
      <c r="AM13" s="159">
        <f t="shared" si="23"/>
        <v>9.2235633780117556</v>
      </c>
      <c r="AN13" s="159">
        <f t="shared" si="24"/>
        <v>8.6608526148969798</v>
      </c>
      <c r="AO13" s="159">
        <f t="shared" si="25"/>
        <v>3.0925168380712749</v>
      </c>
      <c r="AP13" s="159">
        <f t="shared" si="26"/>
        <v>2.0065346908055521</v>
      </c>
      <c r="AQ13" s="159">
        <f t="shared" si="27"/>
        <v>3.3028675226302049</v>
      </c>
      <c r="AR13" s="159">
        <f t="shared" si="28"/>
        <v>7.2663085497864497</v>
      </c>
      <c r="AS13" s="159">
        <f t="shared" si="29"/>
        <v>1.6514337613151024</v>
      </c>
      <c r="AT13" s="159">
        <f t="shared" si="30"/>
        <v>15.981142153195975</v>
      </c>
      <c r="AU13" s="159">
        <f t="shared" si="31"/>
        <v>1.680792881266395</v>
      </c>
      <c r="AV13" s="159">
        <f t="shared" si="32"/>
        <v>2.9145985708542597</v>
      </c>
      <c r="AW13" s="159">
        <f t="shared" si="33"/>
        <v>0.84039644063319752</v>
      </c>
      <c r="AX13" s="159">
        <f t="shared" si="34"/>
        <v>2.3120072658411432</v>
      </c>
      <c r="AY13" s="159">
        <f t="shared" si="35"/>
        <v>4.8931370705632666</v>
      </c>
      <c r="AZ13" s="159">
        <f t="shared" si="36"/>
        <v>1.1560036329205716</v>
      </c>
      <c r="BA13" s="159">
        <f t="shared" si="37"/>
        <v>16.9291760097415</v>
      </c>
      <c r="BB13" s="159">
        <f t="shared" si="38"/>
        <v>3.2710815304645995</v>
      </c>
      <c r="BC13" s="159">
        <f t="shared" si="39"/>
        <v>6.0634759813675672</v>
      </c>
      <c r="BD13" s="159">
        <f t="shared" si="40"/>
        <v>1.6355407652322997</v>
      </c>
      <c r="BE13" s="159">
        <f t="shared" si="41"/>
        <v>3.5597572188347759</v>
      </c>
      <c r="BF13" s="159">
        <f t="shared" si="42"/>
        <v>4.2570292513900414</v>
      </c>
      <c r="BG13" s="159">
        <f t="shared" si="43"/>
        <v>14.914604064582262</v>
      </c>
      <c r="BH13" s="159">
        <f t="shared" si="44"/>
        <v>13.184467472660192</v>
      </c>
      <c r="BI13" s="159">
        <f t="shared" si="45"/>
        <v>3.1159314183477016</v>
      </c>
      <c r="BJ13" s="159">
        <f t="shared" si="46"/>
        <v>5.9329286980579594</v>
      </c>
      <c r="BK13" s="159">
        <f t="shared" si="47"/>
        <v>3.2294704665717555</v>
      </c>
      <c r="BL13" s="159">
        <f t="shared" si="48"/>
        <v>6.4500160597115119</v>
      </c>
      <c r="BM13" s="159">
        <f t="shared" si="49"/>
        <v>13.282084832514073</v>
      </c>
      <c r="BN13" s="159">
        <f t="shared" si="50"/>
        <v>0.67231715250655799</v>
      </c>
      <c r="BO13" s="159">
        <f t="shared" si="51"/>
        <v>2.2019116817534696</v>
      </c>
      <c r="BP13" s="159">
        <f t="shared" si="52"/>
        <v>0.83183330199575523</v>
      </c>
      <c r="BQ13" s="159">
        <f t="shared" si="53"/>
        <v>5.1633986829711578</v>
      </c>
      <c r="BR13" s="159">
        <f t="shared" si="54"/>
        <v>19.57192034852757</v>
      </c>
      <c r="BS13" s="159">
        <f t="shared" si="55"/>
        <v>1.7454387613151026</v>
      </c>
      <c r="BT13" s="159">
        <f t="shared" si="56"/>
        <v>3.4741273200999183</v>
      </c>
      <c r="BU13" s="159">
        <f t="shared" si="57"/>
        <v>2.9848136130435923</v>
      </c>
      <c r="BV13" s="159">
        <f t="shared" si="58"/>
        <v>7.7027750844323828</v>
      </c>
      <c r="BW13" s="159">
        <f t="shared" si="59"/>
        <v>16.870007018793583</v>
      </c>
      <c r="BX13" s="159">
        <f t="shared" si="60"/>
        <v>1.5644302971787214</v>
      </c>
      <c r="BY13" s="159">
        <f t="shared" si="61"/>
        <v>3.4741273200999183</v>
      </c>
      <c r="BZ13" s="159">
        <f t="shared" si="62"/>
        <v>2.9848136130435923</v>
      </c>
      <c r="CA13" s="159">
        <f t="shared" si="63"/>
        <v>10.682310062146886</v>
      </c>
      <c r="CB13" s="159">
        <f t="shared" si="64"/>
        <v>13.639002528718642</v>
      </c>
      <c r="CC13" s="159">
        <f t="shared" si="65"/>
        <v>1.9135180494417419</v>
      </c>
      <c r="CD13" s="159">
        <f t="shared" si="66"/>
        <v>6.8732454599550499</v>
      </c>
      <c r="CE13" s="159">
        <f t="shared" si="67"/>
        <v>7.5708347818546429</v>
      </c>
      <c r="CF13" s="159">
        <f t="shared" si="68"/>
        <v>11.61410218696893</v>
      </c>
      <c r="CG13" s="159">
        <f t="shared" si="69"/>
        <v>7.5708347818546429</v>
      </c>
      <c r="CH13" s="159">
        <f t="shared" si="70"/>
        <v>7.2627216540689545</v>
      </c>
      <c r="CI13" s="159">
        <f t="shared" si="71"/>
        <v>12.650041957336114</v>
      </c>
      <c r="CJ13" s="159">
        <f t="shared" si="72"/>
        <v>7.2627216540689545</v>
      </c>
      <c r="CK13" s="159">
        <f t="shared" si="73"/>
        <v>4.232294002435375</v>
      </c>
    </row>
    <row r="14" spans="1:89" x14ac:dyDescent="0.25">
      <c r="A14" t="str">
        <f>PLANTILLA!D16</f>
        <v>C. Rojas</v>
      </c>
      <c r="B14" s="487">
        <f>PLANTILLA!E16</f>
        <v>33</v>
      </c>
      <c r="C14" s="487">
        <f ca="1">PLANTILLA!F16</f>
        <v>64</v>
      </c>
      <c r="D14" s="487" t="str">
        <f>PLANTILLA!G16</f>
        <v>TEC</v>
      </c>
      <c r="E14" s="290">
        <v>41653</v>
      </c>
      <c r="F14" s="341">
        <f>PLANTILLA!Q16</f>
        <v>4</v>
      </c>
      <c r="G14" s="406">
        <f t="shared" si="78"/>
        <v>0.7559289460184544</v>
      </c>
      <c r="H14" s="406">
        <f t="shared" si="75"/>
        <v>0.84430867747355465</v>
      </c>
      <c r="I14" s="496">
        <v>1.5</v>
      </c>
      <c r="J14" s="497">
        <f>PLANTILLA!I16</f>
        <v>12.6</v>
      </c>
      <c r="K14" s="163">
        <f>PLANTILLA!X16</f>
        <v>0</v>
      </c>
      <c r="L14" s="163">
        <f>PLANTILLA!Y16</f>
        <v>8.6275555555555581</v>
      </c>
      <c r="M14" s="163">
        <f>PLANTILLA!Z16</f>
        <v>14.333255555555548</v>
      </c>
      <c r="N14" s="163">
        <f>PLANTILLA!AA16</f>
        <v>9.99</v>
      </c>
      <c r="O14" s="163">
        <f>PLANTILLA!AB16</f>
        <v>10</v>
      </c>
      <c r="P14" s="163">
        <f>PLANTILLA!AC16</f>
        <v>3.99</v>
      </c>
      <c r="Q14" s="163">
        <f>PLANTILLA!AD16</f>
        <v>17.144444444444439</v>
      </c>
      <c r="R14" s="163">
        <f t="shared" si="2"/>
        <v>3.953444444444445</v>
      </c>
      <c r="S14" s="163">
        <f t="shared" si="3"/>
        <v>15.010269650724192</v>
      </c>
      <c r="T14" s="163">
        <f t="shared" si="4"/>
        <v>0.71383333333333321</v>
      </c>
      <c r="U14" s="163">
        <f t="shared" si="5"/>
        <v>0.85943555555555551</v>
      </c>
      <c r="V14" s="163">
        <f t="shared" ca="1" si="6"/>
        <v>14.824980026846578</v>
      </c>
      <c r="W14" s="163">
        <f t="shared" ca="1" si="7"/>
        <v>16.558248425286688</v>
      </c>
      <c r="X14" s="159">
        <f t="shared" si="8"/>
        <v>4.9715366478501775</v>
      </c>
      <c r="Y14" s="159">
        <f t="shared" si="9"/>
        <v>7.4973156094401432</v>
      </c>
      <c r="Z14" s="159">
        <f t="shared" si="10"/>
        <v>4.9715366478501775</v>
      </c>
      <c r="AA14" s="159">
        <f t="shared" si="11"/>
        <v>5.982873601707551</v>
      </c>
      <c r="AB14" s="159">
        <f t="shared" si="12"/>
        <v>11.594716282378975</v>
      </c>
      <c r="AC14" s="159">
        <f t="shared" si="13"/>
        <v>2.9914368008537755</v>
      </c>
      <c r="AD14" s="159">
        <f t="shared" si="14"/>
        <v>4.1174990752061937</v>
      </c>
      <c r="AE14" s="159">
        <f t="shared" si="15"/>
        <v>4.3828027547392523</v>
      </c>
      <c r="AF14" s="159">
        <f t="shared" si="16"/>
        <v>8.3829798721599982</v>
      </c>
      <c r="AG14" s="159">
        <f t="shared" si="17"/>
        <v>2.1914013773696261</v>
      </c>
      <c r="AH14" s="159">
        <f t="shared" si="18"/>
        <v>6.660660268715902</v>
      </c>
      <c r="AI14" s="159">
        <f t="shared" si="19"/>
        <v>10.667138979788659</v>
      </c>
      <c r="AJ14" s="159">
        <f t="shared" si="20"/>
        <v>4.8002125409048952</v>
      </c>
      <c r="AK14" s="159">
        <f t="shared" si="21"/>
        <v>2.8891695191572873</v>
      </c>
      <c r="AL14" s="159">
        <f t="shared" si="22"/>
        <v>7.618810507372169</v>
      </c>
      <c r="AM14" s="159">
        <f t="shared" si="23"/>
        <v>8.7424160769137469</v>
      </c>
      <c r="AN14" s="159">
        <f t="shared" si="24"/>
        <v>8.2090591279243146</v>
      </c>
      <c r="AO14" s="159">
        <f t="shared" si="25"/>
        <v>3.3586380636017319</v>
      </c>
      <c r="AP14" s="159">
        <f t="shared" si="26"/>
        <v>1.9931342893251442</v>
      </c>
      <c r="AQ14" s="159">
        <f t="shared" si="27"/>
        <v>3.1305733962423234</v>
      </c>
      <c r="AR14" s="159">
        <f t="shared" si="28"/>
        <v>6.8872614717331109</v>
      </c>
      <c r="AS14" s="159">
        <f t="shared" si="29"/>
        <v>1.5652866981211617</v>
      </c>
      <c r="AT14" s="159">
        <f t="shared" si="30"/>
        <v>16.33159297056574</v>
      </c>
      <c r="AU14" s="159">
        <f t="shared" si="31"/>
        <v>1.6857308944870444</v>
      </c>
      <c r="AV14" s="159">
        <f t="shared" si="32"/>
        <v>2.7596480929592611</v>
      </c>
      <c r="AW14" s="159">
        <f t="shared" si="33"/>
        <v>0.84286544724352219</v>
      </c>
      <c r="AX14" s="159">
        <f t="shared" si="34"/>
        <v>2.1914013773696261</v>
      </c>
      <c r="AY14" s="159">
        <f t="shared" si="35"/>
        <v>4.6378865129515905</v>
      </c>
      <c r="AZ14" s="159">
        <f t="shared" si="36"/>
        <v>1.0957006886848131</v>
      </c>
      <c r="BA14" s="159">
        <f t="shared" si="37"/>
        <v>17.300416282378965</v>
      </c>
      <c r="BB14" s="159">
        <f t="shared" si="38"/>
        <v>3.2806916638863246</v>
      </c>
      <c r="BC14" s="159">
        <f t="shared" si="39"/>
        <v>5.8828055604797029</v>
      </c>
      <c r="BD14" s="159">
        <f t="shared" si="40"/>
        <v>1.6403458319431623</v>
      </c>
      <c r="BE14" s="159">
        <f t="shared" si="41"/>
        <v>3.3740624381722815</v>
      </c>
      <c r="BF14" s="159">
        <f t="shared" si="42"/>
        <v>4.0349612662678833</v>
      </c>
      <c r="BG14" s="159">
        <f t="shared" si="43"/>
        <v>15.241666744775868</v>
      </c>
      <c r="BH14" s="159">
        <f t="shared" si="44"/>
        <v>11.522065886146017</v>
      </c>
      <c r="BI14" s="159">
        <f t="shared" si="45"/>
        <v>3.1250857351644434</v>
      </c>
      <c r="BJ14" s="159">
        <f t="shared" si="46"/>
        <v>5.6234373969538032</v>
      </c>
      <c r="BK14" s="159">
        <f t="shared" si="47"/>
        <v>3.0610050985480495</v>
      </c>
      <c r="BL14" s="159">
        <f t="shared" si="48"/>
        <v>6.5914586035863856</v>
      </c>
      <c r="BM14" s="159">
        <f t="shared" si="49"/>
        <v>11.326568475243668</v>
      </c>
      <c r="BN14" s="159">
        <f t="shared" si="50"/>
        <v>0.67429235779481766</v>
      </c>
      <c r="BO14" s="159">
        <f t="shared" si="51"/>
        <v>2.0870489308282156</v>
      </c>
      <c r="BP14" s="159">
        <f t="shared" si="52"/>
        <v>0.7884407072017704</v>
      </c>
      <c r="BQ14" s="159">
        <f t="shared" si="53"/>
        <v>5.2766269661255842</v>
      </c>
      <c r="BR14" s="159">
        <f t="shared" si="54"/>
        <v>16.665768694694915</v>
      </c>
      <c r="BS14" s="159">
        <f t="shared" si="55"/>
        <v>1.7505666981211614</v>
      </c>
      <c r="BT14" s="159">
        <f t="shared" si="56"/>
        <v>3.2928994241956286</v>
      </c>
      <c r="BU14" s="159">
        <f t="shared" si="57"/>
        <v>2.8291107729004699</v>
      </c>
      <c r="BV14" s="159">
        <f t="shared" si="58"/>
        <v>7.8716894084824292</v>
      </c>
      <c r="BW14" s="159">
        <f t="shared" si="59"/>
        <v>14.358974085320346</v>
      </c>
      <c r="BX14" s="159">
        <f t="shared" si="60"/>
        <v>1.5690264479456335</v>
      </c>
      <c r="BY14" s="159">
        <f t="shared" si="61"/>
        <v>3.2928994241956286</v>
      </c>
      <c r="BZ14" s="159">
        <f t="shared" si="62"/>
        <v>2.8291107729004699</v>
      </c>
      <c r="CA14" s="159">
        <f t="shared" si="63"/>
        <v>10.916562674181128</v>
      </c>
      <c r="CB14" s="159">
        <f t="shared" si="64"/>
        <v>11.598588850506957</v>
      </c>
      <c r="CC14" s="159">
        <f t="shared" si="65"/>
        <v>1.9191397875698657</v>
      </c>
      <c r="CD14" s="159">
        <f t="shared" si="66"/>
        <v>7.0239690106458603</v>
      </c>
      <c r="CE14" s="159">
        <f t="shared" si="67"/>
        <v>7.0284935968208737</v>
      </c>
      <c r="CF14" s="159">
        <f t="shared" si="68"/>
        <v>11.097192978403168</v>
      </c>
      <c r="CG14" s="159">
        <f t="shared" si="69"/>
        <v>7.0284935968208737</v>
      </c>
      <c r="CH14" s="159">
        <f t="shared" si="70"/>
        <v>6.3837311328109889</v>
      </c>
      <c r="CI14" s="159">
        <f t="shared" si="71"/>
        <v>11.742043035021258</v>
      </c>
      <c r="CJ14" s="159">
        <f t="shared" si="72"/>
        <v>6.3837311328109889</v>
      </c>
      <c r="CK14" s="159">
        <f t="shared" si="73"/>
        <v>4.3251040705947412</v>
      </c>
    </row>
    <row r="15" spans="1:89" x14ac:dyDescent="0.25">
      <c r="A15" t="str">
        <f>PLANTILLA!D17</f>
        <v>E. Gross</v>
      </c>
      <c r="B15" s="487">
        <f>PLANTILLA!E17</f>
        <v>32</v>
      </c>
      <c r="C15" s="487">
        <f ca="1">PLANTILLA!F17</f>
        <v>58</v>
      </c>
      <c r="D15" s="487"/>
      <c r="E15" s="290">
        <v>41552</v>
      </c>
      <c r="F15" s="341">
        <f>PLANTILLA!Q17</f>
        <v>2</v>
      </c>
      <c r="G15" s="406">
        <f t="shared" si="78"/>
        <v>0.53452248382484879</v>
      </c>
      <c r="H15" s="406">
        <f t="shared" si="75"/>
        <v>0.65356167049702141</v>
      </c>
      <c r="I15" s="496">
        <v>1.5</v>
      </c>
      <c r="J15" s="497">
        <f>PLANTILLA!I17</f>
        <v>10.7</v>
      </c>
      <c r="K15" s="163">
        <f>PLANTILLA!X17</f>
        <v>0</v>
      </c>
      <c r="L15" s="163">
        <f>PLANTILLA!Y17</f>
        <v>10.549999999999995</v>
      </c>
      <c r="M15" s="163">
        <f>PLANTILLA!Z17</f>
        <v>13</v>
      </c>
      <c r="N15" s="163">
        <f>PLANTILLA!AA17</f>
        <v>5.1399999999999979</v>
      </c>
      <c r="O15" s="163">
        <f>PLANTILLA!AB17</f>
        <v>9.24</v>
      </c>
      <c r="P15" s="163">
        <f>PLANTILLA!AC17</f>
        <v>2.98</v>
      </c>
      <c r="Q15" s="163">
        <f>PLANTILLA!AD17</f>
        <v>17.459999999999997</v>
      </c>
      <c r="R15" s="163">
        <f t="shared" si="2"/>
        <v>4.0037499999999993</v>
      </c>
      <c r="S15" s="163">
        <f t="shared" si="3"/>
        <v>13.298050864912417</v>
      </c>
      <c r="T15" s="163">
        <f t="shared" si="4"/>
        <v>0.67279999999999984</v>
      </c>
      <c r="U15" s="163">
        <f t="shared" si="5"/>
        <v>0.94579999999999964</v>
      </c>
      <c r="V15" s="163">
        <f t="shared" ca="1" si="6"/>
        <v>10.600923416283113</v>
      </c>
      <c r="W15" s="163">
        <f t="shared" ca="1" si="7"/>
        <v>12.961769479143653</v>
      </c>
      <c r="X15" s="159">
        <f t="shared" si="8"/>
        <v>5.4195027172255834</v>
      </c>
      <c r="Y15" s="159">
        <f t="shared" si="9"/>
        <v>8.1921626093221391</v>
      </c>
      <c r="Z15" s="159">
        <f t="shared" si="10"/>
        <v>5.4195027172255834</v>
      </c>
      <c r="AA15" s="159">
        <f t="shared" si="11"/>
        <v>6.9260160390474219</v>
      </c>
      <c r="AB15" s="159">
        <f t="shared" si="12"/>
        <v>13.422511703580275</v>
      </c>
      <c r="AC15" s="159">
        <f t="shared" si="13"/>
        <v>3.463008019523711</v>
      </c>
      <c r="AD15" s="159">
        <f t="shared" si="14"/>
        <v>3.7776577854521065</v>
      </c>
      <c r="AE15" s="159">
        <f t="shared" si="15"/>
        <v>5.0737094239533436</v>
      </c>
      <c r="AF15" s="159">
        <f t="shared" si="16"/>
        <v>9.704475961688539</v>
      </c>
      <c r="AG15" s="159">
        <f t="shared" si="17"/>
        <v>2.5368547119766718</v>
      </c>
      <c r="AH15" s="159">
        <f t="shared" si="18"/>
        <v>6.1109170058784077</v>
      </c>
      <c r="AI15" s="159">
        <f t="shared" si="19"/>
        <v>12.348710767293854</v>
      </c>
      <c r="AJ15" s="159">
        <f t="shared" si="20"/>
        <v>5.5569198452822333</v>
      </c>
      <c r="AK15" s="159">
        <f t="shared" si="21"/>
        <v>2.6507094544979068</v>
      </c>
      <c r="AL15" s="159">
        <f t="shared" si="22"/>
        <v>4.7113568817052025</v>
      </c>
      <c r="AM15" s="159">
        <f t="shared" si="23"/>
        <v>10.120573824499527</v>
      </c>
      <c r="AN15" s="159">
        <f t="shared" si="24"/>
        <v>9.5031382861348348</v>
      </c>
      <c r="AO15" s="159">
        <f t="shared" si="25"/>
        <v>3.3955294544979067</v>
      </c>
      <c r="AP15" s="159">
        <f t="shared" si="26"/>
        <v>1.9803633706311201</v>
      </c>
      <c r="AQ15" s="159">
        <f t="shared" si="27"/>
        <v>3.6240781599666745</v>
      </c>
      <c r="AR15" s="159">
        <f t="shared" si="28"/>
        <v>7.9729719519266826</v>
      </c>
      <c r="AS15" s="159">
        <f t="shared" si="29"/>
        <v>1.8120390799833372</v>
      </c>
      <c r="AT15" s="159">
        <f t="shared" si="30"/>
        <v>14.983651048179784</v>
      </c>
      <c r="AU15" s="159">
        <f t="shared" si="31"/>
        <v>1.5746265214654365</v>
      </c>
      <c r="AV15" s="159">
        <f t="shared" si="32"/>
        <v>2.4659859291490216</v>
      </c>
      <c r="AW15" s="159">
        <f t="shared" si="33"/>
        <v>0.78731326073271823</v>
      </c>
      <c r="AX15" s="159">
        <f t="shared" si="34"/>
        <v>2.5368547119766718</v>
      </c>
      <c r="AY15" s="159">
        <f t="shared" si="35"/>
        <v>5.3690046814321102</v>
      </c>
      <c r="AZ15" s="159">
        <f t="shared" si="36"/>
        <v>1.2684273559883359</v>
      </c>
      <c r="BA15" s="159">
        <f t="shared" si="37"/>
        <v>15.87251170358028</v>
      </c>
      <c r="BB15" s="159">
        <f t="shared" si="38"/>
        <v>3.0644654610058106</v>
      </c>
      <c r="BC15" s="159">
        <f t="shared" si="39"/>
        <v>5.3593939486727349</v>
      </c>
      <c r="BD15" s="159">
        <f t="shared" si="40"/>
        <v>1.5322327305029053</v>
      </c>
      <c r="BE15" s="159">
        <f t="shared" si="41"/>
        <v>3.90595090574186</v>
      </c>
      <c r="BF15" s="159">
        <f t="shared" si="42"/>
        <v>4.6710340728459352</v>
      </c>
      <c r="BG15" s="159">
        <f t="shared" si="43"/>
        <v>13.983682810854226</v>
      </c>
      <c r="BH15" s="159">
        <f t="shared" si="44"/>
        <v>8.4146229044828669</v>
      </c>
      <c r="BI15" s="159">
        <f t="shared" si="45"/>
        <v>2.9191153205628475</v>
      </c>
      <c r="BJ15" s="159">
        <f t="shared" si="46"/>
        <v>6.5099181762364333</v>
      </c>
      <c r="BK15" s="159">
        <f t="shared" si="47"/>
        <v>3.5435430897451927</v>
      </c>
      <c r="BL15" s="159">
        <f t="shared" si="48"/>
        <v>6.0474269590640866</v>
      </c>
      <c r="BM15" s="159">
        <f t="shared" si="49"/>
        <v>7.8270352289291623</v>
      </c>
      <c r="BN15" s="159">
        <f t="shared" si="50"/>
        <v>0.62985060858617448</v>
      </c>
      <c r="BO15" s="159">
        <f t="shared" si="51"/>
        <v>2.4160521066444494</v>
      </c>
      <c r="BP15" s="159">
        <f t="shared" si="52"/>
        <v>0.91273079584345873</v>
      </c>
      <c r="BQ15" s="159">
        <f t="shared" si="53"/>
        <v>4.841116069591985</v>
      </c>
      <c r="BR15" s="159">
        <f t="shared" si="54"/>
        <v>11.476690050804237</v>
      </c>
      <c r="BS15" s="159">
        <f t="shared" si="55"/>
        <v>1.635189079983338</v>
      </c>
      <c r="BT15" s="159">
        <f t="shared" si="56"/>
        <v>3.8119933238167976</v>
      </c>
      <c r="BU15" s="159">
        <f t="shared" si="57"/>
        <v>3.275092855673587</v>
      </c>
      <c r="BV15" s="159">
        <f t="shared" si="58"/>
        <v>7.2219928251290275</v>
      </c>
      <c r="BW15" s="159">
        <f t="shared" si="59"/>
        <v>9.8782629675669469</v>
      </c>
      <c r="BX15" s="159">
        <f t="shared" si="60"/>
        <v>1.4656139161332138</v>
      </c>
      <c r="BY15" s="159">
        <f t="shared" si="61"/>
        <v>3.8119933238167976</v>
      </c>
      <c r="BZ15" s="159">
        <f t="shared" si="62"/>
        <v>3.275092855673587</v>
      </c>
      <c r="CA15" s="159">
        <f t="shared" si="63"/>
        <v>10.015554884959156</v>
      </c>
      <c r="CB15" s="159">
        <f t="shared" si="64"/>
        <v>7.9624979747043483</v>
      </c>
      <c r="CC15" s="159">
        <f t="shared" si="65"/>
        <v>1.7926517321298814</v>
      </c>
      <c r="CD15" s="159">
        <f t="shared" si="66"/>
        <v>6.4442397516535941</v>
      </c>
      <c r="CE15" s="159">
        <f t="shared" si="67"/>
        <v>4.9251985975653252</v>
      </c>
      <c r="CF15" s="159">
        <f t="shared" si="68"/>
        <v>9.9891081782313957</v>
      </c>
      <c r="CG15" s="159">
        <f t="shared" si="69"/>
        <v>4.9251985975653252</v>
      </c>
      <c r="CH15" s="159">
        <f t="shared" si="70"/>
        <v>4.8823947913305137</v>
      </c>
      <c r="CI15" s="159">
        <f t="shared" si="71"/>
        <v>10.322028522201403</v>
      </c>
      <c r="CJ15" s="159">
        <f t="shared" si="72"/>
        <v>4.8823947913305137</v>
      </c>
      <c r="CK15" s="159">
        <f t="shared" si="73"/>
        <v>3.9681279258950699</v>
      </c>
    </row>
    <row r="16" spans="1:89" x14ac:dyDescent="0.25">
      <c r="A16" t="str">
        <f>PLANTILLA!D18</f>
        <v>L. Bauman</v>
      </c>
      <c r="B16" s="487">
        <f>PLANTILLA!E18</f>
        <v>32</v>
      </c>
      <c r="C16" s="487">
        <f ca="1">PLANTILLA!F18</f>
        <v>33</v>
      </c>
      <c r="D16" s="487"/>
      <c r="E16" s="290">
        <v>41686</v>
      </c>
      <c r="F16" s="341">
        <f>PLANTILLA!Q18</f>
        <v>6</v>
      </c>
      <c r="G16" s="406">
        <f t="shared" si="78"/>
        <v>0.92582009977255142</v>
      </c>
      <c r="H16" s="406">
        <f t="shared" si="75"/>
        <v>0.99928545900129484</v>
      </c>
      <c r="I16" s="496">
        <v>1.5</v>
      </c>
      <c r="J16" s="497">
        <f>PLANTILLA!I18</f>
        <v>9.4</v>
      </c>
      <c r="K16" s="163">
        <f>PLANTILLA!X18</f>
        <v>0</v>
      </c>
      <c r="L16" s="163">
        <f>PLANTILLA!Y18</f>
        <v>5.4644444444444451</v>
      </c>
      <c r="M16" s="163">
        <f>PLANTILLA!Z18</f>
        <v>14.42664708994708</v>
      </c>
      <c r="N16" s="163">
        <f>PLANTILLA!AA18</f>
        <v>3.5124999999999993</v>
      </c>
      <c r="O16" s="163">
        <f>PLANTILLA!AB18</f>
        <v>9.1400000000000041</v>
      </c>
      <c r="P16" s="163">
        <f>PLANTILLA!AC18</f>
        <v>6.95</v>
      </c>
      <c r="Q16" s="163">
        <f>PLANTILLA!AD18</f>
        <v>16.669999999999998</v>
      </c>
      <c r="R16" s="163">
        <f t="shared" si="2"/>
        <v>3.3430555555555568</v>
      </c>
      <c r="S16" s="163">
        <f t="shared" si="3"/>
        <v>19.287983408607111</v>
      </c>
      <c r="T16" s="163">
        <f t="shared" si="4"/>
        <v>0.84759999999999991</v>
      </c>
      <c r="U16" s="163">
        <f t="shared" si="5"/>
        <v>0.71867777777777775</v>
      </c>
      <c r="V16" s="163">
        <f t="shared" ca="1" si="6"/>
        <v>17.560496264995809</v>
      </c>
      <c r="W16" s="163">
        <f t="shared" ca="1" si="7"/>
        <v>18.953950745687969</v>
      </c>
      <c r="X16" s="159">
        <f t="shared" si="8"/>
        <v>3.9504074882567162</v>
      </c>
      <c r="Y16" s="159">
        <f t="shared" si="9"/>
        <v>5.9339663008851709</v>
      </c>
      <c r="Z16" s="159">
        <f t="shared" si="10"/>
        <v>3.9504074882567162</v>
      </c>
      <c r="AA16" s="159">
        <f t="shared" si="11"/>
        <v>4.2631652966099258</v>
      </c>
      <c r="AB16" s="159">
        <f t="shared" si="12"/>
        <v>8.2619482492440426</v>
      </c>
      <c r="AC16" s="159">
        <f t="shared" si="13"/>
        <v>2.1315826483049629</v>
      </c>
      <c r="AD16" s="159">
        <f t="shared" si="14"/>
        <v>4.0993479129497095</v>
      </c>
      <c r="AE16" s="159">
        <f t="shared" si="15"/>
        <v>3.1230164382142482</v>
      </c>
      <c r="AF16" s="159">
        <f t="shared" si="16"/>
        <v>5.9733885842034429</v>
      </c>
      <c r="AG16" s="159">
        <f t="shared" si="17"/>
        <v>1.5615082191071241</v>
      </c>
      <c r="AH16" s="159">
        <f t="shared" si="18"/>
        <v>6.6312980944774713</v>
      </c>
      <c r="AI16" s="159">
        <f t="shared" si="19"/>
        <v>7.6009923893045199</v>
      </c>
      <c r="AJ16" s="159">
        <f t="shared" si="20"/>
        <v>3.4204465751870337</v>
      </c>
      <c r="AK16" s="159">
        <f t="shared" si="21"/>
        <v>2.8764331994226953</v>
      </c>
      <c r="AL16" s="159">
        <f t="shared" si="22"/>
        <v>3.7102822372221631</v>
      </c>
      <c r="AM16" s="159">
        <f t="shared" si="23"/>
        <v>6.2295089799300083</v>
      </c>
      <c r="AN16" s="159">
        <f t="shared" si="24"/>
        <v>5.849459360464782</v>
      </c>
      <c r="AO16" s="159">
        <f t="shared" si="25"/>
        <v>3.2510731354015325</v>
      </c>
      <c r="AP16" s="159">
        <f t="shared" si="26"/>
        <v>1.7684810957822845</v>
      </c>
      <c r="AQ16" s="159">
        <f t="shared" si="27"/>
        <v>2.2307260272958915</v>
      </c>
      <c r="AR16" s="159">
        <f t="shared" si="28"/>
        <v>4.9075972600509612</v>
      </c>
      <c r="AS16" s="159">
        <f t="shared" si="29"/>
        <v>1.1153630136479458</v>
      </c>
      <c r="AT16" s="159">
        <f t="shared" si="30"/>
        <v>16.259598444640865</v>
      </c>
      <c r="AU16" s="159">
        <f t="shared" si="31"/>
        <v>1.5518754946239484</v>
      </c>
      <c r="AV16" s="159">
        <f t="shared" si="32"/>
        <v>3.1188186148062824</v>
      </c>
      <c r="AW16" s="159">
        <f t="shared" si="33"/>
        <v>0.77593774731197418</v>
      </c>
      <c r="AX16" s="159">
        <f t="shared" si="34"/>
        <v>1.5615082191071241</v>
      </c>
      <c r="AY16" s="159">
        <f t="shared" si="35"/>
        <v>3.3047792996976173</v>
      </c>
      <c r="AZ16" s="159">
        <f t="shared" si="36"/>
        <v>0.78075410955356206</v>
      </c>
      <c r="BA16" s="159">
        <f t="shared" si="37"/>
        <v>17.224150894746678</v>
      </c>
      <c r="BB16" s="159">
        <f t="shared" si="38"/>
        <v>3.0201884626142994</v>
      </c>
      <c r="BC16" s="159">
        <f t="shared" si="39"/>
        <v>6.1176645964445804</v>
      </c>
      <c r="BD16" s="159">
        <f t="shared" si="40"/>
        <v>1.5100942313071497</v>
      </c>
      <c r="BE16" s="159">
        <f t="shared" si="41"/>
        <v>2.4042269405300161</v>
      </c>
      <c r="BF16" s="159">
        <f t="shared" si="42"/>
        <v>2.8751579907369265</v>
      </c>
      <c r="BG16" s="159">
        <f t="shared" si="43"/>
        <v>15.174476938271823</v>
      </c>
      <c r="BH16" s="159">
        <f t="shared" si="44"/>
        <v>7.3822558824668434</v>
      </c>
      <c r="BI16" s="159">
        <f t="shared" si="45"/>
        <v>2.8769384169567043</v>
      </c>
      <c r="BJ16" s="159">
        <f t="shared" si="46"/>
        <v>4.0070449008833604</v>
      </c>
      <c r="BK16" s="159">
        <f t="shared" si="47"/>
        <v>2.1811543378004274</v>
      </c>
      <c r="BL16" s="159">
        <f t="shared" si="48"/>
        <v>6.5624014908984849</v>
      </c>
      <c r="BM16" s="159">
        <f t="shared" si="49"/>
        <v>6.6460708253948502</v>
      </c>
      <c r="BN16" s="159">
        <f t="shared" si="50"/>
        <v>0.6207501978495793</v>
      </c>
      <c r="BO16" s="159">
        <f t="shared" si="51"/>
        <v>1.4871506848639275</v>
      </c>
      <c r="BP16" s="159">
        <f t="shared" si="52"/>
        <v>0.56181248094859493</v>
      </c>
      <c r="BQ16" s="159">
        <f t="shared" si="53"/>
        <v>5.2533660228977368</v>
      </c>
      <c r="BR16" s="159">
        <f t="shared" si="54"/>
        <v>9.7241298929722841</v>
      </c>
      <c r="BS16" s="159">
        <f t="shared" si="55"/>
        <v>1.6115630136479464</v>
      </c>
      <c r="BT16" s="159">
        <f t="shared" si="56"/>
        <v>2.3463933027853079</v>
      </c>
      <c r="BU16" s="159">
        <f t="shared" si="57"/>
        <v>2.0159153728155466</v>
      </c>
      <c r="BV16" s="159">
        <f t="shared" si="58"/>
        <v>7.8369886571097389</v>
      </c>
      <c r="BW16" s="159">
        <f t="shared" si="59"/>
        <v>8.3645942157179558</v>
      </c>
      <c r="BX16" s="159">
        <f t="shared" si="60"/>
        <v>1.4444379603807518</v>
      </c>
      <c r="BY16" s="159">
        <f t="shared" si="61"/>
        <v>2.3463933027853079</v>
      </c>
      <c r="BZ16" s="159">
        <f t="shared" si="62"/>
        <v>2.0159153728155466</v>
      </c>
      <c r="CA16" s="159">
        <f t="shared" si="63"/>
        <v>10.868439214585154</v>
      </c>
      <c r="CB16" s="159">
        <f t="shared" si="64"/>
        <v>6.7335609052956409</v>
      </c>
      <c r="CC16" s="159">
        <f t="shared" si="65"/>
        <v>1.7667505631103411</v>
      </c>
      <c r="CD16" s="159">
        <f t="shared" si="66"/>
        <v>6.9930052632671522</v>
      </c>
      <c r="CE16" s="159">
        <f t="shared" si="67"/>
        <v>5.1309494823005917</v>
      </c>
      <c r="CF16" s="159">
        <f t="shared" si="68"/>
        <v>12.164859284204351</v>
      </c>
      <c r="CG16" s="159">
        <f t="shared" si="69"/>
        <v>5.1309494823005917</v>
      </c>
      <c r="CH16" s="159">
        <f t="shared" si="70"/>
        <v>5.4939873703901503</v>
      </c>
      <c r="CI16" s="159">
        <f t="shared" si="71"/>
        <v>14.15244270877065</v>
      </c>
      <c r="CJ16" s="159">
        <f t="shared" si="72"/>
        <v>5.4939873703901503</v>
      </c>
      <c r="CK16" s="159">
        <f t="shared" si="73"/>
        <v>4.3060377236866696</v>
      </c>
    </row>
    <row r="17" spans="1:89" x14ac:dyDescent="0.25">
      <c r="A17" t="str">
        <f>PLANTILLA!D19</f>
        <v>W. Gelifini</v>
      </c>
      <c r="B17" s="487">
        <f>PLANTILLA!E19</f>
        <v>30</v>
      </c>
      <c r="C17" s="487">
        <f ca="1">PLANTILLA!F19</f>
        <v>95</v>
      </c>
      <c r="D17" s="487"/>
      <c r="E17" s="290">
        <v>41737</v>
      </c>
      <c r="F17" s="341">
        <f>PLANTILLA!Q19</f>
        <v>5</v>
      </c>
      <c r="G17" s="406">
        <f t="shared" si="78"/>
        <v>0.84515425472851657</v>
      </c>
      <c r="H17" s="406">
        <f t="shared" si="75"/>
        <v>0.92504826128926143</v>
      </c>
      <c r="I17" s="496">
        <v>1.5</v>
      </c>
      <c r="J17" s="497">
        <f>PLANTILLA!I19</f>
        <v>4.4000000000000004</v>
      </c>
      <c r="K17" s="163">
        <f>PLANTILLA!X19</f>
        <v>0</v>
      </c>
      <c r="L17" s="163">
        <f>PLANTILLA!Y19</f>
        <v>5.6515555555555519</v>
      </c>
      <c r="M17" s="163">
        <f>PLANTILLA!Z19</f>
        <v>10</v>
      </c>
      <c r="N17" s="163">
        <f>PLANTILLA!AA19</f>
        <v>6.95</v>
      </c>
      <c r="O17" s="163">
        <f>PLANTILLA!AB19</f>
        <v>9.2666666666666639</v>
      </c>
      <c r="P17" s="163">
        <f>PLANTILLA!AC19</f>
        <v>3.5417777777777766</v>
      </c>
      <c r="Q17" s="163">
        <f>PLANTILLA!AD19</f>
        <v>12.847222222222223</v>
      </c>
      <c r="R17" s="163">
        <f t="shared" si="2"/>
        <v>3.3981111111111098</v>
      </c>
      <c r="S17" s="163">
        <f t="shared" si="3"/>
        <v>10.556363886712633</v>
      </c>
      <c r="T17" s="163">
        <f t="shared" si="4"/>
        <v>0.56250555555555548</v>
      </c>
      <c r="U17" s="163">
        <f t="shared" si="5"/>
        <v>0.61147888888888879</v>
      </c>
      <c r="V17" s="163">
        <f t="shared" ca="1" si="6"/>
        <v>12.428127800280713</v>
      </c>
      <c r="W17" s="163">
        <f t="shared" ca="1" si="7"/>
        <v>13.60298187982665</v>
      </c>
      <c r="X17" s="159">
        <f t="shared" si="8"/>
        <v>3.6183082487632547</v>
      </c>
      <c r="Y17" s="159">
        <f t="shared" si="9"/>
        <v>5.4460076515693334</v>
      </c>
      <c r="Z17" s="159">
        <f t="shared" si="10"/>
        <v>3.6183082487632547</v>
      </c>
      <c r="AA17" s="159">
        <f t="shared" si="11"/>
        <v>4.1328981080891616</v>
      </c>
      <c r="AB17" s="159">
        <f t="shared" si="12"/>
        <v>8.0094924575371351</v>
      </c>
      <c r="AC17" s="159">
        <f t="shared" si="13"/>
        <v>2.0664490540445808</v>
      </c>
      <c r="AD17" s="159">
        <f t="shared" si="14"/>
        <v>2.9411889826716169</v>
      </c>
      <c r="AE17" s="159">
        <f t="shared" si="15"/>
        <v>3.0275881489490373</v>
      </c>
      <c r="AF17" s="159">
        <f t="shared" si="16"/>
        <v>5.7908630467993483</v>
      </c>
      <c r="AG17" s="159">
        <f t="shared" si="17"/>
        <v>1.5137940744745186</v>
      </c>
      <c r="AH17" s="159">
        <f t="shared" si="18"/>
        <v>4.7578057072629099</v>
      </c>
      <c r="AI17" s="159">
        <f t="shared" si="19"/>
        <v>7.368733060934165</v>
      </c>
      <c r="AJ17" s="159">
        <f t="shared" si="20"/>
        <v>3.3159298774203738</v>
      </c>
      <c r="AK17" s="159">
        <f t="shared" si="21"/>
        <v>2.0637754626309244</v>
      </c>
      <c r="AL17" s="159">
        <f t="shared" si="22"/>
        <v>5.47306689836517</v>
      </c>
      <c r="AM17" s="159">
        <f t="shared" si="23"/>
        <v>6.0391573129829998</v>
      </c>
      <c r="AN17" s="159">
        <f t="shared" si="24"/>
        <v>5.6707206599362916</v>
      </c>
      <c r="AO17" s="159">
        <f t="shared" si="25"/>
        <v>2.5392615737420359</v>
      </c>
      <c r="AP17" s="159">
        <f t="shared" si="26"/>
        <v>1.6577418277706955</v>
      </c>
      <c r="AQ17" s="159">
        <f t="shared" si="27"/>
        <v>2.1625629635350267</v>
      </c>
      <c r="AR17" s="159">
        <f t="shared" si="28"/>
        <v>4.7576385197770579</v>
      </c>
      <c r="AS17" s="159">
        <f t="shared" si="29"/>
        <v>1.0812814817675134</v>
      </c>
      <c r="AT17" s="159">
        <f t="shared" si="30"/>
        <v>11.665892435470614</v>
      </c>
      <c r="AU17" s="159">
        <f t="shared" si="31"/>
        <v>1.5111984639242722</v>
      </c>
      <c r="AV17" s="159">
        <f t="shared" si="32"/>
        <v>2.4156030678361589</v>
      </c>
      <c r="AW17" s="159">
        <f t="shared" si="33"/>
        <v>0.75559923196213608</v>
      </c>
      <c r="AX17" s="159">
        <f t="shared" si="34"/>
        <v>1.5137940744745186</v>
      </c>
      <c r="AY17" s="159">
        <f t="shared" si="35"/>
        <v>3.203796983014854</v>
      </c>
      <c r="AZ17" s="159">
        <f t="shared" si="36"/>
        <v>0.75689703723725932</v>
      </c>
      <c r="BA17" s="159">
        <f t="shared" si="37"/>
        <v>12.357936901981583</v>
      </c>
      <c r="BB17" s="159">
        <f t="shared" si="38"/>
        <v>2.9410247028680065</v>
      </c>
      <c r="BC17" s="159">
        <f t="shared" si="39"/>
        <v>5.2029298996585176</v>
      </c>
      <c r="BD17" s="159">
        <f t="shared" si="40"/>
        <v>1.4705123514340033</v>
      </c>
      <c r="BE17" s="159">
        <f t="shared" si="41"/>
        <v>2.3307623051433062</v>
      </c>
      <c r="BF17" s="159">
        <f t="shared" si="42"/>
        <v>2.787303375222923</v>
      </c>
      <c r="BG17" s="159">
        <f t="shared" si="43"/>
        <v>10.887342410645775</v>
      </c>
      <c r="BH17" s="159">
        <f t="shared" si="44"/>
        <v>9.0045059058616257</v>
      </c>
      <c r="BI17" s="159">
        <f t="shared" si="45"/>
        <v>2.8015294600442275</v>
      </c>
      <c r="BJ17" s="159">
        <f t="shared" si="46"/>
        <v>3.8846038419055104</v>
      </c>
      <c r="BK17" s="159">
        <f t="shared" si="47"/>
        <v>2.114506008789804</v>
      </c>
      <c r="BL17" s="159">
        <f t="shared" si="48"/>
        <v>4.708373959654983</v>
      </c>
      <c r="BM17" s="159">
        <f t="shared" si="49"/>
        <v>8.600786852331904</v>
      </c>
      <c r="BN17" s="159">
        <f t="shared" si="50"/>
        <v>0.60447938556970882</v>
      </c>
      <c r="BO17" s="159">
        <f t="shared" si="51"/>
        <v>1.4417086423566843</v>
      </c>
      <c r="BP17" s="159">
        <f t="shared" si="52"/>
        <v>0.54464548711252525</v>
      </c>
      <c r="BQ17" s="159">
        <f t="shared" si="53"/>
        <v>3.7691707551043829</v>
      </c>
      <c r="BR17" s="159">
        <f t="shared" si="54"/>
        <v>12.632573522614981</v>
      </c>
      <c r="BS17" s="159">
        <f t="shared" si="55"/>
        <v>1.5693214817675134</v>
      </c>
      <c r="BT17" s="159">
        <f t="shared" si="56"/>
        <v>2.2746958579405461</v>
      </c>
      <c r="BU17" s="159">
        <f t="shared" si="57"/>
        <v>1.954316159639061</v>
      </c>
      <c r="BV17" s="159">
        <f t="shared" si="58"/>
        <v>5.6228612904016204</v>
      </c>
      <c r="BW17" s="159">
        <f t="shared" si="59"/>
        <v>10.87846075406226</v>
      </c>
      <c r="BX17" s="159">
        <f t="shared" si="60"/>
        <v>1.4065770318064379</v>
      </c>
      <c r="BY17" s="159">
        <f t="shared" si="61"/>
        <v>2.2746958579405461</v>
      </c>
      <c r="BZ17" s="159">
        <f t="shared" si="62"/>
        <v>1.954316159639061</v>
      </c>
      <c r="CA17" s="159">
        <f t="shared" si="63"/>
        <v>7.7978581851503792</v>
      </c>
      <c r="CB17" s="159">
        <f t="shared" si="64"/>
        <v>8.7777201939401834</v>
      </c>
      <c r="CC17" s="159">
        <f t="shared" si="65"/>
        <v>1.7204413281599404</v>
      </c>
      <c r="CD17" s="159">
        <f t="shared" si="66"/>
        <v>5.0173223822045232</v>
      </c>
      <c r="CE17" s="159">
        <f t="shared" si="67"/>
        <v>4.9957575703768482</v>
      </c>
      <c r="CF17" s="159">
        <f t="shared" si="68"/>
        <v>9.7516933960757051</v>
      </c>
      <c r="CG17" s="159">
        <f t="shared" si="69"/>
        <v>4.9957575703768482</v>
      </c>
      <c r="CH17" s="159">
        <f t="shared" si="70"/>
        <v>5.1116735788234138</v>
      </c>
      <c r="CI17" s="159">
        <f t="shared" si="71"/>
        <v>10.189193396590563</v>
      </c>
      <c r="CJ17" s="159">
        <f t="shared" si="72"/>
        <v>5.1116735788234138</v>
      </c>
      <c r="CK17" s="159">
        <f t="shared" si="73"/>
        <v>3.0894842254953958</v>
      </c>
    </row>
    <row r="18" spans="1:89" x14ac:dyDescent="0.25">
      <c r="A18" t="e">
        <f>PLANTILLA!#REF!</f>
        <v>#REF!</v>
      </c>
      <c r="B18" s="487" t="e">
        <f>PLANTILLA!#REF!</f>
        <v>#REF!</v>
      </c>
      <c r="C18" s="487" t="e">
        <f>PLANTILLA!#REF!</f>
        <v>#REF!</v>
      </c>
      <c r="D18" s="487" t="e">
        <f>PLANTILLA!#REF!</f>
        <v>#REF!</v>
      </c>
      <c r="E18" s="290">
        <v>41730</v>
      </c>
      <c r="F18" s="341" t="e">
        <f>PLANTILLA!#REF!</f>
        <v>#REF!</v>
      </c>
      <c r="G18" s="406" t="e">
        <f t="shared" si="78"/>
        <v>#REF!</v>
      </c>
      <c r="H18" s="406" t="e">
        <f t="shared" si="75"/>
        <v>#REF!</v>
      </c>
      <c r="I18" s="496">
        <v>1.5</v>
      </c>
      <c r="J18" s="497" t="e">
        <f>PLANTILLA!#REF!</f>
        <v>#REF!</v>
      </c>
      <c r="K18" s="163" t="e">
        <f>PLANTILLA!#REF!</f>
        <v>#REF!</v>
      </c>
      <c r="L18" s="163" t="e">
        <f>PLANTILLA!#REF!</f>
        <v>#REF!</v>
      </c>
      <c r="M18" s="163" t="e">
        <f>PLANTILLA!#REF!</f>
        <v>#REF!</v>
      </c>
      <c r="N18" s="163" t="e">
        <f>PLANTILLA!#REF!</f>
        <v>#REF!</v>
      </c>
      <c r="O18" s="163" t="e">
        <f>PLANTILLA!#REF!</f>
        <v>#REF!</v>
      </c>
      <c r="P18" s="163" t="e">
        <f>PLANTILLA!#REF!</f>
        <v>#REF!</v>
      </c>
      <c r="Q18" s="163" t="e">
        <f>PLANTILLA!#REF!</f>
        <v>#REF!</v>
      </c>
      <c r="R18" s="163" t="e">
        <f t="shared" si="2"/>
        <v>#REF!</v>
      </c>
      <c r="S18" s="163" t="e">
        <f t="shared" si="3"/>
        <v>#REF!</v>
      </c>
      <c r="T18" s="163" t="e">
        <f t="shared" si="4"/>
        <v>#REF!</v>
      </c>
      <c r="U18" s="163" t="e">
        <f t="shared" si="5"/>
        <v>#REF!</v>
      </c>
      <c r="V18" s="163" t="e">
        <f t="shared" ca="1" si="6"/>
        <v>#REF!</v>
      </c>
      <c r="W18" s="163" t="e">
        <f t="shared" ca="1" si="7"/>
        <v>#REF!</v>
      </c>
      <c r="X18" s="159" t="e">
        <f t="shared" si="8"/>
        <v>#REF!</v>
      </c>
      <c r="Y18" s="159" t="e">
        <f t="shared" si="9"/>
        <v>#REF!</v>
      </c>
      <c r="Z18" s="159" t="e">
        <f t="shared" si="10"/>
        <v>#REF!</v>
      </c>
      <c r="AA18" s="159" t="e">
        <f t="shared" si="11"/>
        <v>#REF!</v>
      </c>
      <c r="AB18" s="159" t="e">
        <f t="shared" si="12"/>
        <v>#REF!</v>
      </c>
      <c r="AC18" s="159" t="e">
        <f t="shared" si="13"/>
        <v>#REF!</v>
      </c>
      <c r="AD18" s="159" t="e">
        <f t="shared" si="14"/>
        <v>#REF!</v>
      </c>
      <c r="AE18" s="159" t="e">
        <f t="shared" si="15"/>
        <v>#REF!</v>
      </c>
      <c r="AF18" s="159" t="e">
        <f t="shared" si="16"/>
        <v>#REF!</v>
      </c>
      <c r="AG18" s="159" t="e">
        <f t="shared" si="17"/>
        <v>#REF!</v>
      </c>
      <c r="AH18" s="159" t="e">
        <f t="shared" si="18"/>
        <v>#REF!</v>
      </c>
      <c r="AI18" s="159" t="e">
        <f t="shared" si="19"/>
        <v>#REF!</v>
      </c>
      <c r="AJ18" s="159" t="e">
        <f t="shared" si="20"/>
        <v>#REF!</v>
      </c>
      <c r="AK18" s="159" t="e">
        <f t="shared" si="21"/>
        <v>#REF!</v>
      </c>
      <c r="AL18" s="159" t="e">
        <f t="shared" si="22"/>
        <v>#REF!</v>
      </c>
      <c r="AM18" s="159" t="e">
        <f t="shared" si="23"/>
        <v>#REF!</v>
      </c>
      <c r="AN18" s="159" t="e">
        <f t="shared" si="24"/>
        <v>#REF!</v>
      </c>
      <c r="AO18" s="159" t="e">
        <f t="shared" si="25"/>
        <v>#REF!</v>
      </c>
      <c r="AP18" s="159" t="e">
        <f t="shared" si="26"/>
        <v>#REF!</v>
      </c>
      <c r="AQ18" s="159" t="e">
        <f t="shared" si="27"/>
        <v>#REF!</v>
      </c>
      <c r="AR18" s="159" t="e">
        <f t="shared" si="28"/>
        <v>#REF!</v>
      </c>
      <c r="AS18" s="159" t="e">
        <f t="shared" si="29"/>
        <v>#REF!</v>
      </c>
      <c r="AT18" s="159" t="e">
        <f t="shared" si="30"/>
        <v>#REF!</v>
      </c>
      <c r="AU18" s="159" t="e">
        <f t="shared" si="31"/>
        <v>#REF!</v>
      </c>
      <c r="AV18" s="159" t="e">
        <f t="shared" si="32"/>
        <v>#REF!</v>
      </c>
      <c r="AW18" s="159" t="e">
        <f t="shared" si="33"/>
        <v>#REF!</v>
      </c>
      <c r="AX18" s="159" t="e">
        <f t="shared" si="34"/>
        <v>#REF!</v>
      </c>
      <c r="AY18" s="159" t="e">
        <f t="shared" si="35"/>
        <v>#REF!</v>
      </c>
      <c r="AZ18" s="159" t="e">
        <f t="shared" si="36"/>
        <v>#REF!</v>
      </c>
      <c r="BA18" s="159" t="e">
        <f t="shared" si="37"/>
        <v>#REF!</v>
      </c>
      <c r="BB18" s="159" t="e">
        <f t="shared" si="38"/>
        <v>#REF!</v>
      </c>
      <c r="BC18" s="159" t="e">
        <f t="shared" si="39"/>
        <v>#REF!</v>
      </c>
      <c r="BD18" s="159" t="e">
        <f t="shared" si="40"/>
        <v>#REF!</v>
      </c>
      <c r="BE18" s="159" t="e">
        <f t="shared" si="41"/>
        <v>#REF!</v>
      </c>
      <c r="BF18" s="159" t="e">
        <f t="shared" si="42"/>
        <v>#REF!</v>
      </c>
      <c r="BG18" s="159" t="e">
        <f t="shared" si="43"/>
        <v>#REF!</v>
      </c>
      <c r="BH18" s="159" t="e">
        <f t="shared" si="44"/>
        <v>#REF!</v>
      </c>
      <c r="BI18" s="159" t="e">
        <f t="shared" si="45"/>
        <v>#REF!</v>
      </c>
      <c r="BJ18" s="159" t="e">
        <f t="shared" si="46"/>
        <v>#REF!</v>
      </c>
      <c r="BK18" s="159" t="e">
        <f t="shared" si="47"/>
        <v>#REF!</v>
      </c>
      <c r="BL18" s="159" t="e">
        <f t="shared" si="48"/>
        <v>#REF!</v>
      </c>
      <c r="BM18" s="159" t="e">
        <f t="shared" si="49"/>
        <v>#REF!</v>
      </c>
      <c r="BN18" s="159" t="e">
        <f t="shared" si="50"/>
        <v>#REF!</v>
      </c>
      <c r="BO18" s="159" t="e">
        <f t="shared" si="51"/>
        <v>#REF!</v>
      </c>
      <c r="BP18" s="159" t="e">
        <f t="shared" si="52"/>
        <v>#REF!</v>
      </c>
      <c r="BQ18" s="159" t="e">
        <f t="shared" si="53"/>
        <v>#REF!</v>
      </c>
      <c r="BR18" s="159" t="e">
        <f t="shared" si="54"/>
        <v>#REF!</v>
      </c>
      <c r="BS18" s="159" t="e">
        <f t="shared" si="55"/>
        <v>#REF!</v>
      </c>
      <c r="BT18" s="159" t="e">
        <f t="shared" si="56"/>
        <v>#REF!</v>
      </c>
      <c r="BU18" s="159" t="e">
        <f t="shared" si="57"/>
        <v>#REF!</v>
      </c>
      <c r="BV18" s="159" t="e">
        <f t="shared" si="58"/>
        <v>#REF!</v>
      </c>
      <c r="BW18" s="159" t="e">
        <f t="shared" si="59"/>
        <v>#REF!</v>
      </c>
      <c r="BX18" s="159" t="e">
        <f t="shared" si="60"/>
        <v>#REF!</v>
      </c>
      <c r="BY18" s="159" t="e">
        <f t="shared" si="61"/>
        <v>#REF!</v>
      </c>
      <c r="BZ18" s="159" t="e">
        <f t="shared" si="62"/>
        <v>#REF!</v>
      </c>
      <c r="CA18" s="159" t="e">
        <f t="shared" si="63"/>
        <v>#REF!</v>
      </c>
      <c r="CB18" s="159" t="e">
        <f t="shared" si="64"/>
        <v>#REF!</v>
      </c>
      <c r="CC18" s="159" t="e">
        <f t="shared" si="65"/>
        <v>#REF!</v>
      </c>
      <c r="CD18" s="159" t="e">
        <f t="shared" si="66"/>
        <v>#REF!</v>
      </c>
      <c r="CE18" s="159" t="e">
        <f t="shared" si="67"/>
        <v>#REF!</v>
      </c>
      <c r="CF18" s="159" t="e">
        <f t="shared" si="68"/>
        <v>#REF!</v>
      </c>
      <c r="CG18" s="159" t="e">
        <f t="shared" si="69"/>
        <v>#REF!</v>
      </c>
      <c r="CH18" s="159" t="e">
        <f t="shared" si="70"/>
        <v>#REF!</v>
      </c>
      <c r="CI18" s="159" t="e">
        <f t="shared" si="71"/>
        <v>#REF!</v>
      </c>
      <c r="CJ18" s="159" t="e">
        <f t="shared" si="72"/>
        <v>#REF!</v>
      </c>
      <c r="CK18" s="159" t="e">
        <f t="shared" si="73"/>
        <v>#REF!</v>
      </c>
    </row>
    <row r="19" spans="1:89" x14ac:dyDescent="0.25">
      <c r="A19" t="str">
        <f>PLANTILLA!D21</f>
        <v>J. Limon</v>
      </c>
      <c r="B19" s="487">
        <f>PLANTILLA!E21</f>
        <v>31</v>
      </c>
      <c r="C19" s="487">
        <f ca="1">PLANTILLA!F21</f>
        <v>70</v>
      </c>
      <c r="D19" s="487" t="str">
        <f>PLANTILLA!G21</f>
        <v>RAP</v>
      </c>
      <c r="E19" s="290">
        <v>41664</v>
      </c>
      <c r="F19" s="341">
        <f>PLANTILLA!Q21</f>
        <v>7</v>
      </c>
      <c r="G19" s="406">
        <f t="shared" si="78"/>
        <v>1</v>
      </c>
      <c r="H19" s="406">
        <f t="shared" si="75"/>
        <v>1</v>
      </c>
      <c r="I19" s="496">
        <v>1.5</v>
      </c>
      <c r="J19" s="497">
        <f>PLANTILLA!I21</f>
        <v>11.8</v>
      </c>
      <c r="K19" s="163">
        <f>PLANTILLA!X21</f>
        <v>0</v>
      </c>
      <c r="L19" s="163">
        <f>PLANTILLA!Y21</f>
        <v>6.8376190476190493</v>
      </c>
      <c r="M19" s="163">
        <f>PLANTILLA!Z21</f>
        <v>8.9499999999999993</v>
      </c>
      <c r="N19" s="163">
        <f>PLANTILLA!AA21</f>
        <v>8.7399999999999967</v>
      </c>
      <c r="O19" s="163">
        <f>PLANTILLA!AB21</f>
        <v>10</v>
      </c>
      <c r="P19" s="163">
        <f>PLANTILLA!AC21</f>
        <v>8.5625000000000018</v>
      </c>
      <c r="Q19" s="163">
        <f>PLANTILLA!AD21</f>
        <v>18.999999999999993</v>
      </c>
      <c r="R19" s="163">
        <f t="shared" si="2"/>
        <v>3.7297023809523813</v>
      </c>
      <c r="S19" s="163">
        <f t="shared" si="3"/>
        <v>23.537228981528713</v>
      </c>
      <c r="T19" s="163">
        <f t="shared" si="4"/>
        <v>0.99812499999999993</v>
      </c>
      <c r="U19" s="163">
        <f t="shared" si="5"/>
        <v>0.84350476190476176</v>
      </c>
      <c r="V19" s="163">
        <f t="shared" ca="1" si="6"/>
        <v>21.429176009741493</v>
      </c>
      <c r="W19" s="163">
        <f t="shared" ca="1" si="7"/>
        <v>21.429176009741493</v>
      </c>
      <c r="X19" s="159">
        <f t="shared" si="8"/>
        <v>4.4443535136471883</v>
      </c>
      <c r="Y19" s="159">
        <f t="shared" si="9"/>
        <v>6.687554323814374</v>
      </c>
      <c r="Z19" s="159">
        <f t="shared" si="10"/>
        <v>4.4443535136471883</v>
      </c>
      <c r="AA19" s="159">
        <f t="shared" si="11"/>
        <v>5.039666249598044</v>
      </c>
      <c r="AB19" s="159">
        <f t="shared" si="12"/>
        <v>9.7667950573605502</v>
      </c>
      <c r="AC19" s="159">
        <f t="shared" si="13"/>
        <v>2.519833124799022</v>
      </c>
      <c r="AD19" s="159">
        <f t="shared" si="14"/>
        <v>2.8272438903184769</v>
      </c>
      <c r="AE19" s="159">
        <f t="shared" si="15"/>
        <v>3.6918485316822882</v>
      </c>
      <c r="AF19" s="159">
        <f t="shared" si="16"/>
        <v>7.0613928264716774</v>
      </c>
      <c r="AG19" s="159">
        <f t="shared" si="17"/>
        <v>1.8459242658411441</v>
      </c>
      <c r="AH19" s="159">
        <f t="shared" si="18"/>
        <v>4.5734827637504774</v>
      </c>
      <c r="AI19" s="159">
        <f t="shared" si="19"/>
        <v>8.9854514527717058</v>
      </c>
      <c r="AJ19" s="159">
        <f t="shared" si="20"/>
        <v>4.0434531537472678</v>
      </c>
      <c r="AK19" s="159">
        <f t="shared" si="21"/>
        <v>1.9838223936268304</v>
      </c>
      <c r="AL19" s="159">
        <f t="shared" si="22"/>
        <v>6.8614754937279994</v>
      </c>
      <c r="AM19" s="159">
        <f t="shared" si="23"/>
        <v>7.3641634732498549</v>
      </c>
      <c r="AN19" s="159">
        <f t="shared" si="24"/>
        <v>6.9148909006112689</v>
      </c>
      <c r="AO19" s="159">
        <f t="shared" si="25"/>
        <v>3.6621723936268293</v>
      </c>
      <c r="AP19" s="159">
        <f t="shared" si="26"/>
        <v>1.9177569765198379</v>
      </c>
      <c r="AQ19" s="159">
        <f t="shared" si="27"/>
        <v>2.6370346654873487</v>
      </c>
      <c r="AR19" s="159">
        <f t="shared" si="28"/>
        <v>5.8014762640721669</v>
      </c>
      <c r="AS19" s="159">
        <f t="shared" si="29"/>
        <v>1.3185173327436743</v>
      </c>
      <c r="AT19" s="159">
        <f t="shared" si="30"/>
        <v>11.213942153195974</v>
      </c>
      <c r="AU19" s="159">
        <f t="shared" si="31"/>
        <v>1.680792881266395</v>
      </c>
      <c r="AV19" s="159">
        <f t="shared" si="32"/>
        <v>3.5395610708542598</v>
      </c>
      <c r="AW19" s="159">
        <f t="shared" si="33"/>
        <v>0.84039644063319752</v>
      </c>
      <c r="AX19" s="159">
        <f t="shared" si="34"/>
        <v>1.8459242658411441</v>
      </c>
      <c r="AY19" s="159">
        <f t="shared" si="35"/>
        <v>3.9067180229442204</v>
      </c>
      <c r="AZ19" s="159">
        <f t="shared" si="36"/>
        <v>0.92296213292057205</v>
      </c>
      <c r="BA19" s="159">
        <f t="shared" si="37"/>
        <v>11.879176009741499</v>
      </c>
      <c r="BB19" s="159">
        <f t="shared" si="38"/>
        <v>3.2710815304645995</v>
      </c>
      <c r="BC19" s="159">
        <f t="shared" si="39"/>
        <v>6.8221009813675675</v>
      </c>
      <c r="BD19" s="159">
        <f t="shared" si="40"/>
        <v>1.6355407652322997</v>
      </c>
      <c r="BE19" s="159">
        <f t="shared" si="41"/>
        <v>2.8421373616919201</v>
      </c>
      <c r="BF19" s="159">
        <f t="shared" si="42"/>
        <v>3.3988446799614711</v>
      </c>
      <c r="BG19" s="159">
        <f t="shared" si="43"/>
        <v>10.46555406458226</v>
      </c>
      <c r="BH19" s="159">
        <f t="shared" si="44"/>
        <v>10.770797472660192</v>
      </c>
      <c r="BI19" s="159">
        <f t="shared" si="45"/>
        <v>3.1159314183477016</v>
      </c>
      <c r="BJ19" s="159">
        <f t="shared" si="46"/>
        <v>4.7368956028198665</v>
      </c>
      <c r="BK19" s="159">
        <f t="shared" si="47"/>
        <v>2.5784338951431853</v>
      </c>
      <c r="BL19" s="159">
        <f t="shared" si="48"/>
        <v>4.5259660597115117</v>
      </c>
      <c r="BM19" s="159">
        <f t="shared" si="49"/>
        <v>10.45211983251407</v>
      </c>
      <c r="BN19" s="159">
        <f t="shared" si="50"/>
        <v>0.67231715250655799</v>
      </c>
      <c r="BO19" s="159">
        <f t="shared" si="51"/>
        <v>1.7580231103248989</v>
      </c>
      <c r="BP19" s="159">
        <f t="shared" si="52"/>
        <v>0.66414206390051744</v>
      </c>
      <c r="BQ19" s="159">
        <f t="shared" si="53"/>
        <v>3.6231486829711574</v>
      </c>
      <c r="BR19" s="159">
        <f t="shared" si="54"/>
        <v>15.366920348527564</v>
      </c>
      <c r="BS19" s="159">
        <f t="shared" si="55"/>
        <v>1.7454387613151026</v>
      </c>
      <c r="BT19" s="159">
        <f t="shared" si="56"/>
        <v>2.773769796290396</v>
      </c>
      <c r="BU19" s="159">
        <f t="shared" si="57"/>
        <v>2.3830979939959742</v>
      </c>
      <c r="BV19" s="159">
        <f t="shared" si="58"/>
        <v>5.4050250844323822</v>
      </c>
      <c r="BW19" s="159">
        <f t="shared" si="59"/>
        <v>13.236887018793579</v>
      </c>
      <c r="BX19" s="159">
        <f t="shared" si="60"/>
        <v>1.5644302971787214</v>
      </c>
      <c r="BY19" s="159">
        <f t="shared" si="61"/>
        <v>2.773769796290396</v>
      </c>
      <c r="BZ19" s="159">
        <f t="shared" si="62"/>
        <v>2.3830979939959742</v>
      </c>
      <c r="CA19" s="159">
        <f t="shared" si="63"/>
        <v>7.4957600621468865</v>
      </c>
      <c r="CB19" s="159">
        <f t="shared" si="64"/>
        <v>10.68709252871864</v>
      </c>
      <c r="CC19" s="159">
        <f t="shared" si="65"/>
        <v>1.9135180494417419</v>
      </c>
      <c r="CD19" s="159">
        <f t="shared" si="66"/>
        <v>4.822945459955049</v>
      </c>
      <c r="CE19" s="159">
        <f t="shared" si="67"/>
        <v>6.3720982010753211</v>
      </c>
      <c r="CF19" s="159">
        <f t="shared" si="68"/>
        <v>13.720189686968929</v>
      </c>
      <c r="CG19" s="159">
        <f t="shared" si="69"/>
        <v>6.3720982010753211</v>
      </c>
      <c r="CH19" s="159">
        <f t="shared" si="70"/>
        <v>7.2726666540689546</v>
      </c>
      <c r="CI19" s="159">
        <f t="shared" si="71"/>
        <v>16.262541957336115</v>
      </c>
      <c r="CJ19" s="159">
        <f t="shared" si="72"/>
        <v>7.2726666540689546</v>
      </c>
      <c r="CK19" s="159">
        <f t="shared" si="73"/>
        <v>2.9697940024353748</v>
      </c>
    </row>
    <row r="20" spans="1:89" x14ac:dyDescent="0.25">
      <c r="A20" t="str">
        <f>PLANTILLA!D22</f>
        <v>L. Calosso</v>
      </c>
      <c r="B20" s="487">
        <f>PLANTILLA!E22</f>
        <v>32</v>
      </c>
      <c r="C20" s="487">
        <f ca="1">PLANTILLA!F22</f>
        <v>27</v>
      </c>
      <c r="D20" s="487" t="str">
        <f>PLANTILLA!G22</f>
        <v>TEC</v>
      </c>
      <c r="E20" s="290">
        <v>41890</v>
      </c>
      <c r="F20" s="341">
        <f>PLANTILLA!Q22</f>
        <v>6</v>
      </c>
      <c r="G20" s="406">
        <f t="shared" si="78"/>
        <v>0.92582009977255142</v>
      </c>
      <c r="H20" s="406">
        <f t="shared" si="75"/>
        <v>0.99928545900129484</v>
      </c>
      <c r="I20" s="496">
        <v>1.5</v>
      </c>
      <c r="J20" s="497">
        <f>PLANTILLA!I22</f>
        <v>12.1</v>
      </c>
      <c r="K20" s="163">
        <f>PLANTILLA!X22</f>
        <v>0</v>
      </c>
      <c r="L20" s="163">
        <f>PLANTILLA!Y22</f>
        <v>3.02</v>
      </c>
      <c r="M20" s="163">
        <f>PLANTILLA!Z22</f>
        <v>14.277609523809524</v>
      </c>
      <c r="N20" s="163">
        <f>PLANTILLA!AA22</f>
        <v>3.04</v>
      </c>
      <c r="O20" s="163">
        <f>PLANTILLA!AB22</f>
        <v>15.02</v>
      </c>
      <c r="P20" s="163">
        <f>PLANTILLA!AC22</f>
        <v>9.9499999999999993</v>
      </c>
      <c r="Q20" s="163">
        <f>PLANTILLA!AD22</f>
        <v>11</v>
      </c>
      <c r="R20" s="163">
        <f t="shared" si="2"/>
        <v>4.5075000000000003</v>
      </c>
      <c r="S20" s="163">
        <f t="shared" si="3"/>
        <v>21.472607557865807</v>
      </c>
      <c r="T20" s="163">
        <f t="shared" si="4"/>
        <v>0.8274999999999999</v>
      </c>
      <c r="U20" s="163">
        <f t="shared" si="5"/>
        <v>0.45079999999999998</v>
      </c>
      <c r="V20" s="163">
        <f t="shared" ca="1" si="6"/>
        <v>12.446460476708797</v>
      </c>
      <c r="W20" s="163">
        <f t="shared" ca="1" si="7"/>
        <v>13.434107742384287</v>
      </c>
      <c r="X20" s="159">
        <f t="shared" si="8"/>
        <v>3.4033821710483476</v>
      </c>
      <c r="Y20" s="159">
        <f t="shared" si="9"/>
        <v>5.0838345507713818</v>
      </c>
      <c r="Z20" s="159">
        <f t="shared" si="10"/>
        <v>3.4033821710483476</v>
      </c>
      <c r="AA20" s="159">
        <f t="shared" si="11"/>
        <v>3.0772763347777174</v>
      </c>
      <c r="AB20" s="159">
        <f t="shared" si="12"/>
        <v>5.9637138270885997</v>
      </c>
      <c r="AC20" s="159">
        <f t="shared" si="13"/>
        <v>1.5386381673888587</v>
      </c>
      <c r="AD20" s="159">
        <f t="shared" si="14"/>
        <v>4.0986749575137535</v>
      </c>
      <c r="AE20" s="159">
        <f t="shared" si="15"/>
        <v>2.2542838266394907</v>
      </c>
      <c r="AF20" s="159">
        <f t="shared" si="16"/>
        <v>4.3117650969850576</v>
      </c>
      <c r="AG20" s="159">
        <f t="shared" si="17"/>
        <v>1.1271419133197453</v>
      </c>
      <c r="AH20" s="159">
        <f t="shared" si="18"/>
        <v>6.630209490095778</v>
      </c>
      <c r="AI20" s="159">
        <f t="shared" si="19"/>
        <v>5.4866167209215115</v>
      </c>
      <c r="AJ20" s="159">
        <f t="shared" si="20"/>
        <v>2.4689775244146803</v>
      </c>
      <c r="AK20" s="159">
        <f t="shared" si="21"/>
        <v>2.8759609995999869</v>
      </c>
      <c r="AL20" s="159">
        <f t="shared" si="22"/>
        <v>3.5184237303280965</v>
      </c>
      <c r="AM20" s="159">
        <f t="shared" si="23"/>
        <v>4.4966402256248044</v>
      </c>
      <c r="AN20" s="159">
        <f t="shared" si="24"/>
        <v>4.2223093895787285</v>
      </c>
      <c r="AO20" s="159">
        <f t="shared" si="25"/>
        <v>2.3286002091237963</v>
      </c>
      <c r="AP20" s="159">
        <f t="shared" si="26"/>
        <v>2.1459495822015167</v>
      </c>
      <c r="AQ20" s="159">
        <f t="shared" si="27"/>
        <v>1.6102027333139219</v>
      </c>
      <c r="AR20" s="159">
        <f t="shared" si="28"/>
        <v>3.5424460132906281</v>
      </c>
      <c r="AS20" s="159">
        <f t="shared" si="29"/>
        <v>0.80510136665696097</v>
      </c>
      <c r="AT20" s="159">
        <f t="shared" si="30"/>
        <v>16.256929243247829</v>
      </c>
      <c r="AU20" s="159">
        <f t="shared" si="31"/>
        <v>2.335282797521518</v>
      </c>
      <c r="AV20" s="159">
        <f t="shared" si="32"/>
        <v>4.3862581513369596</v>
      </c>
      <c r="AW20" s="159">
        <f t="shared" si="33"/>
        <v>1.167641398760759</v>
      </c>
      <c r="AX20" s="159">
        <f t="shared" si="34"/>
        <v>1.1271419133197453</v>
      </c>
      <c r="AY20" s="159">
        <f t="shared" si="35"/>
        <v>2.3854855308354401</v>
      </c>
      <c r="AZ20" s="159">
        <f t="shared" si="36"/>
        <v>0.56357095665987267</v>
      </c>
      <c r="BA20" s="159">
        <f t="shared" si="37"/>
        <v>17.221323350898125</v>
      </c>
      <c r="BB20" s="159">
        <f t="shared" si="38"/>
        <v>4.5448195982534161</v>
      </c>
      <c r="BC20" s="159">
        <f t="shared" si="39"/>
        <v>8.8333063187258194</v>
      </c>
      <c r="BD20" s="159">
        <f t="shared" si="40"/>
        <v>2.272409799126708</v>
      </c>
      <c r="BE20" s="159">
        <f t="shared" si="41"/>
        <v>1.7354407236827825</v>
      </c>
      <c r="BF20" s="159">
        <f t="shared" si="42"/>
        <v>2.0753724118268324</v>
      </c>
      <c r="BG20" s="159">
        <f t="shared" si="43"/>
        <v>15.171985872141247</v>
      </c>
      <c r="BH20" s="159">
        <f t="shared" si="44"/>
        <v>9.0932215922817647</v>
      </c>
      <c r="BI20" s="159">
        <f t="shared" si="45"/>
        <v>4.3292550323283523</v>
      </c>
      <c r="BJ20" s="159">
        <f t="shared" si="46"/>
        <v>2.8924012061379707</v>
      </c>
      <c r="BK20" s="159">
        <f t="shared" si="47"/>
        <v>1.5744204503513903</v>
      </c>
      <c r="BL20" s="159">
        <f t="shared" si="48"/>
        <v>6.561324196692186</v>
      </c>
      <c r="BM20" s="159">
        <f t="shared" si="49"/>
        <v>7.6377458848754376</v>
      </c>
      <c r="BN20" s="159">
        <f t="shared" si="50"/>
        <v>0.93411311900860716</v>
      </c>
      <c r="BO20" s="159">
        <f t="shared" si="51"/>
        <v>1.0734684888759478</v>
      </c>
      <c r="BP20" s="159">
        <f t="shared" si="52"/>
        <v>0.40553254024202479</v>
      </c>
      <c r="BQ20" s="159">
        <f t="shared" si="53"/>
        <v>5.2525036220239283</v>
      </c>
      <c r="BR20" s="159">
        <f t="shared" si="54"/>
        <v>11.121335981635941</v>
      </c>
      <c r="BS20" s="159">
        <f t="shared" si="55"/>
        <v>2.4251013666569614</v>
      </c>
      <c r="BT20" s="159">
        <f t="shared" si="56"/>
        <v>1.6936947268931621</v>
      </c>
      <c r="BU20" s="159">
        <f t="shared" si="57"/>
        <v>1.4551461738096183</v>
      </c>
      <c r="BV20" s="159">
        <f t="shared" si="58"/>
        <v>7.8357021246586473</v>
      </c>
      <c r="BW20" s="159">
        <f t="shared" si="59"/>
        <v>9.5530749204141685</v>
      </c>
      <c r="BX20" s="159">
        <f t="shared" si="60"/>
        <v>2.1736093730777206</v>
      </c>
      <c r="BY20" s="159">
        <f t="shared" si="61"/>
        <v>1.6936947268931621</v>
      </c>
      <c r="BZ20" s="159">
        <f t="shared" si="62"/>
        <v>1.4551461738096183</v>
      </c>
      <c r="CA20" s="159">
        <f t="shared" si="63"/>
        <v>10.866655034416716</v>
      </c>
      <c r="CB20" s="159">
        <f t="shared" si="64"/>
        <v>7.6675638752442969</v>
      </c>
      <c r="CC20" s="159">
        <f t="shared" si="65"/>
        <v>2.6586296464091128</v>
      </c>
      <c r="CD20" s="159">
        <f t="shared" si="66"/>
        <v>6.9918572804646395</v>
      </c>
      <c r="CE20" s="159">
        <f t="shared" si="67"/>
        <v>8.3553020100802478</v>
      </c>
      <c r="CF20" s="159">
        <f t="shared" si="68"/>
        <v>17.271331769301767</v>
      </c>
      <c r="CG20" s="159">
        <f t="shared" si="69"/>
        <v>8.3553020100802478</v>
      </c>
      <c r="CH20" s="159">
        <f t="shared" si="70"/>
        <v>7.0956137142761975</v>
      </c>
      <c r="CI20" s="159">
        <f t="shared" si="71"/>
        <v>19.522324229284294</v>
      </c>
      <c r="CJ20" s="159">
        <f t="shared" si="72"/>
        <v>7.0956137142761975</v>
      </c>
      <c r="CK20" s="159">
        <f t="shared" si="73"/>
        <v>4.3053308377245312</v>
      </c>
    </row>
    <row r="21" spans="1:89" x14ac:dyDescent="0.25">
      <c r="A21" t="str">
        <f>PLANTILLA!D23</f>
        <v>P .Trivadi</v>
      </c>
      <c r="B21" s="487">
        <f>PLANTILLA!E23</f>
        <v>28</v>
      </c>
      <c r="C21" s="487">
        <f ca="1">PLANTILLA!F23</f>
        <v>101</v>
      </c>
      <c r="D21" s="487"/>
      <c r="E21" s="290">
        <v>41973</v>
      </c>
      <c r="F21" s="341">
        <f>PLANTILLA!Q23</f>
        <v>3</v>
      </c>
      <c r="G21" s="406">
        <f t="shared" si="78"/>
        <v>0.65465367070797709</v>
      </c>
      <c r="H21" s="406">
        <f t="shared" si="75"/>
        <v>0.75498344352707503</v>
      </c>
      <c r="I21" s="496">
        <v>1.5</v>
      </c>
      <c r="J21" s="497">
        <f>PLANTILLA!I23</f>
        <v>5.8</v>
      </c>
      <c r="K21" s="163">
        <f>PLANTILLA!X23</f>
        <v>0</v>
      </c>
      <c r="L21" s="163">
        <f>PLANTILLA!Y23</f>
        <v>4.0199999999999996</v>
      </c>
      <c r="M21" s="163">
        <f>PLANTILLA!Z23</f>
        <v>5.5738722222222199</v>
      </c>
      <c r="N21" s="163">
        <f>PLANTILLA!AA23</f>
        <v>5.5099999999999989</v>
      </c>
      <c r="O21" s="163">
        <f>PLANTILLA!AB23</f>
        <v>11</v>
      </c>
      <c r="P21" s="163">
        <f>PLANTILLA!AC23</f>
        <v>8.384500000000001</v>
      </c>
      <c r="Q21" s="163">
        <f>PLANTILLA!AD23</f>
        <v>13.566666666666668</v>
      </c>
      <c r="R21" s="163">
        <f t="shared" si="2"/>
        <v>3.6274999999999999</v>
      </c>
      <c r="S21" s="163">
        <f t="shared" si="3"/>
        <v>19.344504487698792</v>
      </c>
      <c r="T21" s="163">
        <f t="shared" si="4"/>
        <v>0.82622500000000021</v>
      </c>
      <c r="U21" s="163">
        <f t="shared" si="5"/>
        <v>0.56779999999999997</v>
      </c>
      <c r="V21" s="163">
        <f t="shared" ca="1" si="6"/>
        <v>10.202496387722471</v>
      </c>
      <c r="W21" s="163">
        <f t="shared" ca="1" si="7"/>
        <v>11.76609282133121</v>
      </c>
      <c r="X21" s="159">
        <f t="shared" si="8"/>
        <v>3.3076501845072586</v>
      </c>
      <c r="Y21" s="159">
        <f t="shared" si="9"/>
        <v>4.9591140529196682</v>
      </c>
      <c r="Z21" s="159">
        <f t="shared" si="10"/>
        <v>3.3076501845072586</v>
      </c>
      <c r="AA21" s="159">
        <f t="shared" si="11"/>
        <v>3.3735584595713006</v>
      </c>
      <c r="AB21" s="159">
        <f t="shared" si="12"/>
        <v>6.5379039914172488</v>
      </c>
      <c r="AC21" s="159">
        <f t="shared" si="13"/>
        <v>1.6867792297856503</v>
      </c>
      <c r="AD21" s="159">
        <f t="shared" si="14"/>
        <v>1.9258427388461938</v>
      </c>
      <c r="AE21" s="159">
        <f t="shared" si="15"/>
        <v>2.4713277087557199</v>
      </c>
      <c r="AF21" s="159">
        <f t="shared" si="16"/>
        <v>4.7269045857946708</v>
      </c>
      <c r="AG21" s="159">
        <f t="shared" si="17"/>
        <v>1.23566385437786</v>
      </c>
      <c r="AH21" s="159">
        <f t="shared" si="18"/>
        <v>3.115333842251196</v>
      </c>
      <c r="AI21" s="159">
        <f t="shared" si="19"/>
        <v>6.0148716721038689</v>
      </c>
      <c r="AJ21" s="159">
        <f t="shared" si="20"/>
        <v>2.7066922524467407</v>
      </c>
      <c r="AK21" s="159">
        <f t="shared" si="21"/>
        <v>1.3513266276777915</v>
      </c>
      <c r="AL21" s="159">
        <f t="shared" si="22"/>
        <v>4.720407546953342</v>
      </c>
      <c r="AM21" s="159">
        <f t="shared" si="23"/>
        <v>4.9295796095286057</v>
      </c>
      <c r="AN21" s="159">
        <f t="shared" si="24"/>
        <v>4.6288360259234116</v>
      </c>
      <c r="AO21" s="159">
        <f t="shared" si="25"/>
        <v>2.6861232999000149</v>
      </c>
      <c r="AP21" s="159">
        <f t="shared" si="26"/>
        <v>1.7698763495281675</v>
      </c>
      <c r="AQ21" s="159">
        <f t="shared" si="27"/>
        <v>1.7652340776826574</v>
      </c>
      <c r="AR21" s="159">
        <f t="shared" si="28"/>
        <v>3.8835149709018455</v>
      </c>
      <c r="AS21" s="159">
        <f t="shared" si="29"/>
        <v>0.88261703884132869</v>
      </c>
      <c r="AT21" s="159">
        <f t="shared" si="30"/>
        <v>7.638636745675659</v>
      </c>
      <c r="AU21" s="159">
        <f t="shared" si="31"/>
        <v>1.7573275188842425</v>
      </c>
      <c r="AV21" s="159">
        <f t="shared" si="32"/>
        <v>3.5082643694852536</v>
      </c>
      <c r="AW21" s="159">
        <f t="shared" si="33"/>
        <v>0.87866375944212127</v>
      </c>
      <c r="AX21" s="159">
        <f t="shared" si="34"/>
        <v>1.23566385437786</v>
      </c>
      <c r="AY21" s="159">
        <f t="shared" si="35"/>
        <v>2.6151615965668995</v>
      </c>
      <c r="AZ21" s="159">
        <f t="shared" si="36"/>
        <v>0.61783192718892999</v>
      </c>
      <c r="BA21" s="159">
        <f t="shared" si="37"/>
        <v>8.09177621363947</v>
      </c>
      <c r="BB21" s="159">
        <f t="shared" si="38"/>
        <v>3.4200297098285639</v>
      </c>
      <c r="BC21" s="159">
        <f t="shared" si="39"/>
        <v>6.8991100992709047</v>
      </c>
      <c r="BD21" s="159">
        <f t="shared" si="40"/>
        <v>1.710014854914282</v>
      </c>
      <c r="BE21" s="159">
        <f t="shared" si="41"/>
        <v>1.9025300615024192</v>
      </c>
      <c r="BF21" s="159">
        <f t="shared" si="42"/>
        <v>2.2751905890132025</v>
      </c>
      <c r="BG21" s="159">
        <f t="shared" si="43"/>
        <v>7.1288548442163728</v>
      </c>
      <c r="BH21" s="159">
        <f t="shared" si="44"/>
        <v>8.8661566483699339</v>
      </c>
      <c r="BI21" s="159">
        <f t="shared" si="45"/>
        <v>3.257814861931557</v>
      </c>
      <c r="BJ21" s="159">
        <f t="shared" si="46"/>
        <v>3.1708834358373656</v>
      </c>
      <c r="BK21" s="159">
        <f t="shared" si="47"/>
        <v>1.7260066537341539</v>
      </c>
      <c r="BL21" s="159">
        <f t="shared" si="48"/>
        <v>3.0829667373966383</v>
      </c>
      <c r="BM21" s="159">
        <f t="shared" si="49"/>
        <v>8.1198780884986768</v>
      </c>
      <c r="BN21" s="159">
        <f t="shared" si="50"/>
        <v>0.70293100755369697</v>
      </c>
      <c r="BO21" s="159">
        <f t="shared" si="51"/>
        <v>1.1768227184551048</v>
      </c>
      <c r="BP21" s="159">
        <f t="shared" si="52"/>
        <v>0.44457747141637294</v>
      </c>
      <c r="BQ21" s="159">
        <f t="shared" si="53"/>
        <v>2.4679917451600382</v>
      </c>
      <c r="BR21" s="159">
        <f t="shared" si="54"/>
        <v>11.894024532962582</v>
      </c>
      <c r="BS21" s="159">
        <f t="shared" si="55"/>
        <v>1.8249170388413287</v>
      </c>
      <c r="BT21" s="159">
        <f t="shared" si="56"/>
        <v>1.8567647335624984</v>
      </c>
      <c r="BU21" s="159">
        <f t="shared" si="57"/>
        <v>1.5952485739058087</v>
      </c>
      <c r="BV21" s="159">
        <f t="shared" si="58"/>
        <v>3.6817581772059591</v>
      </c>
      <c r="BW21" s="159">
        <f t="shared" si="59"/>
        <v>10.234477622490312</v>
      </c>
      <c r="BX21" s="159">
        <f t="shared" si="60"/>
        <v>1.635666382961487</v>
      </c>
      <c r="BY21" s="159">
        <f t="shared" si="61"/>
        <v>1.8567647335624984</v>
      </c>
      <c r="BZ21" s="159">
        <f t="shared" si="62"/>
        <v>1.5952485739058087</v>
      </c>
      <c r="CA21" s="159">
        <f t="shared" si="63"/>
        <v>5.1059107908065053</v>
      </c>
      <c r="CB21" s="159">
        <f t="shared" si="64"/>
        <v>8.2445440723184369</v>
      </c>
      <c r="CC21" s="159">
        <f t="shared" si="65"/>
        <v>2.0006497907297529</v>
      </c>
      <c r="CD21" s="159">
        <f t="shared" si="66"/>
        <v>3.285261142737625</v>
      </c>
      <c r="CE21" s="159">
        <f t="shared" si="67"/>
        <v>5.9200994795283872</v>
      </c>
      <c r="CF21" s="159">
        <f t="shared" si="68"/>
        <v>13.696323394335824</v>
      </c>
      <c r="CG21" s="159">
        <f t="shared" si="69"/>
        <v>5.9200994795283872</v>
      </c>
      <c r="CH21" s="159">
        <f t="shared" si="70"/>
        <v>6.3983341866529457</v>
      </c>
      <c r="CI21" s="159">
        <f t="shared" si="71"/>
        <v>15.890510564250215</v>
      </c>
      <c r="CJ21" s="159">
        <f t="shared" si="72"/>
        <v>6.3983341866529457</v>
      </c>
      <c r="CK21" s="159">
        <f t="shared" si="73"/>
        <v>2.0229440534098675</v>
      </c>
    </row>
    <row r="22" spans="1:89" x14ac:dyDescent="0.25">
      <c r="R22" s="163"/>
      <c r="S22" s="163"/>
      <c r="T22" s="163"/>
      <c r="U22" s="163"/>
      <c r="V22" s="163"/>
      <c r="W22" s="163"/>
      <c r="X22" s="159"/>
      <c r="Y22" s="159"/>
      <c r="Z22" s="159"/>
      <c r="AA22" s="159"/>
      <c r="AB22" s="159"/>
      <c r="AC22" s="159"/>
      <c r="AD22" s="159"/>
      <c r="AE22" s="159"/>
      <c r="AF22" s="159"/>
      <c r="AG22" s="159"/>
      <c r="AH22" s="159"/>
      <c r="AI22" s="159"/>
      <c r="AJ22" s="159"/>
      <c r="AK22" s="159"/>
      <c r="AL22" s="159"/>
      <c r="AM22" s="159"/>
      <c r="AN22" s="159"/>
      <c r="AO22" s="159"/>
      <c r="AP22" s="159"/>
      <c r="AQ22" s="159"/>
      <c r="AR22" s="159"/>
      <c r="AS22" s="159"/>
      <c r="AT22" s="159"/>
      <c r="AU22" s="159"/>
      <c r="AV22" s="159"/>
      <c r="AW22" s="159"/>
      <c r="AX22" s="159"/>
      <c r="AY22" s="159"/>
      <c r="AZ22" s="159"/>
      <c r="BA22" s="159"/>
      <c r="BB22" s="159"/>
      <c r="BC22" s="159"/>
      <c r="BD22" s="159"/>
      <c r="BE22" s="159"/>
      <c r="BF22" s="159"/>
      <c r="BG22" s="159"/>
      <c r="BH22" s="159"/>
      <c r="BI22" s="159"/>
      <c r="BJ22" s="159"/>
      <c r="BK22" s="159"/>
      <c r="BL22" s="159"/>
      <c r="BM22" s="159"/>
      <c r="BN22" s="159"/>
      <c r="BO22" s="159"/>
      <c r="BP22" s="159"/>
      <c r="BQ22" s="159"/>
      <c r="BR22" s="159"/>
      <c r="BS22" s="159"/>
      <c r="BT22" s="159"/>
      <c r="BU22" s="159"/>
      <c r="BV22" s="159"/>
      <c r="BW22" s="159"/>
      <c r="BX22" s="159"/>
      <c r="BY22" s="159"/>
      <c r="BZ22" s="159"/>
      <c r="CA22" s="159"/>
      <c r="CB22" s="159"/>
      <c r="CC22" s="159"/>
      <c r="CD22" s="159"/>
      <c r="CE22" s="159"/>
      <c r="CF22" s="159"/>
      <c r="CG22" s="159"/>
      <c r="CH22" s="159"/>
      <c r="CI22" s="159"/>
      <c r="CJ22" s="159"/>
      <c r="CK22" s="159"/>
    </row>
    <row r="23" spans="1:89" x14ac:dyDescent="0.25">
      <c r="R23" s="163"/>
      <c r="S23" s="163"/>
      <c r="T23" s="163"/>
      <c r="U23" s="163"/>
      <c r="V23" s="163"/>
      <c r="W23" s="163"/>
      <c r="X23" s="159"/>
      <c r="Y23" s="159"/>
      <c r="Z23" s="159"/>
      <c r="AA23" s="159"/>
      <c r="AB23" s="159"/>
      <c r="AC23" s="159"/>
      <c r="AD23" s="159"/>
      <c r="AE23" s="159"/>
      <c r="AF23" s="159"/>
      <c r="AG23" s="159"/>
      <c r="AH23" s="159"/>
      <c r="AI23" s="159"/>
      <c r="AJ23" s="159"/>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c r="CJ23" s="159"/>
      <c r="CK23" s="159"/>
    </row>
    <row r="24" spans="1:89" x14ac:dyDescent="0.25">
      <c r="R24" s="163"/>
      <c r="S24" s="163"/>
      <c r="T24" s="163"/>
      <c r="U24" s="163"/>
      <c r="V24" s="163"/>
      <c r="W24" s="163"/>
      <c r="X24" s="159"/>
      <c r="Y24" s="159"/>
      <c r="Z24" s="159"/>
      <c r="AA24" s="159"/>
      <c r="AB24" s="159"/>
      <c r="AC24" s="159"/>
      <c r="AD24" s="159"/>
      <c r="AE24" s="159"/>
      <c r="AF24" s="159"/>
      <c r="AG24" s="159"/>
      <c r="AH24" s="159"/>
      <c r="AI24" s="159"/>
      <c r="AJ24" s="159"/>
      <c r="AK24" s="159"/>
      <c r="AL24" s="159"/>
      <c r="AM24" s="159"/>
      <c r="AN24" s="159"/>
      <c r="AO24" s="159"/>
      <c r="AP24" s="159"/>
      <c r="AQ24" s="159"/>
      <c r="AR24" s="159"/>
      <c r="AS24" s="159"/>
      <c r="AT24" s="159"/>
      <c r="AU24" s="159"/>
      <c r="AV24" s="159"/>
      <c r="AW24" s="159"/>
      <c r="AX24" s="159"/>
      <c r="AY24" s="159"/>
      <c r="AZ24" s="159"/>
      <c r="BA24" s="159"/>
      <c r="BB24" s="159"/>
      <c r="BC24" s="159"/>
      <c r="BD24" s="159"/>
      <c r="BE24" s="159"/>
      <c r="BF24" s="159"/>
      <c r="BG24" s="159"/>
      <c r="BH24" s="159"/>
      <c r="BI24" s="159"/>
      <c r="BJ24" s="159"/>
      <c r="BK24" s="159"/>
      <c r="BL24" s="159"/>
      <c r="BM24" s="159"/>
      <c r="BN24" s="159"/>
      <c r="BO24" s="159"/>
      <c r="BP24" s="159"/>
      <c r="BQ24" s="159"/>
      <c r="BR24" s="159"/>
      <c r="BS24" s="159"/>
      <c r="BT24" s="159"/>
      <c r="BU24" s="159"/>
      <c r="BV24" s="159"/>
      <c r="BW24" s="159"/>
      <c r="BX24" s="159"/>
      <c r="BY24" s="159"/>
      <c r="BZ24" s="159"/>
      <c r="CA24" s="159"/>
      <c r="CB24" s="159"/>
      <c r="CC24" s="159"/>
      <c r="CD24" s="159"/>
      <c r="CE24" s="159"/>
      <c r="CF24" s="159"/>
      <c r="CG24" s="159"/>
      <c r="CH24" s="159"/>
      <c r="CI24" s="159"/>
      <c r="CJ24" s="159"/>
      <c r="CK24" s="159"/>
    </row>
    <row r="25" spans="1:89" x14ac:dyDescent="0.25">
      <c r="D25" s="487"/>
      <c r="L25">
        <f>L15*G15</f>
        <v>5.6392122043521526</v>
      </c>
      <c r="M25">
        <f>L15*H15</f>
        <v>6.8950756237435726</v>
      </c>
      <c r="R25" s="163"/>
      <c r="S25" s="163"/>
      <c r="T25" s="163"/>
      <c r="U25" s="163"/>
      <c r="V25" s="163"/>
      <c r="W25" s="163"/>
      <c r="X25" s="159"/>
      <c r="Y25" s="159"/>
      <c r="Z25" s="159"/>
      <c r="AA25" s="159"/>
      <c r="AB25" s="159"/>
      <c r="AC25" s="159"/>
      <c r="AD25" s="159"/>
      <c r="AE25" s="159"/>
      <c r="AF25" s="159"/>
      <c r="AG25" s="159"/>
      <c r="AH25" s="159"/>
      <c r="AI25" s="159"/>
      <c r="AJ25" s="159"/>
      <c r="AK25" s="159"/>
      <c r="AL25" s="159"/>
      <c r="AM25" s="159"/>
      <c r="AN25" s="159"/>
      <c r="AO25" s="159"/>
      <c r="AP25" s="159"/>
      <c r="AQ25" s="159"/>
      <c r="AR25" s="159"/>
      <c r="AS25" s="159"/>
      <c r="AT25" s="159"/>
      <c r="AU25" s="159"/>
      <c r="AV25" s="159"/>
      <c r="AW25" s="159"/>
      <c r="AX25" s="159"/>
      <c r="AY25" s="159"/>
      <c r="AZ25" s="159"/>
      <c r="BA25" s="159"/>
      <c r="BB25" s="159"/>
      <c r="BC25" s="159"/>
      <c r="BD25" s="159"/>
      <c r="BE25" s="159"/>
      <c r="BF25" s="159"/>
      <c r="BG25" s="159"/>
      <c r="BH25" s="159"/>
      <c r="BI25" s="159"/>
      <c r="BJ25" s="159"/>
      <c r="BK25" s="159"/>
      <c r="BL25" s="159"/>
      <c r="BM25" s="159"/>
      <c r="BN25" s="159"/>
      <c r="BO25" s="159"/>
      <c r="BP25" s="159"/>
      <c r="BQ25" s="159"/>
      <c r="BR25" s="159"/>
      <c r="BS25" s="159"/>
      <c r="BT25" s="159"/>
      <c r="BU25" s="159"/>
      <c r="BV25" s="159"/>
      <c r="BW25" s="159"/>
      <c r="BX25" s="159"/>
      <c r="BY25" s="159"/>
      <c r="BZ25" s="159"/>
      <c r="CA25" s="159"/>
      <c r="CB25" s="159"/>
      <c r="CC25" s="159"/>
      <c r="CD25" s="159"/>
      <c r="CE25" s="159"/>
      <c r="CF25" s="159"/>
      <c r="CG25" s="159"/>
      <c r="CH25" s="159"/>
      <c r="CI25" s="159"/>
      <c r="CJ25" s="159"/>
      <c r="CK25" s="159"/>
    </row>
    <row r="26" spans="1:89" x14ac:dyDescent="0.25">
      <c r="D26" s="487"/>
      <c r="R26" s="163"/>
      <c r="S26" s="163"/>
      <c r="T26" s="163"/>
      <c r="U26" s="163"/>
      <c r="V26" s="163"/>
      <c r="W26" s="163"/>
      <c r="X26" s="159"/>
      <c r="Y26" s="159"/>
      <c r="Z26" s="159"/>
      <c r="AA26" s="159"/>
      <c r="AB26" s="159"/>
      <c r="AC26" s="159"/>
      <c r="AD26" s="159"/>
      <c r="AE26" s="159"/>
      <c r="AF26" s="159"/>
      <c r="AG26" s="159"/>
      <c r="AH26" s="159"/>
      <c r="AI26" s="159"/>
      <c r="AJ26" s="159"/>
      <c r="AK26" s="159"/>
      <c r="AL26" s="159"/>
      <c r="AM26" s="159"/>
      <c r="AN26" s="159"/>
      <c r="AO26" s="159"/>
      <c r="AP26" s="159"/>
      <c r="AQ26" s="159"/>
      <c r="AR26" s="159"/>
      <c r="AS26" s="159"/>
      <c r="AT26" s="159"/>
      <c r="AU26" s="159"/>
      <c r="AV26" s="159"/>
      <c r="AW26" s="159"/>
      <c r="AX26" s="159"/>
      <c r="AY26" s="159"/>
      <c r="AZ26" s="159"/>
      <c r="BA26" s="159"/>
      <c r="BB26" s="159"/>
      <c r="BC26" s="159"/>
      <c r="BD26" s="159"/>
      <c r="BE26" s="159"/>
      <c r="BF26" s="159"/>
      <c r="BG26" s="159"/>
      <c r="BH26" s="159"/>
      <c r="BI26" s="159"/>
      <c r="BJ26" s="159"/>
      <c r="BK26" s="159"/>
      <c r="BL26" s="159"/>
      <c r="BM26" s="159"/>
      <c r="BN26" s="159"/>
      <c r="BO26" s="159"/>
      <c r="BP26" s="159"/>
      <c r="BQ26" s="159"/>
      <c r="BR26" s="159"/>
      <c r="BS26" s="159"/>
      <c r="BT26" s="159"/>
      <c r="BU26" s="159"/>
      <c r="BV26" s="159"/>
      <c r="BW26" s="159"/>
      <c r="BX26" s="159"/>
      <c r="BY26" s="159"/>
      <c r="BZ26" s="159"/>
      <c r="CA26" s="159"/>
      <c r="CB26" s="159"/>
      <c r="CC26" s="159"/>
      <c r="CD26" s="159"/>
      <c r="CE26" s="159"/>
      <c r="CF26" s="159"/>
      <c r="CG26" s="159"/>
      <c r="CH26" s="159"/>
      <c r="CI26" s="159"/>
      <c r="CJ26" s="159"/>
      <c r="CK26" s="159"/>
    </row>
    <row r="27" spans="1:89" x14ac:dyDescent="0.25">
      <c r="D27" s="487"/>
      <c r="L27">
        <f>L14*G14</f>
        <v>6.5218189778267739</v>
      </c>
      <c r="M27">
        <f>L14*H14</f>
        <v>7.2843200209407319</v>
      </c>
      <c r="R27" s="163"/>
      <c r="S27" s="163"/>
      <c r="T27" s="163"/>
      <c r="U27" s="163"/>
      <c r="V27" s="163"/>
      <c r="W27" s="163"/>
      <c r="X27" s="159"/>
      <c r="Y27" s="159"/>
      <c r="Z27" s="159"/>
      <c r="AA27" s="159"/>
      <c r="AB27" s="159"/>
      <c r="AC27" s="159"/>
      <c r="AD27" s="159"/>
      <c r="AE27" s="159"/>
      <c r="AF27" s="159"/>
      <c r="AG27" s="159"/>
      <c r="AH27" s="159"/>
      <c r="AI27" s="159"/>
      <c r="AJ27" s="159"/>
      <c r="AK27" s="159"/>
      <c r="AL27" s="159"/>
      <c r="AM27" s="159"/>
      <c r="AN27" s="159"/>
      <c r="AO27" s="159"/>
      <c r="AP27" s="159"/>
      <c r="AQ27" s="159"/>
      <c r="AR27" s="159"/>
      <c r="AS27" s="159"/>
      <c r="AT27" s="159"/>
      <c r="AU27" s="159"/>
      <c r="AV27" s="159"/>
      <c r="AW27" s="159"/>
      <c r="AX27" s="159"/>
      <c r="AY27" s="159"/>
      <c r="AZ27" s="159"/>
      <c r="BA27" s="159"/>
      <c r="BB27" s="159"/>
      <c r="BC27" s="159"/>
      <c r="BD27" s="159"/>
      <c r="BE27" s="159"/>
      <c r="BF27" s="159"/>
      <c r="BG27" s="159"/>
      <c r="BH27" s="159"/>
      <c r="BI27" s="159"/>
      <c r="BJ27" s="159"/>
      <c r="BK27" s="159"/>
      <c r="BL27" s="159"/>
      <c r="BM27" s="159"/>
      <c r="BN27" s="159"/>
      <c r="BO27" s="159"/>
      <c r="BP27" s="159"/>
      <c r="BQ27" s="159"/>
      <c r="BR27" s="159"/>
      <c r="BS27" s="159"/>
      <c r="BT27" s="159"/>
      <c r="BU27" s="159"/>
      <c r="BV27" s="159"/>
      <c r="BW27" s="159"/>
      <c r="BX27" s="159"/>
      <c r="BY27" s="159"/>
      <c r="BZ27" s="159"/>
      <c r="CA27" s="159"/>
      <c r="CB27" s="159"/>
      <c r="CC27" s="159"/>
      <c r="CD27" s="159"/>
      <c r="CE27" s="159"/>
      <c r="CF27" s="159"/>
      <c r="CG27" s="159"/>
      <c r="CH27" s="159"/>
      <c r="CI27" s="159"/>
      <c r="CJ27" s="159"/>
      <c r="CK27" s="159"/>
    </row>
    <row r="28" spans="1:89" x14ac:dyDescent="0.25">
      <c r="D28" s="487"/>
    </row>
    <row r="29" spans="1:89" x14ac:dyDescent="0.25">
      <c r="D29" s="487"/>
      <c r="L29" s="47">
        <f>(M25-L27)/M25</f>
        <v>5.4133800161882045E-2</v>
      </c>
      <c r="M29" s="47">
        <f>(L25-M27)/M27</f>
        <v>-0.22584233145431221</v>
      </c>
    </row>
    <row r="30" spans="1:89" x14ac:dyDescent="0.25">
      <c r="D30" s="487"/>
    </row>
    <row r="31" spans="1:89" ht="18.75" x14ac:dyDescent="0.3">
      <c r="A31" s="438" t="s">
        <v>605</v>
      </c>
      <c r="B31" s="438" t="s">
        <v>176</v>
      </c>
      <c r="C31" s="438"/>
      <c r="D31" s="439"/>
      <c r="L31" s="47"/>
      <c r="M31" s="47"/>
    </row>
    <row r="32" spans="1:89" x14ac:dyDescent="0.25">
      <c r="A32" s="256" t="s">
        <v>610</v>
      </c>
      <c r="B32" s="440">
        <v>1</v>
      </c>
      <c r="C32" s="498">
        <v>0.624</v>
      </c>
      <c r="D32" s="499">
        <v>0.245</v>
      </c>
    </row>
    <row r="33" spans="1:4" x14ac:dyDescent="0.25">
      <c r="A33" s="256" t="s">
        <v>611</v>
      </c>
      <c r="B33" s="440">
        <v>1</v>
      </c>
      <c r="C33" s="498">
        <v>1.002</v>
      </c>
      <c r="D33" s="499">
        <v>0.34</v>
      </c>
    </row>
    <row r="34" spans="1:4" x14ac:dyDescent="0.25">
      <c r="A34" s="256" t="s">
        <v>612</v>
      </c>
      <c r="B34" s="440">
        <v>1</v>
      </c>
      <c r="C34" s="498">
        <v>0.46800000000000003</v>
      </c>
      <c r="D34" s="499">
        <v>0.125</v>
      </c>
    </row>
    <row r="35" spans="1:4" x14ac:dyDescent="0.25">
      <c r="A35" s="256" t="s">
        <v>613</v>
      </c>
      <c r="B35" s="440">
        <v>1</v>
      </c>
      <c r="C35" s="498">
        <v>0.877</v>
      </c>
      <c r="D35" s="499">
        <v>0.25</v>
      </c>
    </row>
    <row r="36" spans="1:4" x14ac:dyDescent="0.25">
      <c r="A36" s="256" t="s">
        <v>614</v>
      </c>
      <c r="B36" s="440">
        <v>1</v>
      </c>
      <c r="C36" s="498">
        <v>0.59299999999999997</v>
      </c>
      <c r="D36" s="499">
        <v>0.19</v>
      </c>
    </row>
  </sheetData>
  <conditionalFormatting sqref="V3:W27">
    <cfRule type="cellIs" dxfId="333" priority="27" operator="greaterThan">
      <formula>15</formula>
    </cfRule>
  </conditionalFormatting>
  <conditionalFormatting sqref="R22:S27 R3:R21">
    <cfRule type="cellIs" dxfId="332" priority="26" operator="greaterThan">
      <formula>3.2</formula>
    </cfRule>
  </conditionalFormatting>
  <conditionalFormatting sqref="T3:U27">
    <cfRule type="cellIs" dxfId="331" priority="25" operator="greaterThan">
      <formula>0.6</formula>
    </cfRule>
  </conditionalFormatting>
  <conditionalFormatting sqref="AI22:AJ27 X22:AC27 AC3:AH9 BM3:BS27 BH3:BK27 BB3:BE27 AP3:AS27 AC10:AC21 X3:AA21 AJ3:AJ21 BT3:BX21 BY3:CK27 AD10:AH27 AU3:AZ27 AL3:AN27">
    <cfRule type="cellIs" dxfId="330" priority="24" operator="greaterThan">
      <formula>12.5</formula>
    </cfRule>
  </conditionalFormatting>
  <conditionalFormatting sqref="BL22:BL27 BG22:BG27 AT22:AT27">
    <cfRule type="cellIs" dxfId="329" priority="23" operator="greaterThan">
      <formula>12.5</formula>
    </cfRule>
  </conditionalFormatting>
  <conditionalFormatting sqref="J3:J21">
    <cfRule type="cellIs" dxfId="328" priority="21" operator="greaterThan">
      <formula>7</formula>
    </cfRule>
  </conditionalFormatting>
  <conditionalFormatting sqref="BA22:BA27">
    <cfRule type="cellIs" dxfId="327" priority="13" operator="greaterThan">
      <formula>12.5</formula>
    </cfRule>
  </conditionalFormatting>
  <conditionalFormatting sqref="AB3:AB21 AI3:AI21 AT3:AT21 BA3:BA21 BL3:BL21 BG3:BG21">
    <cfRule type="cellIs" dxfId="326" priority="9" operator="greaterThan">
      <formula>12</formula>
    </cfRule>
  </conditionalFormatting>
  <conditionalFormatting sqref="BT22:BU27">
    <cfRule type="cellIs" dxfId="325" priority="4" operator="greaterThan">
      <formula>12.5</formula>
    </cfRule>
  </conditionalFormatting>
  <conditionalFormatting sqref="BV22:BV27">
    <cfRule type="cellIs" dxfId="324" priority="3" operator="greaterThan">
      <formula>12.5</formula>
    </cfRule>
  </conditionalFormatting>
  <conditionalFormatting sqref="BW22:BX27">
    <cfRule type="cellIs" dxfId="323" priority="2" operator="greaterThan">
      <formula>12.5</formula>
    </cfRule>
  </conditionalFormatting>
  <conditionalFormatting sqref="K3:Q21">
    <cfRule type="colorScale" priority="1968">
      <colorScale>
        <cfvo type="min"/>
        <cfvo type="max"/>
        <color rgb="FFFCFCFF"/>
        <color rgb="FFF8696B"/>
      </colorScale>
    </cfRule>
  </conditionalFormatting>
  <conditionalFormatting sqref="S3:S21">
    <cfRule type="colorScale" priority="1970">
      <colorScale>
        <cfvo type="min"/>
        <cfvo type="max"/>
        <color rgb="FFFFEF9C"/>
        <color rgb="FF63BE7B"/>
      </colorScale>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I34"/>
  <sheetViews>
    <sheetView workbookViewId="0">
      <pane xSplit="16" ySplit="2" topLeftCell="Q3" activePane="bottomRight" state="frozen"/>
      <selection pane="topRight" activeCell="R1" sqref="R1"/>
      <selection pane="bottomLeft" activeCell="A3" sqref="A3"/>
      <selection pane="bottomRight" activeCell="G23" sqref="G23"/>
    </sheetView>
  </sheetViews>
  <sheetFormatPr defaultColWidth="11.42578125" defaultRowHeight="15" x14ac:dyDescent="0.25"/>
  <cols>
    <col min="1" max="1" width="19" bestFit="1" customWidth="1"/>
    <col min="2" max="2" width="15.7109375" bestFit="1" customWidth="1"/>
    <col min="3" max="3" width="5.42578125" bestFit="1" customWidth="1"/>
    <col min="4" max="4" width="4.7109375" bestFit="1" customWidth="1"/>
    <col min="5" max="5" width="4.5703125" bestFit="1" customWidth="1"/>
    <col min="6" max="6" width="13" bestFit="1" customWidth="1"/>
    <col min="7" max="7" width="7.42578125" bestFit="1" customWidth="1"/>
    <col min="8" max="8" width="4.5703125" bestFit="1" customWidth="1"/>
    <col min="9" max="9" width="5" bestFit="1" customWidth="1"/>
    <col min="10" max="16" width="5.5703125" bestFit="1" customWidth="1"/>
    <col min="17" max="17" width="4.85546875" bestFit="1" customWidth="1"/>
    <col min="18" max="18" width="7.85546875" bestFit="1" customWidth="1"/>
    <col min="19" max="20" width="6.140625" bestFit="1" customWidth="1"/>
    <col min="21" max="21" width="7.85546875" bestFit="1" customWidth="1"/>
    <col min="22" max="24" width="7.85546875" hidden="1" customWidth="1"/>
    <col min="25" max="25" width="10" hidden="1" customWidth="1"/>
    <col min="26" max="32" width="7.85546875" hidden="1" customWidth="1"/>
    <col min="33" max="33" width="9.7109375" style="4" hidden="1" customWidth="1"/>
    <col min="34" max="35" width="7.85546875" hidden="1" customWidth="1"/>
    <col min="36" max="36" width="8.140625" style="4" hidden="1" customWidth="1"/>
    <col min="37" max="74" width="7.85546875" hidden="1" customWidth="1"/>
    <col min="75" max="75" width="7.42578125" hidden="1" customWidth="1"/>
    <col min="76" max="76" width="7.85546875" hidden="1" customWidth="1"/>
    <col min="77" max="77" width="5.5703125" hidden="1" customWidth="1"/>
    <col min="78" max="78" width="6.42578125" hidden="1" customWidth="1"/>
    <col min="79" max="79" width="6.85546875" hidden="1" customWidth="1"/>
    <col min="80" max="80" width="5.140625" customWidth="1"/>
    <col min="81" max="81" width="6.42578125" customWidth="1"/>
    <col min="82" max="82" width="6.85546875" customWidth="1"/>
    <col min="83" max="84" width="6.42578125" customWidth="1"/>
    <col min="85" max="85" width="6.85546875" customWidth="1"/>
    <col min="86" max="86" width="6.42578125" customWidth="1"/>
    <col min="87" max="87" width="5.140625" customWidth="1"/>
  </cols>
  <sheetData>
    <row r="1" spans="1:87" x14ac:dyDescent="0.25">
      <c r="A1" s="290"/>
      <c r="B1" s="290"/>
      <c r="E1" s="632"/>
      <c r="V1" t="s">
        <v>682</v>
      </c>
      <c r="Y1" t="s">
        <v>683</v>
      </c>
      <c r="AC1" t="s">
        <v>684</v>
      </c>
      <c r="AG1" s="4" t="s">
        <v>685</v>
      </c>
      <c r="AK1" t="s">
        <v>686</v>
      </c>
      <c r="AO1" t="s">
        <v>681</v>
      </c>
      <c r="AV1" t="s">
        <v>687</v>
      </c>
      <c r="BC1" t="s">
        <v>503</v>
      </c>
      <c r="BH1" t="s">
        <v>688</v>
      </c>
      <c r="BM1" t="s">
        <v>631</v>
      </c>
      <c r="BR1" t="s">
        <v>806</v>
      </c>
      <c r="BW1" t="s">
        <v>625</v>
      </c>
      <c r="CB1" t="s">
        <v>602</v>
      </c>
      <c r="CF1" t="s">
        <v>66</v>
      </c>
    </row>
    <row r="2" spans="1:87" x14ac:dyDescent="0.25">
      <c r="A2" s="488" t="s">
        <v>179</v>
      </c>
      <c r="B2" s="488" t="s">
        <v>853</v>
      </c>
      <c r="C2" s="488" t="s">
        <v>689</v>
      </c>
      <c r="D2" s="488" t="s">
        <v>62</v>
      </c>
      <c r="E2" s="489" t="s">
        <v>690</v>
      </c>
      <c r="F2" s="488" t="s">
        <v>691</v>
      </c>
      <c r="G2" s="491" t="s">
        <v>695</v>
      </c>
      <c r="H2" s="492" t="s">
        <v>696</v>
      </c>
      <c r="I2" s="492" t="s">
        <v>855</v>
      </c>
      <c r="J2" s="492" t="s">
        <v>1</v>
      </c>
      <c r="K2" s="492" t="s">
        <v>2</v>
      </c>
      <c r="L2" s="492" t="s">
        <v>697</v>
      </c>
      <c r="M2" s="492" t="s">
        <v>65</v>
      </c>
      <c r="N2" s="492" t="s">
        <v>578</v>
      </c>
      <c r="O2" s="492" t="s">
        <v>698</v>
      </c>
      <c r="P2" s="492" t="s">
        <v>0</v>
      </c>
      <c r="Q2" s="493" t="s">
        <v>565</v>
      </c>
      <c r="R2" s="493" t="s">
        <v>828</v>
      </c>
      <c r="S2" s="493" t="s">
        <v>699</v>
      </c>
      <c r="T2" s="493" t="s">
        <v>700</v>
      </c>
      <c r="U2" s="493" t="s">
        <v>588</v>
      </c>
      <c r="V2" s="494" t="s">
        <v>701</v>
      </c>
      <c r="W2" s="494" t="s">
        <v>702</v>
      </c>
      <c r="X2" s="494" t="s">
        <v>701</v>
      </c>
      <c r="Y2" s="495" t="s">
        <v>701</v>
      </c>
      <c r="Z2" s="495" t="s">
        <v>702</v>
      </c>
      <c r="AA2" s="495" t="s">
        <v>701</v>
      </c>
      <c r="AB2" s="495" t="s">
        <v>64</v>
      </c>
      <c r="AC2" s="495" t="s">
        <v>701</v>
      </c>
      <c r="AD2" s="495" t="s">
        <v>702</v>
      </c>
      <c r="AE2" s="495" t="s">
        <v>701</v>
      </c>
      <c r="AF2" s="495" t="s">
        <v>64</v>
      </c>
      <c r="AG2" s="494" t="s">
        <v>701</v>
      </c>
      <c r="AH2" s="494" t="s">
        <v>702</v>
      </c>
      <c r="AI2" s="494" t="s">
        <v>64</v>
      </c>
      <c r="AJ2" s="494" t="s">
        <v>703</v>
      </c>
      <c r="AK2" s="494" t="s">
        <v>701</v>
      </c>
      <c r="AL2" s="494" t="s">
        <v>702</v>
      </c>
      <c r="AM2" s="494" t="s">
        <v>64</v>
      </c>
      <c r="AN2" s="494" t="s">
        <v>703</v>
      </c>
      <c r="AO2" s="494" t="s">
        <v>701</v>
      </c>
      <c r="AP2" s="494" t="s">
        <v>702</v>
      </c>
      <c r="AQ2" s="494" t="s">
        <v>701</v>
      </c>
      <c r="AR2" s="494" t="s">
        <v>64</v>
      </c>
      <c r="AS2" s="494" t="s">
        <v>703</v>
      </c>
      <c r="AT2" s="494" t="s">
        <v>704</v>
      </c>
      <c r="AU2" s="494" t="s">
        <v>703</v>
      </c>
      <c r="AV2" s="494" t="s">
        <v>701</v>
      </c>
      <c r="AW2" s="494" t="s">
        <v>702</v>
      </c>
      <c r="AX2" s="494" t="s">
        <v>701</v>
      </c>
      <c r="AY2" s="494" t="s">
        <v>64</v>
      </c>
      <c r="AZ2" s="494" t="s">
        <v>703</v>
      </c>
      <c r="BA2" s="494" t="s">
        <v>704</v>
      </c>
      <c r="BB2" s="494" t="s">
        <v>703</v>
      </c>
      <c r="BC2" s="495" t="s">
        <v>701</v>
      </c>
      <c r="BD2" s="495" t="s">
        <v>702</v>
      </c>
      <c r="BE2" s="495" t="s">
        <v>64</v>
      </c>
      <c r="BF2" s="495" t="s">
        <v>703</v>
      </c>
      <c r="BG2" s="495" t="s">
        <v>704</v>
      </c>
      <c r="BH2" s="495" t="s">
        <v>701</v>
      </c>
      <c r="BI2" s="495" t="s">
        <v>702</v>
      </c>
      <c r="BJ2" s="495" t="s">
        <v>64</v>
      </c>
      <c r="BK2" s="495" t="s">
        <v>703</v>
      </c>
      <c r="BL2" s="495" t="s">
        <v>704</v>
      </c>
      <c r="BM2" s="494" t="s">
        <v>701</v>
      </c>
      <c r="BN2" s="494" t="s">
        <v>702</v>
      </c>
      <c r="BO2" s="494" t="s">
        <v>64</v>
      </c>
      <c r="BP2" s="494" t="s">
        <v>703</v>
      </c>
      <c r="BQ2" s="494" t="s">
        <v>704</v>
      </c>
      <c r="BR2" s="494" t="s">
        <v>701</v>
      </c>
      <c r="BS2" s="494" t="s">
        <v>702</v>
      </c>
      <c r="BT2" s="494" t="s">
        <v>64</v>
      </c>
      <c r="BU2" s="494" t="s">
        <v>703</v>
      </c>
      <c r="BV2" s="494" t="s">
        <v>704</v>
      </c>
      <c r="BW2" s="494" t="s">
        <v>701</v>
      </c>
      <c r="BX2" s="494" t="s">
        <v>702</v>
      </c>
      <c r="BY2" s="494" t="s">
        <v>64</v>
      </c>
      <c r="BZ2" s="494" t="s">
        <v>703</v>
      </c>
      <c r="CA2" s="494" t="s">
        <v>704</v>
      </c>
      <c r="CB2" s="495" t="s">
        <v>64</v>
      </c>
      <c r="CC2" s="495" t="s">
        <v>703</v>
      </c>
      <c r="CD2" s="495" t="s">
        <v>704</v>
      </c>
      <c r="CE2" s="495" t="s">
        <v>703</v>
      </c>
      <c r="CF2" s="494" t="s">
        <v>703</v>
      </c>
      <c r="CG2" s="494" t="s">
        <v>704</v>
      </c>
      <c r="CH2" s="494" t="s">
        <v>703</v>
      </c>
      <c r="CI2" s="494" t="s">
        <v>64</v>
      </c>
    </row>
    <row r="3" spans="1:87" x14ac:dyDescent="0.25">
      <c r="A3" t="str">
        <f>PLANTILLA!D5</f>
        <v>D. Gehmacher</v>
      </c>
      <c r="C3" s="632">
        <f>PLANTILLA!E5</f>
        <v>31</v>
      </c>
      <c r="D3" s="341">
        <f ca="1">PLANTILLA!F5</f>
        <v>98</v>
      </c>
      <c r="E3" s="632"/>
      <c r="F3" s="290">
        <v>42468</v>
      </c>
      <c r="G3" s="496">
        <v>1</v>
      </c>
      <c r="H3" s="497">
        <f>PLANTILLA!I5</f>
        <v>20.3</v>
      </c>
      <c r="I3" s="497"/>
      <c r="J3" s="163">
        <f>PLANTILLA!X5</f>
        <v>16.666666666666668</v>
      </c>
      <c r="K3" s="163">
        <f>PLANTILLA!Y5</f>
        <v>12.080559440559444</v>
      </c>
      <c r="L3" s="163">
        <f>PLANTILLA!Z5</f>
        <v>2.0699999999999985</v>
      </c>
      <c r="M3" s="163">
        <f>PLANTILLA!AA5</f>
        <v>2.149999999999999</v>
      </c>
      <c r="N3" s="163">
        <f>PLANTILLA!AB5</f>
        <v>1.0400000000000003</v>
      </c>
      <c r="O3" s="163">
        <f>PLANTILLA!AC5</f>
        <v>0.14055555555555557</v>
      </c>
      <c r="P3" s="163">
        <f>PLANTILLA!AD5</f>
        <v>18.2</v>
      </c>
      <c r="Q3" s="163">
        <f>((2*(N3+1))+(K3+1))/8</f>
        <v>2.1450699300699307</v>
      </c>
      <c r="R3" s="163">
        <f>1.66*(O3+(LOG(H3)*4/3)+G3)+0.55*(P3+(LOG(H3)*4/3)+G3)-7.6</f>
        <v>8.7060772139398228</v>
      </c>
      <c r="S3" s="163">
        <f>(0.5*O3+ 0.3*P3)/10</f>
        <v>0.55302777777777778</v>
      </c>
      <c r="T3" s="163">
        <f>(0.4*K3+0.3*P3)/10</f>
        <v>1.0292223776223779</v>
      </c>
      <c r="U3" s="163">
        <f t="shared" ref="U3:U22" ca="1" si="0">IF(TODAY()-F3&gt;335,(P3+1+(LOG(H3)*4/3)),(P3+((TODAY()-F3)^0.5)/(336^0.5)+(LOG(H3)*4/3)))</f>
        <v>20.943328050550949</v>
      </c>
      <c r="V3" s="159">
        <f t="shared" ref="V3:V22" si="1">((J3+G3+(LOG(H3)*4/3))*0.597)+((K3+G3+(LOG(H3)*4/3))*0.276)</f>
        <v>15.679159793725386</v>
      </c>
      <c r="W3" s="159">
        <f t="shared" ref="W3:W22" si="2">((J3+G3+(LOG(H3)*4/3))*0.866)+((K3+G3+(LOG(H3)*4/3))*0.425)</f>
        <v>23.109207608832374</v>
      </c>
      <c r="X3" s="159">
        <f>V3</f>
        <v>15.679159793725386</v>
      </c>
      <c r="Y3" s="159">
        <f t="shared" ref="Y3:Y22" si="3">((K3+G3+(LOG(H3)*4/3))*0.516)</f>
        <v>7.6491259454129636</v>
      </c>
      <c r="Z3" s="159">
        <f t="shared" ref="Z3:Z22" si="4">(K3+G3+(LOG(H3)*4/3))*1</f>
        <v>14.823887491110394</v>
      </c>
      <c r="AA3" s="159">
        <f>Y3/2</f>
        <v>3.8245629727064818</v>
      </c>
      <c r="AB3" s="159">
        <f t="shared" ref="AB3:AB22" si="5">(L3+G3+(LOG(H3)*4/3))*0.238</f>
        <v>1.1455720760311259</v>
      </c>
      <c r="AC3" s="159">
        <f t="shared" ref="AC3:AC22" si="6">((K3+G3+(LOG(H3)*4/3))*0.378)</f>
        <v>5.6034294716397293</v>
      </c>
      <c r="AD3" s="159">
        <f t="shared" ref="AD3:AD22" si="7">(K3+G3+(LOG(H3)*4/3))*0.723</f>
        <v>10.717670656072814</v>
      </c>
      <c r="AE3" s="159">
        <f>AC3/2</f>
        <v>2.8017147358198646</v>
      </c>
      <c r="AF3" s="159">
        <f t="shared" ref="AF3:AF22" si="8">(L3+G3+(LOG(H3)*4/3))*0.385</f>
        <v>1.8531312994621156</v>
      </c>
      <c r="AG3" s="357">
        <f t="shared" ref="AG3:AG22" si="9">((K3+G3+(LOG(H3)*4/3))*0.92)</f>
        <v>13.637976491821563</v>
      </c>
      <c r="AH3" s="159">
        <f t="shared" ref="AH3:AH22" si="10">(K3+G3+(LOG(H3)*4/3))*0.414</f>
        <v>6.1370894213197031</v>
      </c>
      <c r="AI3" s="159">
        <f t="shared" ref="AI3:AI22" si="11">((L3+G3+(LOG(H3)*4/3))*0.167)</f>
        <v>0.80382578444200858</v>
      </c>
      <c r="AJ3" s="357">
        <f t="shared" ref="AJ3:AJ22" si="12">(M3+G3+(LOG(H3)*4/3))*0.588</f>
        <v>2.8772768937239581</v>
      </c>
      <c r="AK3" s="159">
        <f t="shared" ref="AK3:AK22" si="13">((K3+G3+(LOG(H3)*4/3))*0.754)</f>
        <v>11.177211168297237</v>
      </c>
      <c r="AL3" s="159">
        <f t="shared" ref="AL3:AL22" si="14">((K3+G3+(LOG(H3)*4/3))*0.708)</f>
        <v>10.495312343706159</v>
      </c>
      <c r="AM3" s="159">
        <f t="shared" ref="AM3:AM22" si="15">((P3+G3+(LOG(H3)*4/3))*0.167)</f>
        <v>3.4975357844420087</v>
      </c>
      <c r="AN3" s="159">
        <f t="shared" ref="AN3:AN22" si="16">((Q3+G3+(LOG(H3)*4/3))*0.288)</f>
        <v>1.4078586184188138</v>
      </c>
      <c r="AO3" s="159">
        <f t="shared" ref="AO3:AO22" si="17">((K3+G3+(LOG(H3)*4/3))*0.27)</f>
        <v>4.0024496225998067</v>
      </c>
      <c r="AP3" s="159">
        <f t="shared" ref="AP3:AP22" si="18">((K3+G3+(LOG(H3)*4/3))*0.594)</f>
        <v>8.8053891697195734</v>
      </c>
      <c r="AQ3" s="159">
        <f>AO3/2</f>
        <v>2.0012248112999034</v>
      </c>
      <c r="AR3" s="159">
        <f t="shared" ref="AR3:AR22" si="19">((L3+G3+(LOG(H3)*4/3))*0.944)</f>
        <v>4.5437816797200963</v>
      </c>
      <c r="AS3" s="159">
        <f t="shared" ref="AS3:AS22" si="20">((N3+G3+(LOG(H3)*4/3))*0.13)</f>
        <v>0.49183264657162362</v>
      </c>
      <c r="AT3" s="159">
        <f t="shared" ref="AT3:AT22" si="21">((O3+G3+(LOG(H3)*4/3))*0.173)+((N3+G3+(LOG(H3)*4/3))*0.12)</f>
        <v>0.95291122992253974</v>
      </c>
      <c r="AU3" s="159">
        <f>AS3/2</f>
        <v>0.24591632328581181</v>
      </c>
      <c r="AV3" s="159">
        <f t="shared" ref="AV3:AV22" si="22">((K3+G3+(LOG(H3)*4/3))*0.189)</f>
        <v>2.8017147358198646</v>
      </c>
      <c r="AW3" s="159">
        <f t="shared" ref="AW3:AW22" si="23">((K3+G3+(LOG(H3)*4/3))*0.4)</f>
        <v>5.9295549964441578</v>
      </c>
      <c r="AX3" s="159">
        <f>AV3/2</f>
        <v>1.4008573679099323</v>
      </c>
      <c r="AY3" s="159">
        <f t="shared" ref="AY3:AY22" si="24">((L3+G3+(LOG(H3)*4/3))*1)</f>
        <v>4.8133280505509495</v>
      </c>
      <c r="AZ3" s="159">
        <f t="shared" ref="AZ3:AZ22" si="25">((N3+G3+(LOG(H3)*4/3))*0.253)</f>
        <v>0.95718199678939064</v>
      </c>
      <c r="BA3" s="159">
        <f t="shared" ref="BA3:BA22" si="26">((O3+G3+(LOG(H3)*4/3))*0.21)+((N3+G3+(LOG(H3)*4/3))*0.341)</f>
        <v>1.8957304225202407</v>
      </c>
      <c r="BB3" s="159">
        <f>AZ3/2</f>
        <v>0.47859099839469532</v>
      </c>
      <c r="BC3" s="159">
        <f t="shared" ref="BC3:BC22" si="27">((K3+G3+(LOG(H3)*4/3))*0.291)</f>
        <v>4.3137512599131247</v>
      </c>
      <c r="BD3" s="159">
        <f t="shared" ref="BD3:BD22" si="28">((K3+G3+(LOG(H3)*4/3))*0.348)</f>
        <v>5.1587128469064165</v>
      </c>
      <c r="BE3" s="159">
        <f t="shared" ref="BE3:BE22" si="29">((L3+G3+(LOG(H3)*4/3))*0.881)</f>
        <v>4.2405420125353865</v>
      </c>
      <c r="BF3" s="159">
        <f t="shared" ref="BF3:BF22" si="30">((M3+G3+(LOG(H3)*4/3))*0.574)+((N3+G3+(LOG(H3)*4/3))*0.315)</f>
        <v>4.0005186369397947</v>
      </c>
      <c r="BG3" s="159">
        <f t="shared" ref="BG3:BG22" si="31">((N3+G3+(LOG(H3)*4/3))*0.241)</f>
        <v>0.91178206018277919</v>
      </c>
      <c r="BH3" s="159">
        <f t="shared" ref="BH3:BH22" si="32">((K3+G3+(LOG(H3)*4/3))*0.485)</f>
        <v>7.1895854331885412</v>
      </c>
      <c r="BI3" s="159">
        <f t="shared" ref="BI3:BI22" si="33">((K3+G3+(LOG(H3)*4/3))*0.264)</f>
        <v>3.9135062976531443</v>
      </c>
      <c r="BJ3" s="159">
        <f t="shared" ref="BJ3:BJ22" si="34">((L3+G3+(LOG(H3)*4/3))*0.381)</f>
        <v>1.8338779872599118</v>
      </c>
      <c r="BK3" s="159">
        <f t="shared" ref="BK3:BK22" si="35">((M3+G3+(LOG(H3)*4/3))*0.673)+((N3+G3+(LOG(H3)*4/3))*0.201)</f>
        <v>4.0536587161815305</v>
      </c>
      <c r="BL3" s="159">
        <f t="shared" ref="BL3:BL22" si="36">((N3+G3+(LOG(H3)*4/3))*0.052)</f>
        <v>0.19673305862864945</v>
      </c>
      <c r="BM3" s="159">
        <f t="shared" ref="BM3:BM22" si="37">((K3+G3+(LOG(H3)*4/3))*0.18)</f>
        <v>2.6682997483998707</v>
      </c>
      <c r="BN3" s="159">
        <f t="shared" ref="BN3:BN22" si="38">(K3+G3+(LOG(H3)*4/3))*0.068</f>
        <v>1.0080243493955068</v>
      </c>
      <c r="BO3" s="159">
        <f t="shared" ref="BO3:BO22" si="39">((L3+G3+(LOG(H3)*4/3))*0.305)</f>
        <v>1.4680650554180397</v>
      </c>
      <c r="BP3" s="159">
        <f t="shared" ref="BP3:BP22" si="40">((M3+G3+(LOG(H3)*4/3))*1)+((N3+G3+(LOG(H3)*4/3))*0.286)</f>
        <v>5.9753598730085216</v>
      </c>
      <c r="BQ3" s="159">
        <f t="shared" ref="BQ3:BQ22" si="41">((N3+G3+(LOG(H3)*4/3))*0.135)</f>
        <v>0.51074928682437837</v>
      </c>
      <c r="BR3" s="159">
        <f t="shared" ref="BR3:BR22" si="42">((K3+G3+(LOG(H3)*4/3))*0.284)</f>
        <v>4.2099840474753512</v>
      </c>
      <c r="BS3" s="159">
        <f t="shared" ref="BS3:BS22" si="43">(K3+G3+(LOG(H3)*4/3))*0.244</f>
        <v>3.6170285478309361</v>
      </c>
      <c r="BT3" s="159">
        <f t="shared" ref="BT3:BT22" si="44">((L3+G3+(LOG(H3)*4/3))*0.455)</f>
        <v>2.1900642630006821</v>
      </c>
      <c r="BU3" s="159">
        <f t="shared" ref="BU3:BU22" si="45">((M3+G3+(LOG(H3)*4/3))*0.864)+((N3+G3+(LOG(H3)*4/3))*0.244)</f>
        <v>5.1509674800104523</v>
      </c>
      <c r="BV3" s="159">
        <f t="shared" ref="BV3:BV22" si="46">((N3+G3+(LOG(H3)*4/3))*0.121)</f>
        <v>0.45778269411666506</v>
      </c>
      <c r="BW3" s="159">
        <f t="shared" ref="BW3:BW22" si="47">((K3+G3+(LOG(H3)*4/3))*0.284)</f>
        <v>4.2099840474753512</v>
      </c>
      <c r="BX3" s="159">
        <f t="shared" ref="BX3:BX22" si="48">((K3+G3+(LOG(H3)*4/3))*0.244)</f>
        <v>3.6170285478309361</v>
      </c>
      <c r="BY3" s="159">
        <f t="shared" ref="BY3:BY22" si="49">((L3+G3+(LOG(H3)*4/3))*0.631)</f>
        <v>3.0372099998976489</v>
      </c>
      <c r="BZ3" s="159">
        <f t="shared" ref="BZ3:BZ22" si="50">((M3+G3+(LOG(H3)*4/3))*0.702)+((N3+G3+(LOG(H3)*4/3))*0.193)</f>
        <v>4.1652986052431</v>
      </c>
      <c r="CA3" s="159">
        <f t="shared" ref="CA3:CA22" si="51">((N3+G3+(LOG(H3)*4/3))*0.148)</f>
        <v>0.55993255148154075</v>
      </c>
      <c r="CB3" s="159">
        <f t="shared" ref="CB3:CB22" si="52">((L3+G3+(LOG(H3)*4/3))*0.406)</f>
        <v>1.9542111885236857</v>
      </c>
      <c r="CC3" s="159">
        <f t="shared" ref="CC3:CC22" si="53">IF(E3="TEC",((M3+G3+(LOG(H3)*4/3))*0.15)+((N3+G3+(LOG(H3)*4/3))*0.324)+((O3+G3+(LOG(H3)*4/3))*0.127),(((M3+G3+(LOG(H3)*4/3))*0.144)+((N3+G3+(LOG(H3)*4/3))*0.25)+((O3+G3+(LOG(H3)*4/3))*0.127)))</f>
        <v>2.0167244698926008</v>
      </c>
      <c r="CD3" s="159">
        <f t="shared" ref="CD3:CD22" si="54">((N3+G3+(LOG(H3)*4/3))*0.543)+((O3+G3+(LOG(H3)*4/3))*0.583)</f>
        <v>3.7356512738092595</v>
      </c>
      <c r="CE3" s="159">
        <f>CC3</f>
        <v>2.0167244698926008</v>
      </c>
      <c r="CF3" s="159">
        <f t="shared" ref="CF3:CF22" si="55">((O3+1+(LOG(H3)*4/3))*0.26)+((M3+G3+(LOG(H3)*4/3))*0.221)+((N3+G3+(LOG(H3)*4/3))*0.142)</f>
        <v>2.3684678199376865</v>
      </c>
      <c r="CG3" s="159">
        <f t="shared" ref="CG3:CG22" si="56">((O3+G3+(LOG(H3)*4/3))*1)+((N3+G3+(LOG(H3)*4/3))*0.369)</f>
        <v>4.2799316567598069</v>
      </c>
      <c r="CH3" s="159">
        <f>CF3</f>
        <v>2.3684678199376865</v>
      </c>
      <c r="CI3" s="159">
        <f>((L3+G3+(LOG(H3)*4/3))*0.25)</f>
        <v>1.2033320126377374</v>
      </c>
    </row>
    <row r="4" spans="1:87" x14ac:dyDescent="0.25">
      <c r="A4" t="str">
        <f>PLANTILLA!D6</f>
        <v>T. Hammond</v>
      </c>
      <c r="B4" t="s">
        <v>854</v>
      </c>
      <c r="C4" s="632">
        <f>PLANTILLA!E6</f>
        <v>35</v>
      </c>
      <c r="D4" s="632">
        <f ca="1">PLANTILLA!F6</f>
        <v>107</v>
      </c>
      <c r="E4" s="632" t="str">
        <f>PLANTILLA!G6</f>
        <v>CAB</v>
      </c>
      <c r="F4" s="290">
        <v>41400</v>
      </c>
      <c r="G4" s="496">
        <v>1.5</v>
      </c>
      <c r="H4" s="497">
        <f>PLANTILLA!I6</f>
        <v>8.1999999999999993</v>
      </c>
      <c r="I4" s="497"/>
      <c r="J4" s="163">
        <f>PLANTILLA!X6</f>
        <v>9.9499999999999993</v>
      </c>
      <c r="K4" s="163">
        <f>PLANTILLA!Y6</f>
        <v>9.9499999999999993</v>
      </c>
      <c r="L4" s="163">
        <f>PLANTILLA!Z6</f>
        <v>3.99</v>
      </c>
      <c r="M4" s="163">
        <f>PLANTILLA!AA6</f>
        <v>4.95</v>
      </c>
      <c r="N4" s="163">
        <f>PLANTILLA!AB6</f>
        <v>5.95</v>
      </c>
      <c r="O4" s="163">
        <f>PLANTILLA!AC6</f>
        <v>2.95</v>
      </c>
      <c r="P4" s="163">
        <f>PLANTILLA!AD6</f>
        <v>15.778888888888888</v>
      </c>
      <c r="Q4" s="163">
        <f t="shared" ref="Q4:Q22" si="57">((2*(N4+1))+(K4+1))/8</f>
        <v>3.1062500000000002</v>
      </c>
      <c r="R4" s="163">
        <f t="shared" ref="R4:R22" si="58">1.66*(O4+(LOG(H4)*4/3)+G4)+0.55*(P4+(LOG(H4)*4/3)+G4)-7.6</f>
        <v>11.983093707246242</v>
      </c>
      <c r="S4" s="163">
        <f t="shared" ref="S4:S22" si="59">(0.5*O4+ 0.3*P4)/10</f>
        <v>0.62086666666666657</v>
      </c>
      <c r="T4" s="163">
        <f t="shared" ref="T4:T22" si="60">(0.4*K4+0.3*P4)/10</f>
        <v>0.87136666666666662</v>
      </c>
      <c r="U4" s="163">
        <f t="shared" ca="1" si="0"/>
        <v>17.997307358733842</v>
      </c>
      <c r="V4" s="159">
        <f t="shared" si="1"/>
        <v>11.059529324174646</v>
      </c>
      <c r="W4" s="159">
        <f t="shared" si="2"/>
        <v>16.354928244569837</v>
      </c>
      <c r="X4" s="159">
        <f t="shared" ref="X4:X22" si="61">V4</f>
        <v>11.059529324174646</v>
      </c>
      <c r="Y4" s="159">
        <f t="shared" si="3"/>
        <v>6.5369039304399967</v>
      </c>
      <c r="Z4" s="159">
        <f t="shared" si="4"/>
        <v>12.668418469844955</v>
      </c>
      <c r="AA4" s="159">
        <f t="shared" ref="AA4:AA22" si="62">Y4/2</f>
        <v>3.2684519652199984</v>
      </c>
      <c r="AB4" s="159">
        <f t="shared" si="5"/>
        <v>1.5966035958230995</v>
      </c>
      <c r="AC4" s="159">
        <f t="shared" si="6"/>
        <v>4.788662181601393</v>
      </c>
      <c r="AD4" s="159">
        <f t="shared" si="7"/>
        <v>9.1592665536979023</v>
      </c>
      <c r="AE4" s="159">
        <f t="shared" ref="AE4:AE22" si="63">AC4/2</f>
        <v>2.3943310908006965</v>
      </c>
      <c r="AF4" s="159">
        <f t="shared" si="8"/>
        <v>2.582741110890308</v>
      </c>
      <c r="AG4" s="357">
        <f t="shared" si="9"/>
        <v>11.654944992257359</v>
      </c>
      <c r="AH4" s="159">
        <f t="shared" si="10"/>
        <v>5.2447252465158112</v>
      </c>
      <c r="AI4" s="159">
        <f t="shared" si="11"/>
        <v>1.1203058844641076</v>
      </c>
      <c r="AJ4" s="357">
        <f t="shared" si="12"/>
        <v>4.5090300602688336</v>
      </c>
      <c r="AK4" s="159">
        <f t="shared" si="13"/>
        <v>9.5519875262630958</v>
      </c>
      <c r="AL4" s="159">
        <f t="shared" si="14"/>
        <v>8.9692402766502273</v>
      </c>
      <c r="AM4" s="159">
        <f t="shared" si="15"/>
        <v>3.0890503289085518</v>
      </c>
      <c r="AN4" s="159">
        <f t="shared" si="16"/>
        <v>1.6775045193153471</v>
      </c>
      <c r="AO4" s="159">
        <f t="shared" si="17"/>
        <v>3.4204729868581381</v>
      </c>
      <c r="AP4" s="159">
        <f t="shared" si="18"/>
        <v>7.5250405710879029</v>
      </c>
      <c r="AQ4" s="159">
        <f t="shared" ref="AQ4:AQ22" si="64">AO4/2</f>
        <v>1.710236493429069</v>
      </c>
      <c r="AR4" s="159">
        <f t="shared" si="19"/>
        <v>6.3327470355336377</v>
      </c>
      <c r="AS4" s="159">
        <f t="shared" si="20"/>
        <v>1.1268944010798441</v>
      </c>
      <c r="AT4" s="159">
        <f t="shared" si="21"/>
        <v>2.020846611664572</v>
      </c>
      <c r="AU4" s="159">
        <f t="shared" ref="AU4:AU22" si="65">AS4/2</f>
        <v>0.56344720053992203</v>
      </c>
      <c r="AV4" s="159">
        <f t="shared" si="22"/>
        <v>2.3943310908006965</v>
      </c>
      <c r="AW4" s="159">
        <f t="shared" si="23"/>
        <v>5.0673673879379821</v>
      </c>
      <c r="AX4" s="159">
        <f t="shared" ref="AX4:AX22" si="66">AV4/2</f>
        <v>1.1971655454003483</v>
      </c>
      <c r="AY4" s="159">
        <f t="shared" si="24"/>
        <v>6.7084184698449558</v>
      </c>
      <c r="AZ4" s="159">
        <f t="shared" si="25"/>
        <v>2.1931098728707736</v>
      </c>
      <c r="BA4" s="159">
        <f t="shared" si="26"/>
        <v>4.1462985768845702</v>
      </c>
      <c r="BB4" s="159">
        <f t="shared" ref="BB4:BB22" si="67">AZ4/2</f>
        <v>1.0965549364353868</v>
      </c>
      <c r="BC4" s="159">
        <f t="shared" si="27"/>
        <v>3.6865097747248816</v>
      </c>
      <c r="BD4" s="159">
        <f t="shared" si="28"/>
        <v>4.4086096275060438</v>
      </c>
      <c r="BE4" s="159">
        <f t="shared" si="29"/>
        <v>5.9101166719334062</v>
      </c>
      <c r="BF4" s="159">
        <f t="shared" si="30"/>
        <v>7.1322240196921651</v>
      </c>
      <c r="BG4" s="159">
        <f t="shared" si="31"/>
        <v>2.089088851232634</v>
      </c>
      <c r="BH4" s="159">
        <f t="shared" si="32"/>
        <v>6.1441829578748033</v>
      </c>
      <c r="BI4" s="159">
        <f t="shared" si="33"/>
        <v>3.3444624760390682</v>
      </c>
      <c r="BJ4" s="159">
        <f t="shared" si="34"/>
        <v>2.5559074370109283</v>
      </c>
      <c r="BK4" s="159">
        <f t="shared" si="35"/>
        <v>6.9031977426444922</v>
      </c>
      <c r="BL4" s="159">
        <f t="shared" si="36"/>
        <v>0.45075776043193766</v>
      </c>
      <c r="BM4" s="159">
        <f t="shared" si="37"/>
        <v>2.2803153245720917</v>
      </c>
      <c r="BN4" s="159">
        <f t="shared" si="38"/>
        <v>0.86145245594945696</v>
      </c>
      <c r="BO4" s="159">
        <f t="shared" si="39"/>
        <v>2.0460676333027115</v>
      </c>
      <c r="BP4" s="159">
        <f t="shared" si="40"/>
        <v>10.147586152220612</v>
      </c>
      <c r="BQ4" s="159">
        <f t="shared" si="41"/>
        <v>1.170236493429069</v>
      </c>
      <c r="BR4" s="159">
        <f t="shared" si="42"/>
        <v>3.5978308454359667</v>
      </c>
      <c r="BS4" s="159">
        <f t="shared" si="43"/>
        <v>3.0910941066421689</v>
      </c>
      <c r="BT4" s="159">
        <f t="shared" si="44"/>
        <v>3.0523304037794552</v>
      </c>
      <c r="BU4" s="159">
        <f t="shared" si="45"/>
        <v>8.7406076645882109</v>
      </c>
      <c r="BV4" s="159">
        <f t="shared" si="46"/>
        <v>1.0488786348512396</v>
      </c>
      <c r="BW4" s="159">
        <f t="shared" si="47"/>
        <v>3.5978308454359667</v>
      </c>
      <c r="BX4" s="159">
        <f t="shared" si="48"/>
        <v>3.0910941066421689</v>
      </c>
      <c r="BY4" s="159">
        <f t="shared" si="49"/>
        <v>4.2330120544721668</v>
      </c>
      <c r="BZ4" s="159">
        <f t="shared" si="50"/>
        <v>7.0562345305112348</v>
      </c>
      <c r="CA4" s="159">
        <f t="shared" si="51"/>
        <v>1.2829259335370533</v>
      </c>
      <c r="CB4" s="159">
        <f t="shared" si="52"/>
        <v>2.7236178987570523</v>
      </c>
      <c r="CC4" s="159">
        <f t="shared" si="53"/>
        <v>3.9912460227892219</v>
      </c>
      <c r="CD4" s="159">
        <f t="shared" si="54"/>
        <v>8.0116391970454188</v>
      </c>
      <c r="CE4" s="159">
        <f t="shared" ref="CE4:CE22" si="68">CC4</f>
        <v>3.9912460227892219</v>
      </c>
      <c r="CF4" s="159">
        <f t="shared" si="55"/>
        <v>4.2694247067134077</v>
      </c>
      <c r="CG4" s="159">
        <f t="shared" si="56"/>
        <v>8.8670648852177436</v>
      </c>
      <c r="CH4" s="159">
        <f t="shared" ref="CH4:CH22" si="69">CF4</f>
        <v>4.2694247067134077</v>
      </c>
      <c r="CI4" s="159">
        <f t="shared" ref="CI4:CI22" si="70">((L4+G4+(LOG(H4)*4/3))*0.25)</f>
        <v>1.677104617461239</v>
      </c>
    </row>
    <row r="5" spans="1:87" x14ac:dyDescent="0.25">
      <c r="A5" t="str">
        <f>PLANTILLA!D8</f>
        <v>D. Toh</v>
      </c>
      <c r="B5" t="s">
        <v>854</v>
      </c>
      <c r="C5" s="632">
        <f>PLANTILLA!E8</f>
        <v>33</v>
      </c>
      <c r="D5" s="632">
        <f ca="1">PLANTILLA!F8</f>
        <v>43</v>
      </c>
      <c r="E5" s="632" t="str">
        <f>PLANTILLA!G8</f>
        <v>CAB</v>
      </c>
      <c r="F5" s="290">
        <v>41519</v>
      </c>
      <c r="G5" s="496">
        <v>1.5</v>
      </c>
      <c r="H5" s="497">
        <f>PLANTILLA!I8</f>
        <v>8.4</v>
      </c>
      <c r="I5" s="341"/>
      <c r="J5" s="163">
        <f>PLANTILLA!X8</f>
        <v>0</v>
      </c>
      <c r="K5" s="163">
        <f>PLANTILLA!Y8</f>
        <v>11.077333333333334</v>
      </c>
      <c r="L5" s="163">
        <f>PLANTILLA!Z8</f>
        <v>6.2194444444444406</v>
      </c>
      <c r="M5" s="163">
        <f>PLANTILLA!AA8</f>
        <v>5.95</v>
      </c>
      <c r="N5" s="163">
        <f>PLANTILLA!AB8</f>
        <v>7.7227777777777789</v>
      </c>
      <c r="O5" s="163">
        <f>PLANTILLA!AC8</f>
        <v>3.9933333333333318</v>
      </c>
      <c r="P5" s="163">
        <f>PLANTILLA!AD8</f>
        <v>15.587777777777776</v>
      </c>
      <c r="Q5" s="163">
        <f t="shared" si="57"/>
        <v>3.6903611111111116</v>
      </c>
      <c r="R5" s="163">
        <f t="shared" si="58"/>
        <v>13.640754074040119</v>
      </c>
      <c r="S5" s="163">
        <f t="shared" si="59"/>
        <v>0.66729999999999978</v>
      </c>
      <c r="T5" s="163">
        <f t="shared" si="60"/>
        <v>0.91072666666666657</v>
      </c>
      <c r="U5" s="163">
        <f t="shared" ca="1" si="0"/>
        <v>17.820150159193616</v>
      </c>
      <c r="V5" s="159">
        <f t="shared" si="1"/>
        <v>5.4427050889760311</v>
      </c>
      <c r="W5" s="159">
        <f t="shared" si="2"/>
        <v>8.2353594110745192</v>
      </c>
      <c r="X5" s="159">
        <f t="shared" si="61"/>
        <v>5.4427050889760311</v>
      </c>
      <c r="Y5" s="159">
        <f t="shared" si="3"/>
        <v>7.1258081488105756</v>
      </c>
      <c r="Z5" s="159">
        <f t="shared" si="4"/>
        <v>13.809705714749176</v>
      </c>
      <c r="AA5" s="159">
        <f t="shared" si="62"/>
        <v>3.5629040744052878</v>
      </c>
      <c r="AB5" s="159">
        <f t="shared" si="5"/>
        <v>2.1305324045547471</v>
      </c>
      <c r="AC5" s="159">
        <f t="shared" si="6"/>
        <v>5.2200687601751889</v>
      </c>
      <c r="AD5" s="159">
        <f t="shared" si="7"/>
        <v>9.9844172317636541</v>
      </c>
      <c r="AE5" s="159">
        <f t="shared" si="63"/>
        <v>2.6100343800875945</v>
      </c>
      <c r="AF5" s="159">
        <f t="shared" si="8"/>
        <v>3.4464494779562087</v>
      </c>
      <c r="AG5" s="357">
        <f t="shared" si="9"/>
        <v>12.704929257569242</v>
      </c>
      <c r="AH5" s="159">
        <f t="shared" si="10"/>
        <v>5.7172181659061589</v>
      </c>
      <c r="AI5" s="159">
        <f t="shared" si="11"/>
        <v>1.4949534099186672</v>
      </c>
      <c r="AJ5" s="357">
        <f t="shared" si="12"/>
        <v>5.1052349602725151</v>
      </c>
      <c r="AK5" s="159">
        <f t="shared" si="13"/>
        <v>10.41251810892088</v>
      </c>
      <c r="AL5" s="159">
        <f t="shared" si="14"/>
        <v>9.7772716460424167</v>
      </c>
      <c r="AM5" s="159">
        <f t="shared" si="15"/>
        <v>3.059465076585334</v>
      </c>
      <c r="AN5" s="159">
        <f t="shared" si="16"/>
        <v>1.8497472458477624</v>
      </c>
      <c r="AO5" s="159">
        <f t="shared" si="17"/>
        <v>3.7286205429822781</v>
      </c>
      <c r="AP5" s="159">
        <f t="shared" si="18"/>
        <v>8.2029651945610098</v>
      </c>
      <c r="AQ5" s="159">
        <f t="shared" si="64"/>
        <v>1.864310271491139</v>
      </c>
      <c r="AR5" s="159">
        <f t="shared" si="19"/>
        <v>8.4505150836121068</v>
      </c>
      <c r="AS5" s="159">
        <f t="shared" si="20"/>
        <v>1.3591695206951708</v>
      </c>
      <c r="AT5" s="159">
        <f t="shared" si="21"/>
        <v>2.4181651077548416</v>
      </c>
      <c r="AU5" s="159">
        <f t="shared" si="65"/>
        <v>0.67958476034758541</v>
      </c>
      <c r="AV5" s="159">
        <f t="shared" si="22"/>
        <v>2.6100343800875945</v>
      </c>
      <c r="AW5" s="159">
        <f t="shared" si="23"/>
        <v>5.5238822858996706</v>
      </c>
      <c r="AX5" s="159">
        <f t="shared" si="66"/>
        <v>1.3050171900437972</v>
      </c>
      <c r="AY5" s="159">
        <f t="shared" si="24"/>
        <v>8.9518168258602824</v>
      </c>
      <c r="AZ5" s="159">
        <f t="shared" si="25"/>
        <v>2.6451529902759865</v>
      </c>
      <c r="BA5" s="159">
        <f t="shared" si="26"/>
        <v>4.977604404382352</v>
      </c>
      <c r="BB5" s="159">
        <f t="shared" si="67"/>
        <v>1.3225764951379932</v>
      </c>
      <c r="BC5" s="159">
        <f t="shared" si="27"/>
        <v>4.0186243629920098</v>
      </c>
      <c r="BD5" s="159">
        <f t="shared" si="28"/>
        <v>4.8057775887327132</v>
      </c>
      <c r="BE5" s="159">
        <f t="shared" si="29"/>
        <v>7.8865506235829086</v>
      </c>
      <c r="BF5" s="159">
        <f t="shared" si="30"/>
        <v>8.2770540470786838</v>
      </c>
      <c r="BG5" s="159">
        <f t="shared" si="31"/>
        <v>2.5196911883656625</v>
      </c>
      <c r="BH5" s="159">
        <f t="shared" si="32"/>
        <v>6.6977072716533508</v>
      </c>
      <c r="BI5" s="159">
        <f t="shared" si="33"/>
        <v>3.6457623086937829</v>
      </c>
      <c r="BJ5" s="159">
        <f t="shared" si="34"/>
        <v>3.4106422106527678</v>
      </c>
      <c r="BK5" s="159">
        <f t="shared" si="35"/>
        <v>7.9447217946907802</v>
      </c>
      <c r="BL5" s="159">
        <f t="shared" si="36"/>
        <v>0.54366780827806827</v>
      </c>
      <c r="BM5" s="159">
        <f t="shared" si="37"/>
        <v>2.4857470286548518</v>
      </c>
      <c r="BN5" s="159">
        <f t="shared" si="38"/>
        <v>0.93905998860294404</v>
      </c>
      <c r="BO5" s="159">
        <f t="shared" si="39"/>
        <v>2.7303041318873862</v>
      </c>
      <c r="BP5" s="159">
        <f t="shared" si="40"/>
        <v>11.672545326945217</v>
      </c>
      <c r="BQ5" s="159">
        <f t="shared" si="41"/>
        <v>1.411445271491139</v>
      </c>
      <c r="BR5" s="159">
        <f t="shared" si="42"/>
        <v>3.9219564229887656</v>
      </c>
      <c r="BS5" s="159">
        <f t="shared" si="43"/>
        <v>3.369568194398799</v>
      </c>
      <c r="BT5" s="159">
        <f t="shared" si="44"/>
        <v>4.0730766557664282</v>
      </c>
      <c r="BU5" s="159">
        <f t="shared" si="45"/>
        <v>10.052626376386531</v>
      </c>
      <c r="BV5" s="159">
        <f t="shared" si="46"/>
        <v>1.2650731692624282</v>
      </c>
      <c r="BW5" s="159">
        <f t="shared" si="47"/>
        <v>3.9219564229887656</v>
      </c>
      <c r="BX5" s="159">
        <f t="shared" si="48"/>
        <v>3.369568194398799</v>
      </c>
      <c r="BY5" s="159">
        <f t="shared" si="49"/>
        <v>5.6485964171178384</v>
      </c>
      <c r="BZ5" s="159">
        <f t="shared" si="50"/>
        <v>8.1128693924782898</v>
      </c>
      <c r="CA5" s="159">
        <f t="shared" si="51"/>
        <v>1.5473622235606559</v>
      </c>
      <c r="CB5" s="159">
        <f t="shared" si="52"/>
        <v>3.6344376312992748</v>
      </c>
      <c r="CC5" s="159">
        <f t="shared" si="53"/>
        <v>4.718213788495432</v>
      </c>
      <c r="CD5" s="159">
        <f t="shared" si="54"/>
        <v>9.5982329681409055</v>
      </c>
      <c r="CE5" s="159">
        <f t="shared" si="68"/>
        <v>4.718213788495432</v>
      </c>
      <c r="CF5" s="159">
        <f t="shared" si="55"/>
        <v>5.0221191047331804</v>
      </c>
      <c r="CG5" s="159">
        <f t="shared" si="56"/>
        <v>10.583656123491622</v>
      </c>
      <c r="CH5" s="159">
        <f t="shared" si="69"/>
        <v>5.0221191047331804</v>
      </c>
      <c r="CI5" s="159">
        <f t="shared" si="70"/>
        <v>2.2379542064650706</v>
      </c>
    </row>
    <row r="6" spans="1:87" x14ac:dyDescent="0.25">
      <c r="A6" t="str">
        <f>PLANTILLA!D9</f>
        <v>E. Toney</v>
      </c>
      <c r="B6" t="s">
        <v>854</v>
      </c>
      <c r="C6" s="632">
        <f>PLANTILLA!E9</f>
        <v>32</v>
      </c>
      <c r="D6" s="632">
        <f ca="1">PLANTILLA!F9</f>
        <v>109</v>
      </c>
      <c r="E6" s="632"/>
      <c r="F6" s="290">
        <v>41539</v>
      </c>
      <c r="G6" s="496">
        <v>1.5</v>
      </c>
      <c r="H6" s="497">
        <f>PLANTILLA!I9</f>
        <v>14.3</v>
      </c>
      <c r="I6" s="341"/>
      <c r="J6" s="163">
        <f>PLANTILLA!X9</f>
        <v>0</v>
      </c>
      <c r="K6" s="163">
        <f>PLANTILLA!Y9</f>
        <v>12.200000000000005</v>
      </c>
      <c r="L6" s="163">
        <f>PLANTILLA!Z9</f>
        <v>13.261555555555553</v>
      </c>
      <c r="M6" s="163">
        <f>PLANTILLA!AA9</f>
        <v>9.8750000000000053</v>
      </c>
      <c r="N6" s="163">
        <f>PLANTILLA!AB9</f>
        <v>9.6</v>
      </c>
      <c r="O6" s="163">
        <f>PLANTILLA!AC9</f>
        <v>3.6816666666666658</v>
      </c>
      <c r="P6" s="163">
        <f>PLANTILLA!AD9</f>
        <v>17.177777777777774</v>
      </c>
      <c r="Q6" s="163">
        <f t="shared" si="57"/>
        <v>4.3000000000000007</v>
      </c>
      <c r="R6" s="163">
        <f t="shared" si="58"/>
        <v>14.678734634841492</v>
      </c>
      <c r="S6" s="163">
        <f t="shared" si="59"/>
        <v>0.69941666666666646</v>
      </c>
      <c r="T6" s="163">
        <f t="shared" si="60"/>
        <v>1.0033333333333334</v>
      </c>
      <c r="U6" s="163">
        <f t="shared" ca="1" si="0"/>
        <v>19.718225827731189</v>
      </c>
      <c r="V6" s="159">
        <f t="shared" si="1"/>
        <v>6.021511147609333</v>
      </c>
      <c r="W6" s="159">
        <f t="shared" si="2"/>
        <v>9.1102184324898623</v>
      </c>
      <c r="X6" s="159">
        <f t="shared" si="61"/>
        <v>6.021511147609333</v>
      </c>
      <c r="Y6" s="159">
        <f t="shared" si="3"/>
        <v>7.8640711937759651</v>
      </c>
      <c r="Z6" s="159">
        <f t="shared" si="4"/>
        <v>15.24044804995342</v>
      </c>
      <c r="AA6" s="159">
        <f t="shared" si="62"/>
        <v>3.9320355968879825</v>
      </c>
      <c r="AB6" s="159">
        <f t="shared" si="5"/>
        <v>3.8798768581111345</v>
      </c>
      <c r="AC6" s="159">
        <f t="shared" si="6"/>
        <v>5.7608893628823932</v>
      </c>
      <c r="AD6" s="159">
        <f t="shared" si="7"/>
        <v>11.018843940116323</v>
      </c>
      <c r="AE6" s="159">
        <f t="shared" si="63"/>
        <v>2.8804446814411966</v>
      </c>
      <c r="AF6" s="159">
        <f t="shared" si="8"/>
        <v>6.2762713881209526</v>
      </c>
      <c r="AG6" s="357">
        <f t="shared" si="9"/>
        <v>14.021212205957147</v>
      </c>
      <c r="AH6" s="159">
        <f t="shared" si="10"/>
        <v>6.3095454926807157</v>
      </c>
      <c r="AI6" s="159">
        <f t="shared" si="11"/>
        <v>2.7224346021199977</v>
      </c>
      <c r="AJ6" s="357">
        <f t="shared" si="12"/>
        <v>7.5942834533726105</v>
      </c>
      <c r="AK6" s="159">
        <f t="shared" si="13"/>
        <v>11.491297829664878</v>
      </c>
      <c r="AL6" s="159">
        <f t="shared" si="14"/>
        <v>10.79023721936702</v>
      </c>
      <c r="AM6" s="159">
        <f t="shared" si="15"/>
        <v>3.3764437132311089</v>
      </c>
      <c r="AN6" s="159">
        <f t="shared" si="16"/>
        <v>2.1140490383865838</v>
      </c>
      <c r="AO6" s="159">
        <f t="shared" si="17"/>
        <v>4.1149209734874237</v>
      </c>
      <c r="AP6" s="159">
        <f t="shared" si="18"/>
        <v>9.0528261416723304</v>
      </c>
      <c r="AQ6" s="159">
        <f t="shared" si="64"/>
        <v>2.0574604867437118</v>
      </c>
      <c r="AR6" s="159">
        <f t="shared" si="19"/>
        <v>15.389091403600466</v>
      </c>
      <c r="AS6" s="159">
        <f t="shared" si="20"/>
        <v>1.643258246493944</v>
      </c>
      <c r="AT6" s="159">
        <f t="shared" si="21"/>
        <v>2.6797796119696837</v>
      </c>
      <c r="AU6" s="159">
        <f t="shared" si="65"/>
        <v>0.82162912324697202</v>
      </c>
      <c r="AV6" s="159">
        <f t="shared" si="22"/>
        <v>2.8804446814411966</v>
      </c>
      <c r="AW6" s="159">
        <f t="shared" si="23"/>
        <v>6.0961792199813685</v>
      </c>
      <c r="AX6" s="159">
        <f t="shared" si="66"/>
        <v>1.4402223407205983</v>
      </c>
      <c r="AY6" s="159">
        <f t="shared" si="24"/>
        <v>16.302003605508968</v>
      </c>
      <c r="AZ6" s="159">
        <f t="shared" si="25"/>
        <v>3.1980333566382142</v>
      </c>
      <c r="BA6" s="159">
        <f t="shared" si="26"/>
        <v>5.7220368755243314</v>
      </c>
      <c r="BB6" s="159">
        <f t="shared" si="67"/>
        <v>1.5990166783191071</v>
      </c>
      <c r="BC6" s="159">
        <f t="shared" si="27"/>
        <v>4.434970382536445</v>
      </c>
      <c r="BD6" s="159">
        <f t="shared" si="28"/>
        <v>5.3036759213837898</v>
      </c>
      <c r="BE6" s="159">
        <f t="shared" si="29"/>
        <v>14.362065176453401</v>
      </c>
      <c r="BF6" s="159">
        <f t="shared" si="30"/>
        <v>11.395208316408588</v>
      </c>
      <c r="BG6" s="159">
        <f t="shared" si="31"/>
        <v>3.0463479800387727</v>
      </c>
      <c r="BH6" s="159">
        <f t="shared" si="32"/>
        <v>7.3916173042274087</v>
      </c>
      <c r="BI6" s="159">
        <f t="shared" si="33"/>
        <v>4.0234782851877027</v>
      </c>
      <c r="BJ6" s="159">
        <f t="shared" si="34"/>
        <v>6.2110633736989174</v>
      </c>
      <c r="BK6" s="159">
        <f t="shared" si="35"/>
        <v>11.23282659565929</v>
      </c>
      <c r="BL6" s="159">
        <f t="shared" si="36"/>
        <v>0.65730329859757752</v>
      </c>
      <c r="BM6" s="159">
        <f t="shared" si="37"/>
        <v>2.7432806489916155</v>
      </c>
      <c r="BN6" s="159">
        <f t="shared" si="38"/>
        <v>1.0363504673968327</v>
      </c>
      <c r="BO6" s="159">
        <f t="shared" si="39"/>
        <v>4.9721110996802356</v>
      </c>
      <c r="BP6" s="159">
        <f t="shared" si="40"/>
        <v>16.530616192240096</v>
      </c>
      <c r="BQ6" s="159">
        <f t="shared" si="41"/>
        <v>1.7064604867437112</v>
      </c>
      <c r="BR6" s="159">
        <f t="shared" si="42"/>
        <v>4.328287246186771</v>
      </c>
      <c r="BS6" s="159">
        <f t="shared" si="43"/>
        <v>3.7186693241886344</v>
      </c>
      <c r="BT6" s="159">
        <f t="shared" si="44"/>
        <v>7.4174116405065806</v>
      </c>
      <c r="BU6" s="159">
        <f t="shared" si="45"/>
        <v>14.243216439348387</v>
      </c>
      <c r="BV6" s="159">
        <f t="shared" si="46"/>
        <v>1.5294942140443633</v>
      </c>
      <c r="BW6" s="159">
        <f t="shared" si="47"/>
        <v>4.328287246186771</v>
      </c>
      <c r="BX6" s="159">
        <f t="shared" si="48"/>
        <v>3.7186693241886344</v>
      </c>
      <c r="BY6" s="159">
        <f t="shared" si="49"/>
        <v>10.286564275076159</v>
      </c>
      <c r="BZ6" s="159">
        <f t="shared" si="50"/>
        <v>11.506251004708309</v>
      </c>
      <c r="CA6" s="159">
        <f t="shared" si="51"/>
        <v>1.8707863113931054</v>
      </c>
      <c r="CB6" s="159">
        <f t="shared" si="52"/>
        <v>6.6186134638366418</v>
      </c>
      <c r="CC6" s="159">
        <f t="shared" si="53"/>
        <v>5.8736451006923964</v>
      </c>
      <c r="CD6" s="159">
        <f t="shared" si="54"/>
        <v>10.782756170914212</v>
      </c>
      <c r="CE6" s="159">
        <f t="shared" si="68"/>
        <v>5.8736451006923964</v>
      </c>
      <c r="CF6" s="159">
        <f t="shared" si="55"/>
        <v>6.2670074684543122</v>
      </c>
      <c r="CG6" s="159">
        <f t="shared" si="56"/>
        <v>11.386440047052892</v>
      </c>
      <c r="CH6" s="159">
        <f t="shared" si="69"/>
        <v>6.2670074684543122</v>
      </c>
      <c r="CI6" s="159">
        <f t="shared" si="70"/>
        <v>4.0755009013772421</v>
      </c>
    </row>
    <row r="7" spans="1:87" x14ac:dyDescent="0.25">
      <c r="A7" t="str">
        <f>PLANTILLA!D10</f>
        <v>B. Bartolache</v>
      </c>
      <c r="B7" t="s">
        <v>854</v>
      </c>
      <c r="C7" s="632">
        <f>PLANTILLA!E10</f>
        <v>32</v>
      </c>
      <c r="D7" s="632">
        <f ca="1">PLANTILLA!F10</f>
        <v>94</v>
      </c>
      <c r="E7" s="632"/>
      <c r="F7" s="290">
        <v>41527</v>
      </c>
      <c r="G7" s="496">
        <v>1.5</v>
      </c>
      <c r="H7" s="497">
        <f>PLANTILLA!I10</f>
        <v>10.4</v>
      </c>
      <c r="I7" s="341"/>
      <c r="J7" s="163">
        <f>PLANTILLA!X10</f>
        <v>0</v>
      </c>
      <c r="K7" s="163">
        <f>PLANTILLA!Y10</f>
        <v>12</v>
      </c>
      <c r="L7" s="163">
        <f>PLANTILLA!Z10</f>
        <v>6.95</v>
      </c>
      <c r="M7" s="163">
        <f>PLANTILLA!AA10</f>
        <v>7.5000000000000018</v>
      </c>
      <c r="N7" s="163">
        <f>PLANTILLA!AB10</f>
        <v>8.9499999999999993</v>
      </c>
      <c r="O7" s="163">
        <f>PLANTILLA!AC10</f>
        <v>3.95</v>
      </c>
      <c r="P7" s="163">
        <f>PLANTILLA!AD10</f>
        <v>16</v>
      </c>
      <c r="Q7" s="163">
        <f t="shared" si="57"/>
        <v>4.1124999999999998</v>
      </c>
      <c r="R7" s="163">
        <f t="shared" si="58"/>
        <v>14.068858239800408</v>
      </c>
      <c r="S7" s="163">
        <f t="shared" si="59"/>
        <v>0.67749999999999999</v>
      </c>
      <c r="T7" s="163">
        <f t="shared" si="60"/>
        <v>0.96000000000000019</v>
      </c>
      <c r="U7" s="163">
        <f t="shared" ca="1" si="0"/>
        <v>18.356044452398372</v>
      </c>
      <c r="V7" s="159">
        <f t="shared" si="1"/>
        <v>5.8053268069437802</v>
      </c>
      <c r="W7" s="159">
        <f t="shared" si="2"/>
        <v>8.7871533880462991</v>
      </c>
      <c r="X7" s="159">
        <f t="shared" si="61"/>
        <v>5.8053268069437802</v>
      </c>
      <c r="Y7" s="159">
        <f t="shared" si="3"/>
        <v>7.6657189374375614</v>
      </c>
      <c r="Z7" s="159">
        <f t="shared" si="4"/>
        <v>14.856044452398374</v>
      </c>
      <c r="AA7" s="159">
        <f t="shared" si="62"/>
        <v>3.8328594687187807</v>
      </c>
      <c r="AB7" s="159">
        <f t="shared" si="5"/>
        <v>2.3338385796708128</v>
      </c>
      <c r="AC7" s="159">
        <f t="shared" si="6"/>
        <v>5.6155848030065849</v>
      </c>
      <c r="AD7" s="159">
        <f t="shared" si="7"/>
        <v>10.740920139084023</v>
      </c>
      <c r="AE7" s="159">
        <f t="shared" si="63"/>
        <v>2.8077924015032925</v>
      </c>
      <c r="AF7" s="159">
        <f t="shared" si="8"/>
        <v>3.7753271141733737</v>
      </c>
      <c r="AG7" s="357">
        <f t="shared" si="9"/>
        <v>13.667560896206504</v>
      </c>
      <c r="AH7" s="159">
        <f t="shared" si="10"/>
        <v>6.1504024032929268</v>
      </c>
      <c r="AI7" s="159">
        <f t="shared" si="11"/>
        <v>1.6376094235505283</v>
      </c>
      <c r="AJ7" s="357">
        <f t="shared" si="12"/>
        <v>6.0893541380102443</v>
      </c>
      <c r="AK7" s="159">
        <f t="shared" si="13"/>
        <v>11.201457517108373</v>
      </c>
      <c r="AL7" s="159">
        <f t="shared" si="14"/>
        <v>10.518079472298048</v>
      </c>
      <c r="AM7" s="159">
        <f t="shared" si="15"/>
        <v>3.1489594235505285</v>
      </c>
      <c r="AN7" s="159">
        <f t="shared" si="16"/>
        <v>2.0069408022907314</v>
      </c>
      <c r="AO7" s="159">
        <f t="shared" si="17"/>
        <v>4.0111320021475612</v>
      </c>
      <c r="AP7" s="159">
        <f t="shared" si="18"/>
        <v>8.8244904047246333</v>
      </c>
      <c r="AQ7" s="159">
        <f t="shared" si="64"/>
        <v>2.0055660010737806</v>
      </c>
      <c r="AR7" s="159">
        <f t="shared" si="19"/>
        <v>9.2569059630640638</v>
      </c>
      <c r="AS7" s="159">
        <f t="shared" si="20"/>
        <v>1.5347857788117885</v>
      </c>
      <c r="AT7" s="159">
        <f t="shared" si="21"/>
        <v>2.5941710245527236</v>
      </c>
      <c r="AU7" s="159">
        <f t="shared" si="65"/>
        <v>0.76739288940589423</v>
      </c>
      <c r="AV7" s="159">
        <f t="shared" si="22"/>
        <v>2.8077924015032925</v>
      </c>
      <c r="AW7" s="159">
        <f t="shared" si="23"/>
        <v>5.9424177809593495</v>
      </c>
      <c r="AX7" s="159">
        <f t="shared" si="66"/>
        <v>1.4038962007516462</v>
      </c>
      <c r="AY7" s="159">
        <f t="shared" si="24"/>
        <v>9.806044452398373</v>
      </c>
      <c r="AZ7" s="159">
        <f t="shared" si="25"/>
        <v>2.9869292464567883</v>
      </c>
      <c r="BA7" s="159">
        <f t="shared" si="26"/>
        <v>5.4551304932715041</v>
      </c>
      <c r="BB7" s="159">
        <f t="shared" si="67"/>
        <v>1.4934646232283941</v>
      </c>
      <c r="BC7" s="159">
        <f t="shared" si="27"/>
        <v>4.3231089356479266</v>
      </c>
      <c r="BD7" s="159">
        <f t="shared" si="28"/>
        <v>5.169903469434634</v>
      </c>
      <c r="BE7" s="159">
        <f t="shared" si="29"/>
        <v>8.6391251625629675</v>
      </c>
      <c r="BF7" s="159">
        <f t="shared" si="30"/>
        <v>9.6632735181821552</v>
      </c>
      <c r="BG7" s="159">
        <f t="shared" si="31"/>
        <v>2.8452567130280078</v>
      </c>
      <c r="BH7" s="159">
        <f t="shared" si="32"/>
        <v>7.2051815594132114</v>
      </c>
      <c r="BI7" s="159">
        <f t="shared" si="33"/>
        <v>3.9219957354331707</v>
      </c>
      <c r="BJ7" s="159">
        <f t="shared" si="34"/>
        <v>3.7361029363637801</v>
      </c>
      <c r="BK7" s="159">
        <f t="shared" si="35"/>
        <v>9.3426328513961803</v>
      </c>
      <c r="BL7" s="159">
        <f t="shared" si="36"/>
        <v>0.61391431152471532</v>
      </c>
      <c r="BM7" s="159">
        <f t="shared" si="37"/>
        <v>2.674088001431707</v>
      </c>
      <c r="BN7" s="159">
        <f t="shared" si="38"/>
        <v>1.0102110227630894</v>
      </c>
      <c r="BO7" s="159">
        <f t="shared" si="39"/>
        <v>2.9908435579815036</v>
      </c>
      <c r="BP7" s="159">
        <f t="shared" si="40"/>
        <v>13.732573165784309</v>
      </c>
      <c r="BQ7" s="159">
        <f t="shared" si="41"/>
        <v>1.5938160010737805</v>
      </c>
      <c r="BR7" s="159">
        <f t="shared" si="42"/>
        <v>4.2191166244811376</v>
      </c>
      <c r="BS7" s="159">
        <f t="shared" si="43"/>
        <v>3.624874846385203</v>
      </c>
      <c r="BT7" s="159">
        <f t="shared" si="44"/>
        <v>4.4617502258412598</v>
      </c>
      <c r="BU7" s="159">
        <f t="shared" si="45"/>
        <v>11.828297253257398</v>
      </c>
      <c r="BV7" s="159">
        <f t="shared" si="46"/>
        <v>1.4285313787402032</v>
      </c>
      <c r="BW7" s="159">
        <f t="shared" si="47"/>
        <v>4.2191166244811376</v>
      </c>
      <c r="BX7" s="159">
        <f t="shared" si="48"/>
        <v>3.624874846385203</v>
      </c>
      <c r="BY7" s="159">
        <f t="shared" si="49"/>
        <v>6.1876140494633738</v>
      </c>
      <c r="BZ7" s="159">
        <f t="shared" si="50"/>
        <v>9.5485097848965452</v>
      </c>
      <c r="CA7" s="159">
        <f t="shared" si="51"/>
        <v>1.7472945789549592</v>
      </c>
      <c r="CB7" s="159">
        <f t="shared" si="52"/>
        <v>3.9812540476737399</v>
      </c>
      <c r="CC7" s="159">
        <f t="shared" si="53"/>
        <v>5.307149159699553</v>
      </c>
      <c r="CD7" s="159">
        <f t="shared" si="54"/>
        <v>10.378606053400569</v>
      </c>
      <c r="CE7" s="159">
        <f t="shared" si="68"/>
        <v>5.307149159699553</v>
      </c>
      <c r="CF7" s="159">
        <f t="shared" si="55"/>
        <v>5.6047156938441871</v>
      </c>
      <c r="CG7" s="159">
        <f t="shared" si="56"/>
        <v>11.162474855333373</v>
      </c>
      <c r="CH7" s="159">
        <f t="shared" si="69"/>
        <v>5.6047156938441871</v>
      </c>
      <c r="CI7" s="159">
        <f t="shared" si="70"/>
        <v>2.4515111130995932</v>
      </c>
    </row>
    <row r="8" spans="1:87" x14ac:dyDescent="0.25">
      <c r="A8" t="str">
        <f>PLANTILLA!D11</f>
        <v>F. Lasprilla</v>
      </c>
      <c r="B8" t="s">
        <v>854</v>
      </c>
      <c r="C8" s="632">
        <f>PLANTILLA!E11</f>
        <v>29</v>
      </c>
      <c r="D8" s="632">
        <f ca="1">PLANTILLA!F11</f>
        <v>5</v>
      </c>
      <c r="E8" s="632"/>
      <c r="F8" s="290">
        <v>42106</v>
      </c>
      <c r="G8" s="496">
        <v>1.5</v>
      </c>
      <c r="H8" s="497">
        <f>PLANTILLA!I11</f>
        <v>5.3</v>
      </c>
      <c r="I8" s="341"/>
      <c r="J8" s="163">
        <f>PLANTILLA!X11</f>
        <v>0</v>
      </c>
      <c r="K8" s="163">
        <f>PLANTILLA!Y11</f>
        <v>9.6046666666666667</v>
      </c>
      <c r="L8" s="163">
        <f>PLANTILLA!Z11</f>
        <v>7.7607222222222223</v>
      </c>
      <c r="M8" s="163">
        <f>PLANTILLA!AA11</f>
        <v>6.1599999999999984</v>
      </c>
      <c r="N8" s="163">
        <f>PLANTILLA!AB11</f>
        <v>8.8633333333333315</v>
      </c>
      <c r="O8" s="163">
        <f>PLANTILLA!AC11</f>
        <v>3.2566666666666673</v>
      </c>
      <c r="P8" s="163">
        <f>PLANTILLA!AD11</f>
        <v>13.33611111111111</v>
      </c>
      <c r="Q8" s="163">
        <f t="shared" si="57"/>
        <v>3.7914166666666662</v>
      </c>
      <c r="R8" s="163">
        <f t="shared" si="58"/>
        <v>10.590127340201436</v>
      </c>
      <c r="S8" s="163">
        <f t="shared" si="59"/>
        <v>0.56291666666666662</v>
      </c>
      <c r="T8" s="163">
        <f t="shared" si="60"/>
        <v>0.78426999999999991</v>
      </c>
      <c r="U8" s="163">
        <f t="shared" ca="1" si="0"/>
        <v>15.301812270578829</v>
      </c>
      <c r="V8" s="159">
        <f t="shared" si="1"/>
        <v>4.8034451122153188</v>
      </c>
      <c r="W8" s="159">
        <f t="shared" si="2"/>
        <v>7.2652035302061577</v>
      </c>
      <c r="X8" s="159">
        <f t="shared" si="61"/>
        <v>4.8034451122153188</v>
      </c>
      <c r="Y8" s="159">
        <f t="shared" si="3"/>
        <v>6.228309798285343</v>
      </c>
      <c r="Z8" s="159">
        <f t="shared" si="4"/>
        <v>12.070367826134385</v>
      </c>
      <c r="AA8" s="159">
        <f t="shared" si="62"/>
        <v>3.1141548991426715</v>
      </c>
      <c r="AB8" s="159">
        <f t="shared" si="5"/>
        <v>2.4338887648422056</v>
      </c>
      <c r="AC8" s="159">
        <f t="shared" si="6"/>
        <v>4.5625990382787975</v>
      </c>
      <c r="AD8" s="159">
        <f t="shared" si="7"/>
        <v>8.7268759382951604</v>
      </c>
      <c r="AE8" s="159">
        <f t="shared" si="63"/>
        <v>2.2812995191393988</v>
      </c>
      <c r="AF8" s="159">
        <f t="shared" si="8"/>
        <v>3.9371730019506272</v>
      </c>
      <c r="AG8" s="357">
        <f t="shared" si="9"/>
        <v>11.104738400043635</v>
      </c>
      <c r="AH8" s="159">
        <f t="shared" si="10"/>
        <v>4.9971322800196347</v>
      </c>
      <c r="AI8" s="159">
        <f t="shared" si="11"/>
        <v>1.7078127047422202</v>
      </c>
      <c r="AJ8" s="357">
        <f t="shared" si="12"/>
        <v>5.071912281767017</v>
      </c>
      <c r="AK8" s="159">
        <f t="shared" si="13"/>
        <v>9.1010573409053261</v>
      </c>
      <c r="AL8" s="159">
        <f t="shared" si="14"/>
        <v>8.5458204209031443</v>
      </c>
      <c r="AM8" s="159">
        <f t="shared" si="15"/>
        <v>2.6389026491866647</v>
      </c>
      <c r="AN8" s="159">
        <f t="shared" si="16"/>
        <v>1.8020499339267027</v>
      </c>
      <c r="AO8" s="159">
        <f t="shared" si="17"/>
        <v>3.2589993130562842</v>
      </c>
      <c r="AP8" s="159">
        <f t="shared" si="18"/>
        <v>7.1697984887238242</v>
      </c>
      <c r="AQ8" s="159">
        <f t="shared" si="64"/>
        <v>1.6294996565281421</v>
      </c>
      <c r="AR8" s="159">
        <f t="shared" si="19"/>
        <v>9.6537436723153043</v>
      </c>
      <c r="AS8" s="159">
        <f t="shared" si="20"/>
        <v>1.4727744840641366</v>
      </c>
      <c r="AT8" s="159">
        <f t="shared" si="21"/>
        <v>2.3494537730573746</v>
      </c>
      <c r="AU8" s="159">
        <f t="shared" si="65"/>
        <v>0.73638724203206829</v>
      </c>
      <c r="AV8" s="159">
        <f t="shared" si="22"/>
        <v>2.2812995191393988</v>
      </c>
      <c r="AW8" s="159">
        <f t="shared" si="23"/>
        <v>4.828147130453754</v>
      </c>
      <c r="AX8" s="159">
        <f t="shared" si="66"/>
        <v>1.1406497595696994</v>
      </c>
      <c r="AY8" s="159">
        <f t="shared" si="24"/>
        <v>10.226423381689941</v>
      </c>
      <c r="AZ8" s="159">
        <f t="shared" si="25"/>
        <v>2.8662457266786658</v>
      </c>
      <c r="BA8" s="159">
        <f t="shared" si="26"/>
        <v>5.0648980055333794</v>
      </c>
      <c r="BB8" s="159">
        <f t="shared" si="67"/>
        <v>1.4331228633393329</v>
      </c>
      <c r="BC8" s="159">
        <f t="shared" si="27"/>
        <v>3.5124770374051058</v>
      </c>
      <c r="BD8" s="159">
        <f t="shared" si="28"/>
        <v>4.2004880034947654</v>
      </c>
      <c r="BE8" s="159">
        <f t="shared" si="29"/>
        <v>9.009478999268838</v>
      </c>
      <c r="BF8" s="159">
        <f t="shared" si="30"/>
        <v>8.5197983307668004</v>
      </c>
      <c r="BG8" s="159">
        <f t="shared" si="31"/>
        <v>2.7302973127650527</v>
      </c>
      <c r="BH8" s="159">
        <f t="shared" si="32"/>
        <v>5.8541283956751764</v>
      </c>
      <c r="BI8" s="159">
        <f t="shared" si="33"/>
        <v>3.1865771060994779</v>
      </c>
      <c r="BJ8" s="159">
        <f t="shared" si="34"/>
        <v>3.8962673084238673</v>
      </c>
      <c r="BK8" s="159">
        <f t="shared" si="35"/>
        <v>8.0822328133747838</v>
      </c>
      <c r="BL8" s="159">
        <f t="shared" si="36"/>
        <v>0.58910979362565452</v>
      </c>
      <c r="BM8" s="159">
        <f t="shared" si="37"/>
        <v>2.172666208704189</v>
      </c>
      <c r="BN8" s="159">
        <f t="shared" si="38"/>
        <v>0.82078501217713828</v>
      </c>
      <c r="BO8" s="159">
        <f t="shared" si="39"/>
        <v>3.1190591314154319</v>
      </c>
      <c r="BP8" s="159">
        <f t="shared" si="40"/>
        <v>11.865805024408816</v>
      </c>
      <c r="BQ8" s="159">
        <f t="shared" si="41"/>
        <v>1.5294196565281417</v>
      </c>
      <c r="BR8" s="159">
        <f t="shared" si="42"/>
        <v>3.4279844626221649</v>
      </c>
      <c r="BS8" s="159">
        <f t="shared" si="43"/>
        <v>2.9451697495767899</v>
      </c>
      <c r="BT8" s="159">
        <f t="shared" si="44"/>
        <v>4.6530226386689231</v>
      </c>
      <c r="BU8" s="159">
        <f t="shared" si="45"/>
        <v>10.216890218023563</v>
      </c>
      <c r="BV8" s="159">
        <f t="shared" si="46"/>
        <v>1.3708131736289271</v>
      </c>
      <c r="BW8" s="159">
        <f t="shared" si="47"/>
        <v>3.4279844626221649</v>
      </c>
      <c r="BX8" s="159">
        <f t="shared" si="48"/>
        <v>2.9451697495767899</v>
      </c>
      <c r="BY8" s="159">
        <f t="shared" si="49"/>
        <v>6.4528731538463528</v>
      </c>
      <c r="BZ8" s="159">
        <f t="shared" si="50"/>
        <v>8.2417458710569385</v>
      </c>
      <c r="CA8" s="159">
        <f t="shared" si="51"/>
        <v>1.6766971049345554</v>
      </c>
      <c r="CB8" s="159">
        <f t="shared" si="52"/>
        <v>4.1519278929661159</v>
      </c>
      <c r="CC8" s="159">
        <f t="shared" si="53"/>
        <v>4.8011003040826807</v>
      </c>
      <c r="CD8" s="159">
        <f t="shared" si="54"/>
        <v>9.4878061722273177</v>
      </c>
      <c r="CE8" s="159">
        <f t="shared" si="68"/>
        <v>4.8011003040826807</v>
      </c>
      <c r="CF8" s="159">
        <f t="shared" si="55"/>
        <v>4.8728184890150548</v>
      </c>
      <c r="CG8" s="159">
        <f t="shared" si="56"/>
        <v>9.9027815539779738</v>
      </c>
      <c r="CH8" s="159">
        <f t="shared" si="69"/>
        <v>4.8728184890150548</v>
      </c>
      <c r="CI8" s="159">
        <f t="shared" si="70"/>
        <v>2.5566058454224851</v>
      </c>
    </row>
    <row r="9" spans="1:87" x14ac:dyDescent="0.25">
      <c r="A9" t="str">
        <f>PLANTILLA!D7</f>
        <v>B. Pinczehelyi</v>
      </c>
      <c r="C9" s="632">
        <f>PLANTILLA!E7</f>
        <v>31</v>
      </c>
      <c r="D9" s="632">
        <f ca="1">PLANTILLA!F7</f>
        <v>110</v>
      </c>
      <c r="E9" s="632" t="str">
        <f>PLANTILLA!G7</f>
        <v>CAB</v>
      </c>
      <c r="F9" s="290">
        <v>41400</v>
      </c>
      <c r="G9" s="496">
        <v>1</v>
      </c>
      <c r="H9" s="497">
        <f>PLANTILLA!I7</f>
        <v>16</v>
      </c>
      <c r="I9" s="341"/>
      <c r="J9" s="163">
        <f>PLANTILLA!X7</f>
        <v>0</v>
      </c>
      <c r="K9" s="163">
        <f>PLANTILLA!Y7</f>
        <v>14.300000000000004</v>
      </c>
      <c r="L9" s="163">
        <f>PLANTILLA!Z7</f>
        <v>9.3793333333333351</v>
      </c>
      <c r="M9" s="163">
        <f>PLANTILLA!AA7</f>
        <v>14.333333333333329</v>
      </c>
      <c r="N9" s="163">
        <f>PLANTILLA!AB7</f>
        <v>9.4199999999999982</v>
      </c>
      <c r="O9" s="163">
        <f>PLANTILLA!AC7</f>
        <v>1.1428571428571428</v>
      </c>
      <c r="P9" s="163">
        <f>PLANTILLA!AD7</f>
        <v>11</v>
      </c>
      <c r="Q9" s="163">
        <f>((2*(N9+1))+(K9+1))/8</f>
        <v>4.5175000000000001</v>
      </c>
      <c r="R9" s="163">
        <f t="shared" si="58"/>
        <v>6.1052830727023153</v>
      </c>
      <c r="S9" s="163">
        <f>(0.5*O9+ 0.3*P9)/10</f>
        <v>0.38714285714285712</v>
      </c>
      <c r="T9" s="163">
        <f>(0.4*K9+0.3*P9)/10</f>
        <v>0.90200000000000036</v>
      </c>
      <c r="U9" s="163">
        <f t="shared" ca="1" si="0"/>
        <v>13.605493310207899</v>
      </c>
      <c r="V9" s="159">
        <f t="shared" si="1"/>
        <v>6.2213956598114981</v>
      </c>
      <c r="W9" s="159">
        <f t="shared" si="2"/>
        <v>9.4411918634783998</v>
      </c>
      <c r="X9" s="159">
        <f>V9</f>
        <v>6.2213956598114981</v>
      </c>
      <c r="Y9" s="159">
        <f t="shared" si="3"/>
        <v>8.7232345480672802</v>
      </c>
      <c r="Z9" s="159">
        <f t="shared" si="4"/>
        <v>16.905493310207905</v>
      </c>
      <c r="AA9" s="159">
        <f>Y9/2</f>
        <v>4.3616172740336401</v>
      </c>
      <c r="AB9" s="159">
        <f t="shared" si="5"/>
        <v>2.8523887411628137</v>
      </c>
      <c r="AC9" s="159">
        <f t="shared" si="6"/>
        <v>6.3902764712585887</v>
      </c>
      <c r="AD9" s="159">
        <f t="shared" si="7"/>
        <v>12.222671663280316</v>
      </c>
      <c r="AE9" s="159">
        <f>AC9/2</f>
        <v>3.1951382356292943</v>
      </c>
      <c r="AF9" s="159">
        <f t="shared" si="8"/>
        <v>4.6141582577633757</v>
      </c>
      <c r="AG9" s="357">
        <f t="shared" si="9"/>
        <v>15.553053845391274</v>
      </c>
      <c r="AH9" s="159">
        <f t="shared" si="10"/>
        <v>6.9988742304260727</v>
      </c>
      <c r="AI9" s="159">
        <f t="shared" si="11"/>
        <v>2.0014660494713863</v>
      </c>
      <c r="AJ9" s="357">
        <f t="shared" si="12"/>
        <v>9.9600300664022434</v>
      </c>
      <c r="AK9" s="159">
        <f t="shared" si="13"/>
        <v>12.746741955896761</v>
      </c>
      <c r="AL9" s="159">
        <f t="shared" si="14"/>
        <v>11.969089263627197</v>
      </c>
      <c r="AM9" s="159">
        <f t="shared" si="15"/>
        <v>2.2721173828047192</v>
      </c>
      <c r="AN9" s="159">
        <f t="shared" si="16"/>
        <v>2.0514220733398747</v>
      </c>
      <c r="AO9" s="159">
        <f t="shared" si="17"/>
        <v>4.5644831937561348</v>
      </c>
      <c r="AP9" s="159">
        <f t="shared" si="18"/>
        <v>10.041863026263496</v>
      </c>
      <c r="AQ9" s="159">
        <f>AO9/2</f>
        <v>2.2822415968780674</v>
      </c>
      <c r="AR9" s="159">
        <f t="shared" si="19"/>
        <v>11.313676351502925</v>
      </c>
      <c r="AS9" s="159">
        <f t="shared" si="20"/>
        <v>1.5633141303270268</v>
      </c>
      <c r="AT9" s="159">
        <f t="shared" si="21"/>
        <v>2.0915238256051998</v>
      </c>
      <c r="AU9" s="159">
        <f>AS9/2</f>
        <v>0.78165706516351341</v>
      </c>
      <c r="AV9" s="159">
        <f t="shared" si="22"/>
        <v>3.1951382356292943</v>
      </c>
      <c r="AW9" s="159">
        <f t="shared" si="23"/>
        <v>6.7621973240831625</v>
      </c>
      <c r="AX9" s="159">
        <f>AV9/2</f>
        <v>1.5975691178146472</v>
      </c>
      <c r="AY9" s="159">
        <f t="shared" si="24"/>
        <v>11.984826643541235</v>
      </c>
      <c r="AZ9" s="159">
        <f t="shared" si="25"/>
        <v>3.0424498074825981</v>
      </c>
      <c r="BA9" s="159">
        <f t="shared" si="26"/>
        <v>4.8878468139245523</v>
      </c>
      <c r="BB9" s="159">
        <f>AZ9/2</f>
        <v>1.521224903741299</v>
      </c>
      <c r="BC9" s="159">
        <f t="shared" si="27"/>
        <v>4.9194985532705005</v>
      </c>
      <c r="BD9" s="159">
        <f t="shared" si="28"/>
        <v>5.8831116719523511</v>
      </c>
      <c r="BE9" s="159">
        <f t="shared" si="29"/>
        <v>10.558632272959828</v>
      </c>
      <c r="BF9" s="159">
        <f t="shared" si="30"/>
        <v>13.510916886108152</v>
      </c>
      <c r="BG9" s="159">
        <f t="shared" si="31"/>
        <v>2.8981438877601033</v>
      </c>
      <c r="BH9" s="159">
        <f t="shared" si="32"/>
        <v>8.1991642554508335</v>
      </c>
      <c r="BI9" s="159">
        <f t="shared" si="33"/>
        <v>4.4630502338948874</v>
      </c>
      <c r="BJ9" s="159">
        <f t="shared" si="34"/>
        <v>4.5662189511892102</v>
      </c>
      <c r="BK9" s="159">
        <f t="shared" si="35"/>
        <v>13.816954486455035</v>
      </c>
      <c r="BL9" s="159">
        <f t="shared" si="36"/>
        <v>0.62532565213081059</v>
      </c>
      <c r="BM9" s="159">
        <f t="shared" si="37"/>
        <v>3.0429887958374229</v>
      </c>
      <c r="BN9" s="159">
        <f t="shared" si="38"/>
        <v>1.1495735450941376</v>
      </c>
      <c r="BO9" s="159">
        <f t="shared" si="39"/>
        <v>3.6553721262800765</v>
      </c>
      <c r="BP9" s="159">
        <f t="shared" si="40"/>
        <v>20.378117730260687</v>
      </c>
      <c r="BQ9" s="159">
        <f t="shared" si="41"/>
        <v>1.6234415968780662</v>
      </c>
      <c r="BR9" s="159">
        <f t="shared" si="42"/>
        <v>4.8011601000990449</v>
      </c>
      <c r="BS9" s="159">
        <f t="shared" si="43"/>
        <v>4.124940367690729</v>
      </c>
      <c r="BT9" s="159">
        <f t="shared" si="44"/>
        <v>5.453096122811262</v>
      </c>
      <c r="BU9" s="159">
        <f t="shared" si="45"/>
        <v>17.569366587710348</v>
      </c>
      <c r="BV9" s="159">
        <f t="shared" si="46"/>
        <v>1.4550846905351555</v>
      </c>
      <c r="BW9" s="159">
        <f t="shared" si="47"/>
        <v>4.8011601000990449</v>
      </c>
      <c r="BX9" s="159">
        <f t="shared" si="48"/>
        <v>4.124940367690729</v>
      </c>
      <c r="BY9" s="159">
        <f t="shared" si="49"/>
        <v>7.5624256120745192</v>
      </c>
      <c r="BZ9" s="159">
        <f t="shared" si="50"/>
        <v>14.211976512636067</v>
      </c>
      <c r="CA9" s="159">
        <f t="shared" si="51"/>
        <v>1.7797730099107687</v>
      </c>
      <c r="CB9" s="159">
        <f t="shared" si="52"/>
        <v>4.8658396172777412</v>
      </c>
      <c r="CC9" s="159">
        <f t="shared" si="53"/>
        <v>5.921604871761172</v>
      </c>
      <c r="CD9" s="159">
        <f t="shared" si="54"/>
        <v>8.7151311815798085</v>
      </c>
      <c r="CE9" s="159">
        <f>CC9</f>
        <v>5.921604871761172</v>
      </c>
      <c r="CF9" s="159">
        <f t="shared" si="55"/>
        <v>6.4256718560690445</v>
      </c>
      <c r="CG9" s="159">
        <f t="shared" si="56"/>
        <v>8.1857574845317558</v>
      </c>
      <c r="CH9" s="159">
        <f>CF9</f>
        <v>6.4256718560690445</v>
      </c>
      <c r="CI9" s="159">
        <f>((L9+G9+(LOG(H9)*4/3))*0.25)</f>
        <v>2.9962066608853086</v>
      </c>
    </row>
    <row r="10" spans="1:87" x14ac:dyDescent="0.25">
      <c r="A10" t="str">
        <f>PLANTILLA!D12</f>
        <v>E. Romweber</v>
      </c>
      <c r="B10" t="s">
        <v>854</v>
      </c>
      <c r="C10" s="632">
        <f>PLANTILLA!E12</f>
        <v>32</v>
      </c>
      <c r="D10" s="632">
        <f ca="1">PLANTILLA!F12</f>
        <v>71</v>
      </c>
      <c r="E10" s="632" t="str">
        <f>PLANTILLA!G12</f>
        <v>IMP</v>
      </c>
      <c r="F10" s="290">
        <v>41583</v>
      </c>
      <c r="G10" s="496">
        <v>1.5</v>
      </c>
      <c r="H10" s="497">
        <f>PLANTILLA!I12</f>
        <v>14</v>
      </c>
      <c r="I10" s="341"/>
      <c r="J10" s="163">
        <f>PLANTILLA!X12</f>
        <v>0</v>
      </c>
      <c r="K10" s="163">
        <f>PLANTILLA!Y12</f>
        <v>12.06111111111111</v>
      </c>
      <c r="L10" s="163">
        <f>PLANTILLA!Z12</f>
        <v>12.614111111111114</v>
      </c>
      <c r="M10" s="163">
        <f>PLANTILLA!AA12</f>
        <v>13.216666666666669</v>
      </c>
      <c r="N10" s="163">
        <f>PLANTILLA!AB12</f>
        <v>11</v>
      </c>
      <c r="O10" s="163">
        <f>PLANTILLA!AC12</f>
        <v>7.7700000000000005</v>
      </c>
      <c r="P10" s="163">
        <f>PLANTILLA!AD12</f>
        <v>17.529999999999998</v>
      </c>
      <c r="Q10" s="163">
        <f t="shared" si="57"/>
        <v>4.6326388888888888</v>
      </c>
      <c r="R10" s="163">
        <f t="shared" si="58"/>
        <v>21.631957278465208</v>
      </c>
      <c r="S10" s="163">
        <f t="shared" si="59"/>
        <v>0.91439999999999999</v>
      </c>
      <c r="T10" s="163">
        <f t="shared" si="60"/>
        <v>1.0083444444444445</v>
      </c>
      <c r="U10" s="163">
        <f t="shared" ca="1" si="0"/>
        <v>20.058170714237647</v>
      </c>
      <c r="V10" s="159">
        <f t="shared" si="1"/>
        <v>5.9724597001961346</v>
      </c>
      <c r="W10" s="159">
        <f t="shared" si="2"/>
        <v>9.0353406143030277</v>
      </c>
      <c r="X10" s="159">
        <f t="shared" si="61"/>
        <v>5.9724597001961346</v>
      </c>
      <c r="Y10" s="159">
        <f t="shared" si="3"/>
        <v>7.7860694218799607</v>
      </c>
      <c r="Z10" s="159">
        <f t="shared" si="4"/>
        <v>15.08928182534876</v>
      </c>
      <c r="AA10" s="159">
        <f t="shared" si="62"/>
        <v>3.8930347109399803</v>
      </c>
      <c r="AB10" s="159">
        <f t="shared" si="5"/>
        <v>3.7228630744330058</v>
      </c>
      <c r="AC10" s="159">
        <f t="shared" si="6"/>
        <v>5.7037485299818309</v>
      </c>
      <c r="AD10" s="159">
        <f t="shared" si="7"/>
        <v>10.909550759727153</v>
      </c>
      <c r="AE10" s="159">
        <f t="shared" si="63"/>
        <v>2.8518742649909155</v>
      </c>
      <c r="AF10" s="159">
        <f t="shared" si="8"/>
        <v>6.0222785027592742</v>
      </c>
      <c r="AG10" s="357">
        <f t="shared" si="9"/>
        <v>13.88213927932086</v>
      </c>
      <c r="AH10" s="159">
        <f t="shared" si="10"/>
        <v>6.2469626756943866</v>
      </c>
      <c r="AI10" s="159">
        <f t="shared" si="11"/>
        <v>2.6122610648332438</v>
      </c>
      <c r="AJ10" s="357">
        <f t="shared" si="12"/>
        <v>9.5519643799717393</v>
      </c>
      <c r="AK10" s="159">
        <f t="shared" si="13"/>
        <v>11.377318496312965</v>
      </c>
      <c r="AL10" s="159">
        <f t="shared" si="14"/>
        <v>10.683211532346922</v>
      </c>
      <c r="AM10" s="159">
        <f t="shared" si="15"/>
        <v>3.4332145092776871</v>
      </c>
      <c r="AN10" s="159">
        <f t="shared" si="16"/>
        <v>2.2063131657004433</v>
      </c>
      <c r="AO10" s="159">
        <f t="shared" si="17"/>
        <v>4.0741060928441657</v>
      </c>
      <c r="AP10" s="159">
        <f t="shared" si="18"/>
        <v>8.9630334042571622</v>
      </c>
      <c r="AQ10" s="159">
        <f t="shared" si="64"/>
        <v>2.0370530464220828</v>
      </c>
      <c r="AR10" s="159">
        <f t="shared" si="19"/>
        <v>14.766314043129233</v>
      </c>
      <c r="AS10" s="159">
        <f t="shared" si="20"/>
        <v>1.8236621928508945</v>
      </c>
      <c r="AT10" s="159">
        <f t="shared" si="21"/>
        <v>3.5514640192716311</v>
      </c>
      <c r="AU10" s="159">
        <f t="shared" si="65"/>
        <v>0.91183109642544724</v>
      </c>
      <c r="AV10" s="159">
        <f t="shared" si="22"/>
        <v>2.8518742649909155</v>
      </c>
      <c r="AW10" s="159">
        <f t="shared" si="23"/>
        <v>6.0357127301395046</v>
      </c>
      <c r="AX10" s="159">
        <f t="shared" si="66"/>
        <v>1.4259371324954577</v>
      </c>
      <c r="AY10" s="159">
        <f t="shared" si="24"/>
        <v>15.642281825348764</v>
      </c>
      <c r="AZ10" s="159">
        <f t="shared" si="25"/>
        <v>3.5491271907021256</v>
      </c>
      <c r="BA10" s="159">
        <f t="shared" si="26"/>
        <v>7.0512220635449454</v>
      </c>
      <c r="BB10" s="159">
        <f t="shared" si="67"/>
        <v>1.7745635953510628</v>
      </c>
      <c r="BC10" s="159">
        <f t="shared" si="27"/>
        <v>4.3909810111764891</v>
      </c>
      <c r="BD10" s="159">
        <f t="shared" si="28"/>
        <v>5.2510700752213681</v>
      </c>
      <c r="BE10" s="159">
        <f t="shared" si="29"/>
        <v>13.780850288132262</v>
      </c>
      <c r="BF10" s="159">
        <f t="shared" si="30"/>
        <v>13.743410431623937</v>
      </c>
      <c r="BG10" s="159">
        <f t="shared" si="31"/>
        <v>3.3807891421312735</v>
      </c>
      <c r="BH10" s="159">
        <f t="shared" si="32"/>
        <v>7.3183016852941485</v>
      </c>
      <c r="BI10" s="159">
        <f t="shared" si="33"/>
        <v>3.9835704018920728</v>
      </c>
      <c r="BJ10" s="159">
        <f t="shared" si="34"/>
        <v>5.9597093754578792</v>
      </c>
      <c r="BK10" s="159">
        <f t="shared" si="35"/>
        <v>13.752437870910375</v>
      </c>
      <c r="BL10" s="159">
        <f t="shared" si="36"/>
        <v>0.72946487714035779</v>
      </c>
      <c r="BM10" s="159">
        <f t="shared" si="37"/>
        <v>2.7160707285627765</v>
      </c>
      <c r="BN10" s="159">
        <f t="shared" si="38"/>
        <v>1.0260711641237157</v>
      </c>
      <c r="BO10" s="159">
        <f t="shared" si="39"/>
        <v>4.7708959567313727</v>
      </c>
      <c r="BP10" s="159">
        <f t="shared" si="40"/>
        <v>20.256894205176287</v>
      </c>
      <c r="BQ10" s="159">
        <f t="shared" si="41"/>
        <v>1.8938030464220827</v>
      </c>
      <c r="BR10" s="159">
        <f t="shared" si="42"/>
        <v>4.2853560383990477</v>
      </c>
      <c r="BS10" s="159">
        <f t="shared" si="43"/>
        <v>3.6817847653850975</v>
      </c>
      <c r="BT10" s="159">
        <f t="shared" si="44"/>
        <v>7.1172382305336876</v>
      </c>
      <c r="BU10" s="159">
        <f t="shared" si="45"/>
        <v>17.458413151375318</v>
      </c>
      <c r="BV10" s="159">
        <f t="shared" si="46"/>
        <v>1.6974086564227555</v>
      </c>
      <c r="BW10" s="159">
        <f t="shared" si="47"/>
        <v>4.2853560383990477</v>
      </c>
      <c r="BX10" s="159">
        <f t="shared" si="48"/>
        <v>3.6817847653850975</v>
      </c>
      <c r="BY10" s="159">
        <f t="shared" si="49"/>
        <v>9.8702798317950702</v>
      </c>
      <c r="BZ10" s="159">
        <f t="shared" si="50"/>
        <v>14.111312789242696</v>
      </c>
      <c r="CA10" s="159">
        <f t="shared" si="51"/>
        <v>2.076169265707172</v>
      </c>
      <c r="CB10" s="159">
        <f t="shared" si="52"/>
        <v>6.3507664210915991</v>
      </c>
      <c r="CC10" s="159">
        <f t="shared" si="53"/>
        <v>7.2176669421178152</v>
      </c>
      <c r="CD10" s="159">
        <f t="shared" si="54"/>
        <v>13.912630224231593</v>
      </c>
      <c r="CE10" s="159">
        <f t="shared" si="68"/>
        <v>7.2176669421178152</v>
      </c>
      <c r="CF10" s="159">
        <f t="shared" si="55"/>
        <v>8.2596336883033885</v>
      </c>
      <c r="CG10" s="159">
        <f t="shared" si="56"/>
        <v>15.974565707791342</v>
      </c>
      <c r="CH10" s="159">
        <f t="shared" si="69"/>
        <v>8.2596336883033885</v>
      </c>
      <c r="CI10" s="159">
        <f t="shared" si="70"/>
        <v>3.910570456337191</v>
      </c>
    </row>
    <row r="11" spans="1:87" x14ac:dyDescent="0.25">
      <c r="A11" t="str">
        <f>PLANTILLA!D13</f>
        <v>K. Helms</v>
      </c>
      <c r="B11" t="s">
        <v>854</v>
      </c>
      <c r="C11" s="632">
        <f>PLANTILLA!E13</f>
        <v>32</v>
      </c>
      <c r="D11" s="632">
        <f ca="1">PLANTILLA!F13</f>
        <v>18</v>
      </c>
      <c r="E11" s="632" t="str">
        <f>PLANTILLA!G13</f>
        <v>TEC</v>
      </c>
      <c r="F11" s="290">
        <v>41722</v>
      </c>
      <c r="G11" s="496">
        <v>1.5</v>
      </c>
      <c r="H11" s="497">
        <f>PLANTILLA!I13</f>
        <v>11.3</v>
      </c>
      <c r="I11" s="341"/>
      <c r="J11" s="163">
        <f>PLANTILLA!X13</f>
        <v>0</v>
      </c>
      <c r="K11" s="163">
        <f>PLANTILLA!Y13</f>
        <v>7.2503030303030309</v>
      </c>
      <c r="L11" s="163">
        <f>PLANTILLA!Z13</f>
        <v>10.600000000000005</v>
      </c>
      <c r="M11" s="163">
        <f>PLANTILLA!AA13</f>
        <v>13.471666666666668</v>
      </c>
      <c r="N11" s="163">
        <f>PLANTILLA!AB13</f>
        <v>10.359999999999998</v>
      </c>
      <c r="O11" s="163">
        <f>PLANTILLA!AC13</f>
        <v>4.95</v>
      </c>
      <c r="P11" s="163">
        <f>PLANTILLA!AD13</f>
        <v>18</v>
      </c>
      <c r="Q11" s="163">
        <f t="shared" si="57"/>
        <v>3.8712878787878782</v>
      </c>
      <c r="R11" s="163">
        <f t="shared" si="58"/>
        <v>16.93507114679781</v>
      </c>
      <c r="S11" s="163">
        <f t="shared" si="59"/>
        <v>0.78749999999999998</v>
      </c>
      <c r="T11" s="163">
        <f t="shared" si="60"/>
        <v>0.8300121212121212</v>
      </c>
      <c r="U11" s="163">
        <f t="shared" ca="1" si="0"/>
        <v>20.404104591311228</v>
      </c>
      <c r="V11" s="159">
        <f t="shared" si="1"/>
        <v>4.5363669445783366</v>
      </c>
      <c r="W11" s="159">
        <f t="shared" si="2"/>
        <v>6.8305778152615808</v>
      </c>
      <c r="X11" s="159">
        <f t="shared" si="61"/>
        <v>4.5363669445783366</v>
      </c>
      <c r="Y11" s="159">
        <f t="shared" si="3"/>
        <v>5.2396743327529567</v>
      </c>
      <c r="Z11" s="159">
        <f t="shared" si="4"/>
        <v>10.154407621614256</v>
      </c>
      <c r="AA11" s="159">
        <f t="shared" si="62"/>
        <v>2.6198371663764783</v>
      </c>
      <c r="AB11" s="159">
        <f t="shared" si="5"/>
        <v>3.2139768927320729</v>
      </c>
      <c r="AC11" s="159">
        <f t="shared" si="6"/>
        <v>3.8383660809701889</v>
      </c>
      <c r="AD11" s="159">
        <f t="shared" si="7"/>
        <v>7.3416367104271067</v>
      </c>
      <c r="AE11" s="159">
        <f t="shared" si="63"/>
        <v>1.9191830404850945</v>
      </c>
      <c r="AF11" s="159">
        <f t="shared" si="8"/>
        <v>5.199080267654824</v>
      </c>
      <c r="AG11" s="357">
        <f t="shared" si="9"/>
        <v>9.3420550118851153</v>
      </c>
      <c r="AH11" s="159">
        <f t="shared" si="10"/>
        <v>4.2039247553483019</v>
      </c>
      <c r="AI11" s="159">
        <f t="shared" si="11"/>
        <v>2.2551854667489759</v>
      </c>
      <c r="AJ11" s="357">
        <f t="shared" si="12"/>
        <v>9.6289534996910024</v>
      </c>
      <c r="AK11" s="159">
        <f t="shared" si="13"/>
        <v>7.6564233466971494</v>
      </c>
      <c r="AL11" s="159">
        <f t="shared" si="14"/>
        <v>7.1893205961028928</v>
      </c>
      <c r="AM11" s="159">
        <f t="shared" si="15"/>
        <v>3.4909854667489753</v>
      </c>
      <c r="AN11" s="159">
        <f t="shared" si="16"/>
        <v>1.9513130313885421</v>
      </c>
      <c r="AO11" s="159">
        <f t="shared" si="17"/>
        <v>2.7416900578358492</v>
      </c>
      <c r="AP11" s="159">
        <f t="shared" si="18"/>
        <v>6.031718127238868</v>
      </c>
      <c r="AQ11" s="159">
        <f t="shared" si="64"/>
        <v>1.3708450289179246</v>
      </c>
      <c r="AR11" s="159">
        <f t="shared" si="19"/>
        <v>12.747874734197801</v>
      </c>
      <c r="AS11" s="159">
        <f t="shared" si="20"/>
        <v>1.7243335968704592</v>
      </c>
      <c r="AT11" s="159">
        <f t="shared" si="21"/>
        <v>2.950452645254189</v>
      </c>
      <c r="AU11" s="159">
        <f t="shared" si="65"/>
        <v>0.86216679843522959</v>
      </c>
      <c r="AV11" s="159">
        <f t="shared" si="22"/>
        <v>1.9191830404850945</v>
      </c>
      <c r="AW11" s="159">
        <f t="shared" si="23"/>
        <v>4.0617630486457026</v>
      </c>
      <c r="AX11" s="159">
        <f t="shared" si="66"/>
        <v>0.95959152024254724</v>
      </c>
      <c r="AY11" s="159">
        <f t="shared" si="24"/>
        <v>13.504104591311231</v>
      </c>
      <c r="AZ11" s="159">
        <f t="shared" si="25"/>
        <v>3.3558184616017397</v>
      </c>
      <c r="BA11" s="159">
        <f t="shared" si="26"/>
        <v>6.1724216298124848</v>
      </c>
      <c r="BB11" s="159">
        <f t="shared" si="67"/>
        <v>1.6779092308008698</v>
      </c>
      <c r="BC11" s="159">
        <f t="shared" si="27"/>
        <v>2.9549326178897481</v>
      </c>
      <c r="BD11" s="159">
        <f t="shared" si="28"/>
        <v>3.533733852321761</v>
      </c>
      <c r="BE11" s="159">
        <f t="shared" si="29"/>
        <v>11.897116144945194</v>
      </c>
      <c r="BF11" s="159">
        <f t="shared" si="30"/>
        <v>13.577885648342347</v>
      </c>
      <c r="BG11" s="159">
        <f t="shared" si="31"/>
        <v>3.1966492065060046</v>
      </c>
      <c r="BH11" s="159">
        <f t="shared" si="32"/>
        <v>4.924887696482914</v>
      </c>
      <c r="BI11" s="159">
        <f t="shared" si="33"/>
        <v>2.6807636121061638</v>
      </c>
      <c r="BJ11" s="159">
        <f t="shared" si="34"/>
        <v>5.1450638492895795</v>
      </c>
      <c r="BK11" s="159">
        <f t="shared" si="35"/>
        <v>13.68697907947268</v>
      </c>
      <c r="BL11" s="159">
        <f t="shared" si="36"/>
        <v>0.6897334387481836</v>
      </c>
      <c r="BM11" s="159">
        <f t="shared" si="37"/>
        <v>1.8277933718905661</v>
      </c>
      <c r="BN11" s="159">
        <f t="shared" si="38"/>
        <v>0.69049971826976941</v>
      </c>
      <c r="BO11" s="159">
        <f t="shared" si="39"/>
        <v>4.1187519003499258</v>
      </c>
      <c r="BP11" s="159">
        <f t="shared" si="40"/>
        <v>20.169305171092905</v>
      </c>
      <c r="BQ11" s="159">
        <f t="shared" si="41"/>
        <v>1.7906541198270154</v>
      </c>
      <c r="BR11" s="159">
        <f t="shared" si="42"/>
        <v>2.8838517645384485</v>
      </c>
      <c r="BS11" s="159">
        <f t="shared" si="43"/>
        <v>2.4776754596738786</v>
      </c>
      <c r="BT11" s="159">
        <f t="shared" si="44"/>
        <v>6.1443675890466105</v>
      </c>
      <c r="BU11" s="159">
        <f t="shared" si="45"/>
        <v>17.38510788717284</v>
      </c>
      <c r="BV11" s="159">
        <f t="shared" si="46"/>
        <v>1.6049566555486581</v>
      </c>
      <c r="BW11" s="159">
        <f t="shared" si="47"/>
        <v>2.8838517645384485</v>
      </c>
      <c r="BX11" s="159">
        <f t="shared" si="48"/>
        <v>2.4776754596738786</v>
      </c>
      <c r="BY11" s="159">
        <f t="shared" si="49"/>
        <v>8.5210899971173877</v>
      </c>
      <c r="BZ11" s="159">
        <f t="shared" si="50"/>
        <v>14.055763609223547</v>
      </c>
      <c r="CA11" s="159">
        <f t="shared" si="51"/>
        <v>1.9630874795140609</v>
      </c>
      <c r="CB11" s="159">
        <f t="shared" si="52"/>
        <v>5.4826664640723601</v>
      </c>
      <c r="CC11" s="159">
        <f t="shared" si="53"/>
        <v>7.7514068593780463</v>
      </c>
      <c r="CD11" s="159">
        <f t="shared" si="54"/>
        <v>11.781351769816439</v>
      </c>
      <c r="CE11" s="159">
        <f t="shared" si="68"/>
        <v>7.7514068593780463</v>
      </c>
      <c r="CF11" s="159">
        <f t="shared" si="55"/>
        <v>7.4146154937202269</v>
      </c>
      <c r="CG11" s="159">
        <f t="shared" si="56"/>
        <v>12.748559185505068</v>
      </c>
      <c r="CH11" s="159">
        <f t="shared" si="69"/>
        <v>7.4146154937202269</v>
      </c>
      <c r="CI11" s="159">
        <f t="shared" si="70"/>
        <v>3.3760261478278077</v>
      </c>
    </row>
    <row r="12" spans="1:87" x14ac:dyDescent="0.25">
      <c r="A12" t="str">
        <f>PLANTILLA!D14</f>
        <v>S. Zobbe</v>
      </c>
      <c r="B12" t="s">
        <v>854</v>
      </c>
      <c r="C12" s="632">
        <f>PLANTILLA!E14</f>
        <v>29</v>
      </c>
      <c r="D12" s="632">
        <f ca="1">PLANTILLA!F14</f>
        <v>33</v>
      </c>
      <c r="E12" s="632" t="str">
        <f>PLANTILLA!G14</f>
        <v>CAB</v>
      </c>
      <c r="F12" s="290">
        <v>41911</v>
      </c>
      <c r="G12" s="496">
        <v>1.5</v>
      </c>
      <c r="H12" s="497">
        <f>PLANTILLA!I14</f>
        <v>10.5</v>
      </c>
      <c r="I12" s="341"/>
      <c r="J12" s="163">
        <f>PLANTILLA!X14</f>
        <v>0</v>
      </c>
      <c r="K12" s="163">
        <f>PLANTILLA!Y14</f>
        <v>8.3599999999999977</v>
      </c>
      <c r="L12" s="163">
        <f>PLANTILLA!Z14</f>
        <v>12.253412698412699</v>
      </c>
      <c r="M12" s="163">
        <f>PLANTILLA!AA14</f>
        <v>12.36</v>
      </c>
      <c r="N12" s="163">
        <f>PLANTILLA!AB14</f>
        <v>10.24</v>
      </c>
      <c r="O12" s="163">
        <f>PLANTILLA!AC14</f>
        <v>7.4766666666666666</v>
      </c>
      <c r="P12" s="163">
        <f>PLANTILLA!AD14</f>
        <v>16</v>
      </c>
      <c r="Q12" s="163">
        <f t="shared" si="57"/>
        <v>3.9799999999999995</v>
      </c>
      <c r="R12" s="163">
        <f t="shared" si="58"/>
        <v>19.935371134592749</v>
      </c>
      <c r="S12" s="163">
        <f t="shared" si="59"/>
        <v>0.85383333333333344</v>
      </c>
      <c r="T12" s="163">
        <f t="shared" si="60"/>
        <v>0.81439999999999979</v>
      </c>
      <c r="U12" s="163">
        <f t="shared" ca="1" si="0"/>
        <v>18.36158573209325</v>
      </c>
      <c r="V12" s="159">
        <f t="shared" si="1"/>
        <v>4.8055243441174076</v>
      </c>
      <c r="W12" s="159">
        <f t="shared" si="2"/>
        <v>7.2473071801323865</v>
      </c>
      <c r="X12" s="159">
        <f t="shared" si="61"/>
        <v>4.8055243441174076</v>
      </c>
      <c r="Y12" s="159">
        <f t="shared" si="3"/>
        <v>5.7903382377601167</v>
      </c>
      <c r="Z12" s="159">
        <f t="shared" si="4"/>
        <v>11.221585732093249</v>
      </c>
      <c r="AA12" s="159">
        <f t="shared" si="62"/>
        <v>2.8951691188800583</v>
      </c>
      <c r="AB12" s="159">
        <f t="shared" si="5"/>
        <v>3.5973696264604156</v>
      </c>
      <c r="AC12" s="159">
        <f t="shared" si="6"/>
        <v>4.2417594067312479</v>
      </c>
      <c r="AD12" s="159">
        <f t="shared" si="7"/>
        <v>8.1132064843034186</v>
      </c>
      <c r="AE12" s="159">
        <f t="shared" si="63"/>
        <v>2.1208797033656239</v>
      </c>
      <c r="AF12" s="159">
        <f t="shared" si="8"/>
        <v>5.8192743957447908</v>
      </c>
      <c r="AG12" s="357">
        <f t="shared" si="9"/>
        <v>10.32385887352579</v>
      </c>
      <c r="AH12" s="159">
        <f t="shared" si="10"/>
        <v>4.6457364930866047</v>
      </c>
      <c r="AI12" s="159">
        <f t="shared" si="11"/>
        <v>2.5242047378944936</v>
      </c>
      <c r="AJ12" s="357">
        <f t="shared" si="12"/>
        <v>8.9502924104708299</v>
      </c>
      <c r="AK12" s="159">
        <f t="shared" si="13"/>
        <v>8.4610756419983097</v>
      </c>
      <c r="AL12" s="159">
        <f t="shared" si="14"/>
        <v>7.9448826983220204</v>
      </c>
      <c r="AM12" s="159">
        <f t="shared" si="15"/>
        <v>3.149884817259573</v>
      </c>
      <c r="AN12" s="159">
        <f t="shared" si="16"/>
        <v>1.9703766908428559</v>
      </c>
      <c r="AO12" s="159">
        <f t="shared" si="17"/>
        <v>3.0298281476651776</v>
      </c>
      <c r="AP12" s="159">
        <f t="shared" si="18"/>
        <v>6.6656219248633901</v>
      </c>
      <c r="AQ12" s="159">
        <f t="shared" si="64"/>
        <v>1.5149140738325888</v>
      </c>
      <c r="AR12" s="159">
        <f t="shared" si="19"/>
        <v>14.268558518397615</v>
      </c>
      <c r="AS12" s="159">
        <f t="shared" si="20"/>
        <v>1.7032061451721228</v>
      </c>
      <c r="AT12" s="159">
        <f t="shared" si="21"/>
        <v>3.3607079528366555</v>
      </c>
      <c r="AU12" s="159">
        <f t="shared" si="65"/>
        <v>0.85160307258606138</v>
      </c>
      <c r="AV12" s="159">
        <f t="shared" si="22"/>
        <v>2.1208797033656239</v>
      </c>
      <c r="AW12" s="159">
        <f t="shared" si="23"/>
        <v>4.4886342928372995</v>
      </c>
      <c r="AX12" s="159">
        <f t="shared" si="66"/>
        <v>1.060439851682812</v>
      </c>
      <c r="AY12" s="159">
        <f t="shared" si="24"/>
        <v>15.114998430505949</v>
      </c>
      <c r="AZ12" s="159">
        <f t="shared" si="25"/>
        <v>3.3147011902195929</v>
      </c>
      <c r="BA12" s="159">
        <f t="shared" si="26"/>
        <v>6.6386737383833818</v>
      </c>
      <c r="BB12" s="159">
        <f t="shared" si="67"/>
        <v>1.6573505951097964</v>
      </c>
      <c r="BC12" s="159">
        <f t="shared" si="27"/>
        <v>3.2654814480391354</v>
      </c>
      <c r="BD12" s="159">
        <f t="shared" si="28"/>
        <v>3.9051118347684506</v>
      </c>
      <c r="BE12" s="159">
        <f t="shared" si="29"/>
        <v>13.316313617275741</v>
      </c>
      <c r="BF12" s="159">
        <f t="shared" si="30"/>
        <v>12.864189715830898</v>
      </c>
      <c r="BG12" s="159">
        <f t="shared" si="31"/>
        <v>3.1574821614344737</v>
      </c>
      <c r="BH12" s="159">
        <f t="shared" si="32"/>
        <v>5.4424690800652256</v>
      </c>
      <c r="BI12" s="159">
        <f t="shared" si="33"/>
        <v>2.962498633272618</v>
      </c>
      <c r="BJ12" s="159">
        <f t="shared" si="34"/>
        <v>5.7588144020227663</v>
      </c>
      <c r="BK12" s="159">
        <f t="shared" si="35"/>
        <v>12.877545929849502</v>
      </c>
      <c r="BL12" s="159">
        <f t="shared" si="36"/>
        <v>0.68128245806884902</v>
      </c>
      <c r="BM12" s="159">
        <f t="shared" si="37"/>
        <v>2.0198854317767849</v>
      </c>
      <c r="BN12" s="159">
        <f t="shared" si="38"/>
        <v>0.763067829782341</v>
      </c>
      <c r="BO12" s="159">
        <f t="shared" si="39"/>
        <v>4.6100745213043144</v>
      </c>
      <c r="BP12" s="159">
        <f t="shared" si="40"/>
        <v>18.96863925147192</v>
      </c>
      <c r="BQ12" s="159">
        <f t="shared" si="41"/>
        <v>1.7687140738325891</v>
      </c>
      <c r="BR12" s="159">
        <f t="shared" si="42"/>
        <v>3.1869303479144824</v>
      </c>
      <c r="BS12" s="159">
        <f t="shared" si="43"/>
        <v>2.7380669186307527</v>
      </c>
      <c r="BT12" s="159">
        <f t="shared" si="44"/>
        <v>6.8773242858802073</v>
      </c>
      <c r="BU12" s="159">
        <f t="shared" si="45"/>
        <v>16.348236991159322</v>
      </c>
      <c r="BV12" s="159">
        <f t="shared" si="46"/>
        <v>1.5852918735832835</v>
      </c>
      <c r="BW12" s="159">
        <f t="shared" si="47"/>
        <v>3.1869303479144824</v>
      </c>
      <c r="BX12" s="159">
        <f t="shared" si="48"/>
        <v>2.7380669186307527</v>
      </c>
      <c r="BY12" s="159">
        <f t="shared" si="49"/>
        <v>9.5375640096492535</v>
      </c>
      <c r="BZ12" s="159">
        <f t="shared" si="50"/>
        <v>13.214159230223459</v>
      </c>
      <c r="CA12" s="159">
        <f t="shared" si="51"/>
        <v>1.9390346883498011</v>
      </c>
      <c r="CB12" s="159">
        <f t="shared" si="52"/>
        <v>6.1366893627854155</v>
      </c>
      <c r="CC12" s="159">
        <f t="shared" si="53"/>
        <v>6.7802628330872494</v>
      </c>
      <c r="CD12" s="159">
        <f t="shared" si="54"/>
        <v>13.141362201003666</v>
      </c>
      <c r="CE12" s="159">
        <f t="shared" si="68"/>
        <v>6.7802628330872494</v>
      </c>
      <c r="CF12" s="159">
        <f t="shared" si="55"/>
        <v>7.7823412444274274</v>
      </c>
      <c r="CG12" s="159">
        <f t="shared" si="56"/>
        <v>15.172737533902326</v>
      </c>
      <c r="CH12" s="159">
        <f t="shared" si="69"/>
        <v>7.7823412444274274</v>
      </c>
      <c r="CI12" s="159">
        <f t="shared" si="70"/>
        <v>3.7787496076264873</v>
      </c>
    </row>
    <row r="13" spans="1:87" x14ac:dyDescent="0.25">
      <c r="A13" t="str">
        <f>PLANTILLA!D15</f>
        <v>S. Buschelman</v>
      </c>
      <c r="B13" t="s">
        <v>854</v>
      </c>
      <c r="C13" s="632">
        <f>PLANTILLA!E15</f>
        <v>31</v>
      </c>
      <c r="D13" s="632">
        <f ca="1">PLANTILLA!F15</f>
        <v>30</v>
      </c>
      <c r="E13" s="632" t="str">
        <f>PLANTILLA!G15</f>
        <v>TEC</v>
      </c>
      <c r="F13" s="290">
        <v>41747</v>
      </c>
      <c r="G13" s="496">
        <v>1.5</v>
      </c>
      <c r="H13" s="497">
        <f>PLANTILLA!I15</f>
        <v>11.8</v>
      </c>
      <c r="I13" s="341"/>
      <c r="J13" s="163">
        <f>PLANTILLA!X15</f>
        <v>0</v>
      </c>
      <c r="K13" s="163">
        <f>PLANTILLA!Y15</f>
        <v>9.3036666666666648</v>
      </c>
      <c r="L13" s="163">
        <f>PLANTILLA!Z15</f>
        <v>14</v>
      </c>
      <c r="M13" s="163">
        <f>PLANTILLA!AA15</f>
        <v>12.945</v>
      </c>
      <c r="N13" s="163">
        <f>PLANTILLA!AB15</f>
        <v>10</v>
      </c>
      <c r="O13" s="163">
        <f>PLANTILLA!AC15</f>
        <v>4.95</v>
      </c>
      <c r="P13" s="163">
        <f>PLANTILLA!AD15</f>
        <v>15.588888888888887</v>
      </c>
      <c r="Q13" s="163">
        <f t="shared" si="57"/>
        <v>4.0379583333333331</v>
      </c>
      <c r="R13" s="163">
        <f t="shared" si="58"/>
        <v>15.664367870417609</v>
      </c>
      <c r="S13" s="163">
        <f t="shared" si="59"/>
        <v>0.71516666666666651</v>
      </c>
      <c r="T13" s="163">
        <f t="shared" si="60"/>
        <v>0.83981333333333319</v>
      </c>
      <c r="U13" s="163">
        <f t="shared" ca="1" si="0"/>
        <v>18.018064898630389</v>
      </c>
      <c r="V13" s="159">
        <f t="shared" si="1"/>
        <v>5.1249826565043293</v>
      </c>
      <c r="W13" s="159">
        <f t="shared" si="2"/>
        <v>7.73562456190961</v>
      </c>
      <c r="X13" s="159">
        <f t="shared" si="61"/>
        <v>5.1249826565043293</v>
      </c>
      <c r="Y13" s="159">
        <f t="shared" si="3"/>
        <v>6.3121468210266132</v>
      </c>
      <c r="Z13" s="159">
        <f t="shared" si="4"/>
        <v>12.232842676408165</v>
      </c>
      <c r="AA13" s="159">
        <f t="shared" si="62"/>
        <v>3.1560734105133066</v>
      </c>
      <c r="AB13" s="159">
        <f t="shared" si="5"/>
        <v>4.0291438903184771</v>
      </c>
      <c r="AC13" s="159">
        <f t="shared" si="6"/>
        <v>4.6240145316822865</v>
      </c>
      <c r="AD13" s="159">
        <f t="shared" si="7"/>
        <v>8.8443452550431036</v>
      </c>
      <c r="AE13" s="159">
        <f t="shared" si="63"/>
        <v>2.3120072658411432</v>
      </c>
      <c r="AF13" s="159">
        <f t="shared" si="8"/>
        <v>6.5177327637504776</v>
      </c>
      <c r="AG13" s="357">
        <f t="shared" si="9"/>
        <v>11.254215262295512</v>
      </c>
      <c r="AH13" s="159">
        <f t="shared" si="10"/>
        <v>5.0643968680329801</v>
      </c>
      <c r="AI13" s="159">
        <f t="shared" si="11"/>
        <v>2.8271723936268307</v>
      </c>
      <c r="AJ13" s="357">
        <f t="shared" si="12"/>
        <v>9.3340154937280015</v>
      </c>
      <c r="AK13" s="159">
        <f t="shared" si="13"/>
        <v>9.2235633780117556</v>
      </c>
      <c r="AL13" s="159">
        <f t="shared" si="14"/>
        <v>8.6608526148969798</v>
      </c>
      <c r="AM13" s="159">
        <f t="shared" si="15"/>
        <v>3.0925168380712749</v>
      </c>
      <c r="AN13" s="159">
        <f t="shared" si="16"/>
        <v>2.0065346908055521</v>
      </c>
      <c r="AO13" s="159">
        <f t="shared" si="17"/>
        <v>3.3028675226302049</v>
      </c>
      <c r="AP13" s="159">
        <f t="shared" si="18"/>
        <v>7.2663085497864497</v>
      </c>
      <c r="AQ13" s="159">
        <f t="shared" si="64"/>
        <v>1.6514337613151024</v>
      </c>
      <c r="AR13" s="159">
        <f t="shared" si="19"/>
        <v>15.981142153195975</v>
      </c>
      <c r="AS13" s="159">
        <f t="shared" si="20"/>
        <v>1.680792881266395</v>
      </c>
      <c r="AT13" s="159">
        <f t="shared" si="21"/>
        <v>2.9145985708542597</v>
      </c>
      <c r="AU13" s="159">
        <f t="shared" si="65"/>
        <v>0.84039644063319752</v>
      </c>
      <c r="AV13" s="159">
        <f t="shared" si="22"/>
        <v>2.3120072658411432</v>
      </c>
      <c r="AW13" s="159">
        <f t="shared" si="23"/>
        <v>4.8931370705632666</v>
      </c>
      <c r="AX13" s="159">
        <f t="shared" si="66"/>
        <v>1.1560036329205716</v>
      </c>
      <c r="AY13" s="159">
        <f t="shared" si="24"/>
        <v>16.9291760097415</v>
      </c>
      <c r="AZ13" s="159">
        <f t="shared" si="25"/>
        <v>3.2710815304645995</v>
      </c>
      <c r="BA13" s="159">
        <f t="shared" si="26"/>
        <v>6.0634759813675672</v>
      </c>
      <c r="BB13" s="159">
        <f t="shared" si="67"/>
        <v>1.6355407652322997</v>
      </c>
      <c r="BC13" s="159">
        <f t="shared" si="27"/>
        <v>3.5597572188347759</v>
      </c>
      <c r="BD13" s="159">
        <f t="shared" si="28"/>
        <v>4.2570292513900414</v>
      </c>
      <c r="BE13" s="159">
        <f t="shared" si="29"/>
        <v>14.914604064582262</v>
      </c>
      <c r="BF13" s="159">
        <f t="shared" si="30"/>
        <v>13.184467472660192</v>
      </c>
      <c r="BG13" s="159">
        <f t="shared" si="31"/>
        <v>3.1159314183477016</v>
      </c>
      <c r="BH13" s="159">
        <f t="shared" si="32"/>
        <v>5.9329286980579594</v>
      </c>
      <c r="BI13" s="159">
        <f t="shared" si="33"/>
        <v>3.2294704665717555</v>
      </c>
      <c r="BJ13" s="159">
        <f t="shared" si="34"/>
        <v>6.4500160597115119</v>
      </c>
      <c r="BK13" s="159">
        <f t="shared" si="35"/>
        <v>13.282084832514073</v>
      </c>
      <c r="BL13" s="159">
        <f t="shared" si="36"/>
        <v>0.67231715250655799</v>
      </c>
      <c r="BM13" s="159">
        <f t="shared" si="37"/>
        <v>2.2019116817534696</v>
      </c>
      <c r="BN13" s="159">
        <f t="shared" si="38"/>
        <v>0.83183330199575523</v>
      </c>
      <c r="BO13" s="159">
        <f t="shared" si="39"/>
        <v>5.1633986829711578</v>
      </c>
      <c r="BP13" s="159">
        <f t="shared" si="40"/>
        <v>19.57192034852757</v>
      </c>
      <c r="BQ13" s="159">
        <f t="shared" si="41"/>
        <v>1.7454387613151026</v>
      </c>
      <c r="BR13" s="159">
        <f t="shared" si="42"/>
        <v>3.4741273200999183</v>
      </c>
      <c r="BS13" s="159">
        <f t="shared" si="43"/>
        <v>2.9848136130435923</v>
      </c>
      <c r="BT13" s="159">
        <f t="shared" si="44"/>
        <v>7.7027750844323828</v>
      </c>
      <c r="BU13" s="159">
        <f t="shared" si="45"/>
        <v>16.870007018793583</v>
      </c>
      <c r="BV13" s="159">
        <f t="shared" si="46"/>
        <v>1.5644302971787214</v>
      </c>
      <c r="BW13" s="159">
        <f t="shared" si="47"/>
        <v>3.4741273200999183</v>
      </c>
      <c r="BX13" s="159">
        <f t="shared" si="48"/>
        <v>2.9848136130435923</v>
      </c>
      <c r="BY13" s="159">
        <f t="shared" si="49"/>
        <v>10.682310062146886</v>
      </c>
      <c r="BZ13" s="159">
        <f t="shared" si="50"/>
        <v>13.639002528718642</v>
      </c>
      <c r="CA13" s="159">
        <f t="shared" si="51"/>
        <v>1.9135180494417419</v>
      </c>
      <c r="CB13" s="159">
        <f t="shared" si="52"/>
        <v>6.8732454599550499</v>
      </c>
      <c r="CC13" s="159">
        <f t="shared" si="53"/>
        <v>7.5708347818546429</v>
      </c>
      <c r="CD13" s="159">
        <f t="shared" si="54"/>
        <v>11.61410218696893</v>
      </c>
      <c r="CE13" s="159">
        <f t="shared" si="68"/>
        <v>7.5708347818546429</v>
      </c>
      <c r="CF13" s="159">
        <f t="shared" si="55"/>
        <v>7.2627216540689545</v>
      </c>
      <c r="CG13" s="159">
        <f t="shared" si="56"/>
        <v>12.650041957336114</v>
      </c>
      <c r="CH13" s="159">
        <f t="shared" si="69"/>
        <v>7.2627216540689545</v>
      </c>
      <c r="CI13" s="159">
        <f t="shared" si="70"/>
        <v>4.232294002435375</v>
      </c>
    </row>
    <row r="14" spans="1:87" x14ac:dyDescent="0.25">
      <c r="A14" t="str">
        <f>PLANTILLA!D16</f>
        <v>C. Rojas</v>
      </c>
      <c r="B14" t="s">
        <v>854</v>
      </c>
      <c r="C14" s="632">
        <f>PLANTILLA!E16</f>
        <v>33</v>
      </c>
      <c r="D14" s="632">
        <f ca="1">PLANTILLA!F16</f>
        <v>64</v>
      </c>
      <c r="E14" s="632" t="str">
        <f>PLANTILLA!G16</f>
        <v>TEC</v>
      </c>
      <c r="F14" s="290">
        <v>41653</v>
      </c>
      <c r="G14" s="496">
        <v>1.5</v>
      </c>
      <c r="H14" s="497">
        <f>PLANTILLA!I16</f>
        <v>12.6</v>
      </c>
      <c r="I14" s="341"/>
      <c r="J14" s="163">
        <f>PLANTILLA!X16</f>
        <v>0</v>
      </c>
      <c r="K14" s="163">
        <f>PLANTILLA!Y16</f>
        <v>8.6275555555555581</v>
      </c>
      <c r="L14" s="163">
        <f>PLANTILLA!Z16</f>
        <v>14.333255555555548</v>
      </c>
      <c r="M14" s="163">
        <f>PLANTILLA!AA16</f>
        <v>9.99</v>
      </c>
      <c r="N14" s="163">
        <f>PLANTILLA!AB16</f>
        <v>10</v>
      </c>
      <c r="O14" s="163">
        <f>PLANTILLA!AC16</f>
        <v>3.99</v>
      </c>
      <c r="P14" s="163">
        <f>PLANTILLA!AD16</f>
        <v>17.144444444444439</v>
      </c>
      <c r="Q14" s="163">
        <f t="shared" si="57"/>
        <v>3.953444444444445</v>
      </c>
      <c r="R14" s="163">
        <f t="shared" si="58"/>
        <v>15.010269650724192</v>
      </c>
      <c r="S14" s="163">
        <f t="shared" si="59"/>
        <v>0.71383333333333321</v>
      </c>
      <c r="T14" s="163">
        <f t="shared" si="60"/>
        <v>0.85943555555555551</v>
      </c>
      <c r="U14" s="163">
        <f t="shared" ca="1" si="0"/>
        <v>19.611605171267854</v>
      </c>
      <c r="V14" s="159">
        <f t="shared" si="1"/>
        <v>4.9715366478501775</v>
      </c>
      <c r="W14" s="159">
        <f t="shared" si="2"/>
        <v>7.4973156094401432</v>
      </c>
      <c r="X14" s="159">
        <f t="shared" si="61"/>
        <v>4.9715366478501775</v>
      </c>
      <c r="Y14" s="159">
        <f t="shared" si="3"/>
        <v>5.982873601707551</v>
      </c>
      <c r="Z14" s="159">
        <f t="shared" si="4"/>
        <v>11.594716282378975</v>
      </c>
      <c r="AA14" s="159">
        <f t="shared" si="62"/>
        <v>2.9914368008537755</v>
      </c>
      <c r="AB14" s="159">
        <f t="shared" si="5"/>
        <v>4.1174990752061937</v>
      </c>
      <c r="AC14" s="159">
        <f t="shared" si="6"/>
        <v>4.3828027547392523</v>
      </c>
      <c r="AD14" s="159">
        <f t="shared" si="7"/>
        <v>8.3829798721599982</v>
      </c>
      <c r="AE14" s="159">
        <f t="shared" si="63"/>
        <v>2.1914013773696261</v>
      </c>
      <c r="AF14" s="159">
        <f t="shared" si="8"/>
        <v>6.660660268715902</v>
      </c>
      <c r="AG14" s="357">
        <f t="shared" si="9"/>
        <v>10.667138979788659</v>
      </c>
      <c r="AH14" s="159">
        <f t="shared" si="10"/>
        <v>4.8002125409048952</v>
      </c>
      <c r="AI14" s="159">
        <f t="shared" si="11"/>
        <v>2.8891695191572873</v>
      </c>
      <c r="AJ14" s="357">
        <f t="shared" si="12"/>
        <v>7.618810507372169</v>
      </c>
      <c r="AK14" s="159">
        <f t="shared" si="13"/>
        <v>8.7424160769137469</v>
      </c>
      <c r="AL14" s="159">
        <f t="shared" si="14"/>
        <v>8.2090591279243146</v>
      </c>
      <c r="AM14" s="159">
        <f t="shared" si="15"/>
        <v>3.3586380636017319</v>
      </c>
      <c r="AN14" s="159">
        <f t="shared" si="16"/>
        <v>1.9931342893251442</v>
      </c>
      <c r="AO14" s="159">
        <f t="shared" si="17"/>
        <v>3.1305733962423234</v>
      </c>
      <c r="AP14" s="159">
        <f t="shared" si="18"/>
        <v>6.8872614717331109</v>
      </c>
      <c r="AQ14" s="159">
        <f t="shared" si="64"/>
        <v>1.5652866981211617</v>
      </c>
      <c r="AR14" s="159">
        <f t="shared" si="19"/>
        <v>16.33159297056574</v>
      </c>
      <c r="AS14" s="159">
        <f t="shared" si="20"/>
        <v>1.6857308944870444</v>
      </c>
      <c r="AT14" s="159">
        <f t="shared" si="21"/>
        <v>2.7596480929592611</v>
      </c>
      <c r="AU14" s="159">
        <f t="shared" si="65"/>
        <v>0.84286544724352219</v>
      </c>
      <c r="AV14" s="159">
        <f t="shared" si="22"/>
        <v>2.1914013773696261</v>
      </c>
      <c r="AW14" s="159">
        <f t="shared" si="23"/>
        <v>4.6378865129515905</v>
      </c>
      <c r="AX14" s="159">
        <f t="shared" si="66"/>
        <v>1.0957006886848131</v>
      </c>
      <c r="AY14" s="159">
        <f t="shared" si="24"/>
        <v>17.300416282378965</v>
      </c>
      <c r="AZ14" s="159">
        <f t="shared" si="25"/>
        <v>3.2806916638863246</v>
      </c>
      <c r="BA14" s="159">
        <f t="shared" si="26"/>
        <v>5.8828055604797029</v>
      </c>
      <c r="BB14" s="159">
        <f t="shared" si="67"/>
        <v>1.6403458319431623</v>
      </c>
      <c r="BC14" s="159">
        <f t="shared" si="27"/>
        <v>3.3740624381722815</v>
      </c>
      <c r="BD14" s="159">
        <f t="shared" si="28"/>
        <v>4.0349612662678833</v>
      </c>
      <c r="BE14" s="159">
        <f t="shared" si="29"/>
        <v>15.241666744775868</v>
      </c>
      <c r="BF14" s="159">
        <f t="shared" si="30"/>
        <v>11.522065886146017</v>
      </c>
      <c r="BG14" s="159">
        <f t="shared" si="31"/>
        <v>3.1250857351644434</v>
      </c>
      <c r="BH14" s="159">
        <f t="shared" si="32"/>
        <v>5.6234373969538032</v>
      </c>
      <c r="BI14" s="159">
        <f t="shared" si="33"/>
        <v>3.0610050985480495</v>
      </c>
      <c r="BJ14" s="159">
        <f t="shared" si="34"/>
        <v>6.5914586035863856</v>
      </c>
      <c r="BK14" s="159">
        <f t="shared" si="35"/>
        <v>11.326568475243668</v>
      </c>
      <c r="BL14" s="159">
        <f t="shared" si="36"/>
        <v>0.67429235779481766</v>
      </c>
      <c r="BM14" s="159">
        <f t="shared" si="37"/>
        <v>2.0870489308282156</v>
      </c>
      <c r="BN14" s="159">
        <f t="shared" si="38"/>
        <v>0.7884407072017704</v>
      </c>
      <c r="BO14" s="159">
        <f t="shared" si="39"/>
        <v>5.2766269661255842</v>
      </c>
      <c r="BP14" s="159">
        <f t="shared" si="40"/>
        <v>16.665768694694915</v>
      </c>
      <c r="BQ14" s="159">
        <f t="shared" si="41"/>
        <v>1.7505666981211614</v>
      </c>
      <c r="BR14" s="159">
        <f t="shared" si="42"/>
        <v>3.2928994241956286</v>
      </c>
      <c r="BS14" s="159">
        <f t="shared" si="43"/>
        <v>2.8291107729004699</v>
      </c>
      <c r="BT14" s="159">
        <f t="shared" si="44"/>
        <v>7.8716894084824292</v>
      </c>
      <c r="BU14" s="159">
        <f t="shared" si="45"/>
        <v>14.358974085320346</v>
      </c>
      <c r="BV14" s="159">
        <f t="shared" si="46"/>
        <v>1.5690264479456335</v>
      </c>
      <c r="BW14" s="159">
        <f t="shared" si="47"/>
        <v>3.2928994241956286</v>
      </c>
      <c r="BX14" s="159">
        <f t="shared" si="48"/>
        <v>2.8291107729004699</v>
      </c>
      <c r="BY14" s="159">
        <f t="shared" si="49"/>
        <v>10.916562674181128</v>
      </c>
      <c r="BZ14" s="159">
        <f t="shared" si="50"/>
        <v>11.598588850506957</v>
      </c>
      <c r="CA14" s="159">
        <f t="shared" si="51"/>
        <v>1.9191397875698657</v>
      </c>
      <c r="CB14" s="159">
        <f t="shared" si="52"/>
        <v>7.0239690106458603</v>
      </c>
      <c r="CC14" s="159">
        <f t="shared" si="53"/>
        <v>7.0284935968208737</v>
      </c>
      <c r="CD14" s="159">
        <f t="shared" si="54"/>
        <v>11.097192978403168</v>
      </c>
      <c r="CE14" s="159">
        <f t="shared" si="68"/>
        <v>7.0284935968208737</v>
      </c>
      <c r="CF14" s="159">
        <f t="shared" si="55"/>
        <v>6.3837311328109889</v>
      </c>
      <c r="CG14" s="159">
        <f t="shared" si="56"/>
        <v>11.742043035021258</v>
      </c>
      <c r="CH14" s="159">
        <f t="shared" si="69"/>
        <v>6.3837311328109889</v>
      </c>
      <c r="CI14" s="159">
        <f t="shared" si="70"/>
        <v>4.3251040705947412</v>
      </c>
    </row>
    <row r="15" spans="1:87" x14ac:dyDescent="0.25">
      <c r="A15" t="str">
        <f>PLANTILLA!D17</f>
        <v>E. Gross</v>
      </c>
      <c r="B15" t="s">
        <v>854</v>
      </c>
      <c r="C15" s="632">
        <f>PLANTILLA!E17</f>
        <v>32</v>
      </c>
      <c r="D15" s="632">
        <f ca="1">PLANTILLA!F17</f>
        <v>58</v>
      </c>
      <c r="E15" s="632"/>
      <c r="F15" s="290">
        <v>41552</v>
      </c>
      <c r="G15" s="496">
        <v>1.5</v>
      </c>
      <c r="H15" s="497">
        <f>PLANTILLA!I17</f>
        <v>10.7</v>
      </c>
      <c r="I15" s="341"/>
      <c r="J15" s="163">
        <f>PLANTILLA!X17</f>
        <v>0</v>
      </c>
      <c r="K15" s="163">
        <f>PLANTILLA!Y17</f>
        <v>10.549999999999995</v>
      </c>
      <c r="L15" s="163">
        <f>PLANTILLA!Z17</f>
        <v>13</v>
      </c>
      <c r="M15" s="163">
        <f>PLANTILLA!AA17</f>
        <v>5.1399999999999979</v>
      </c>
      <c r="N15" s="163">
        <f>PLANTILLA!AB17</f>
        <v>9.24</v>
      </c>
      <c r="O15" s="163">
        <f>PLANTILLA!AC17</f>
        <v>2.98</v>
      </c>
      <c r="P15" s="163">
        <f>PLANTILLA!AD17</f>
        <v>17.459999999999997</v>
      </c>
      <c r="Q15" s="163">
        <f t="shared" si="57"/>
        <v>4.0037499999999993</v>
      </c>
      <c r="R15" s="163">
        <f t="shared" si="58"/>
        <v>13.298050864912417</v>
      </c>
      <c r="S15" s="163">
        <f t="shared" si="59"/>
        <v>0.67279999999999984</v>
      </c>
      <c r="T15" s="163">
        <f t="shared" si="60"/>
        <v>0.94579999999999964</v>
      </c>
      <c r="U15" s="163">
        <f t="shared" ca="1" si="0"/>
        <v>19.832511703580277</v>
      </c>
      <c r="V15" s="159">
        <f t="shared" si="1"/>
        <v>5.4195027172255834</v>
      </c>
      <c r="W15" s="159">
        <f t="shared" si="2"/>
        <v>8.1921626093221391</v>
      </c>
      <c r="X15" s="159">
        <f t="shared" si="61"/>
        <v>5.4195027172255834</v>
      </c>
      <c r="Y15" s="159">
        <f t="shared" si="3"/>
        <v>6.9260160390474219</v>
      </c>
      <c r="Z15" s="159">
        <f t="shared" si="4"/>
        <v>13.422511703580275</v>
      </c>
      <c r="AA15" s="159">
        <f t="shared" si="62"/>
        <v>3.463008019523711</v>
      </c>
      <c r="AB15" s="159">
        <f t="shared" si="5"/>
        <v>3.7776577854521065</v>
      </c>
      <c r="AC15" s="159">
        <f t="shared" si="6"/>
        <v>5.0737094239533436</v>
      </c>
      <c r="AD15" s="159">
        <f t="shared" si="7"/>
        <v>9.704475961688539</v>
      </c>
      <c r="AE15" s="159">
        <f t="shared" si="63"/>
        <v>2.5368547119766718</v>
      </c>
      <c r="AF15" s="159">
        <f t="shared" si="8"/>
        <v>6.1109170058784077</v>
      </c>
      <c r="AG15" s="357">
        <f t="shared" si="9"/>
        <v>12.348710767293854</v>
      </c>
      <c r="AH15" s="159">
        <f t="shared" si="10"/>
        <v>5.5569198452822333</v>
      </c>
      <c r="AI15" s="159">
        <f t="shared" si="11"/>
        <v>2.6507094544979068</v>
      </c>
      <c r="AJ15" s="357">
        <f t="shared" si="12"/>
        <v>4.7113568817052025</v>
      </c>
      <c r="AK15" s="159">
        <f t="shared" si="13"/>
        <v>10.120573824499527</v>
      </c>
      <c r="AL15" s="159">
        <f t="shared" si="14"/>
        <v>9.5031382861348348</v>
      </c>
      <c r="AM15" s="159">
        <f t="shared" si="15"/>
        <v>3.3955294544979067</v>
      </c>
      <c r="AN15" s="159">
        <f t="shared" si="16"/>
        <v>1.9803633706311201</v>
      </c>
      <c r="AO15" s="159">
        <f t="shared" si="17"/>
        <v>3.6240781599666745</v>
      </c>
      <c r="AP15" s="159">
        <f t="shared" si="18"/>
        <v>7.9729719519266826</v>
      </c>
      <c r="AQ15" s="159">
        <f t="shared" si="64"/>
        <v>1.8120390799833372</v>
      </c>
      <c r="AR15" s="159">
        <f t="shared" si="19"/>
        <v>14.983651048179784</v>
      </c>
      <c r="AS15" s="159">
        <f t="shared" si="20"/>
        <v>1.5746265214654365</v>
      </c>
      <c r="AT15" s="159">
        <f t="shared" si="21"/>
        <v>2.4659859291490216</v>
      </c>
      <c r="AU15" s="159">
        <f t="shared" si="65"/>
        <v>0.78731326073271823</v>
      </c>
      <c r="AV15" s="159">
        <f t="shared" si="22"/>
        <v>2.5368547119766718</v>
      </c>
      <c r="AW15" s="159">
        <f t="shared" si="23"/>
        <v>5.3690046814321102</v>
      </c>
      <c r="AX15" s="159">
        <f t="shared" si="66"/>
        <v>1.2684273559883359</v>
      </c>
      <c r="AY15" s="159">
        <f t="shared" si="24"/>
        <v>15.87251170358028</v>
      </c>
      <c r="AZ15" s="159">
        <f t="shared" si="25"/>
        <v>3.0644654610058106</v>
      </c>
      <c r="BA15" s="159">
        <f t="shared" si="26"/>
        <v>5.3593939486727349</v>
      </c>
      <c r="BB15" s="159">
        <f t="shared" si="67"/>
        <v>1.5322327305029053</v>
      </c>
      <c r="BC15" s="159">
        <f t="shared" si="27"/>
        <v>3.90595090574186</v>
      </c>
      <c r="BD15" s="159">
        <f t="shared" si="28"/>
        <v>4.6710340728459352</v>
      </c>
      <c r="BE15" s="159">
        <f t="shared" si="29"/>
        <v>13.983682810854226</v>
      </c>
      <c r="BF15" s="159">
        <f t="shared" si="30"/>
        <v>8.4146229044828669</v>
      </c>
      <c r="BG15" s="159">
        <f t="shared" si="31"/>
        <v>2.9191153205628475</v>
      </c>
      <c r="BH15" s="159">
        <f t="shared" si="32"/>
        <v>6.5099181762364333</v>
      </c>
      <c r="BI15" s="159">
        <f t="shared" si="33"/>
        <v>3.5435430897451927</v>
      </c>
      <c r="BJ15" s="159">
        <f t="shared" si="34"/>
        <v>6.0474269590640866</v>
      </c>
      <c r="BK15" s="159">
        <f t="shared" si="35"/>
        <v>7.8270352289291623</v>
      </c>
      <c r="BL15" s="159">
        <f t="shared" si="36"/>
        <v>0.62985060858617448</v>
      </c>
      <c r="BM15" s="159">
        <f t="shared" si="37"/>
        <v>2.4160521066444494</v>
      </c>
      <c r="BN15" s="159">
        <f t="shared" si="38"/>
        <v>0.91273079584345873</v>
      </c>
      <c r="BO15" s="159">
        <f t="shared" si="39"/>
        <v>4.841116069591985</v>
      </c>
      <c r="BP15" s="159">
        <f t="shared" si="40"/>
        <v>11.476690050804237</v>
      </c>
      <c r="BQ15" s="159">
        <f t="shared" si="41"/>
        <v>1.635189079983338</v>
      </c>
      <c r="BR15" s="159">
        <f t="shared" si="42"/>
        <v>3.8119933238167976</v>
      </c>
      <c r="BS15" s="159">
        <f t="shared" si="43"/>
        <v>3.275092855673587</v>
      </c>
      <c r="BT15" s="159">
        <f t="shared" si="44"/>
        <v>7.2219928251290275</v>
      </c>
      <c r="BU15" s="159">
        <f t="shared" si="45"/>
        <v>9.8782629675669469</v>
      </c>
      <c r="BV15" s="159">
        <f t="shared" si="46"/>
        <v>1.4656139161332138</v>
      </c>
      <c r="BW15" s="159">
        <f t="shared" si="47"/>
        <v>3.8119933238167976</v>
      </c>
      <c r="BX15" s="159">
        <f t="shared" si="48"/>
        <v>3.275092855673587</v>
      </c>
      <c r="BY15" s="159">
        <f t="shared" si="49"/>
        <v>10.015554884959156</v>
      </c>
      <c r="BZ15" s="159">
        <f t="shared" si="50"/>
        <v>7.9624979747043483</v>
      </c>
      <c r="CA15" s="159">
        <f t="shared" si="51"/>
        <v>1.7926517321298814</v>
      </c>
      <c r="CB15" s="159">
        <f t="shared" si="52"/>
        <v>6.4442397516535941</v>
      </c>
      <c r="CC15" s="159">
        <f t="shared" si="53"/>
        <v>4.9251985975653252</v>
      </c>
      <c r="CD15" s="159">
        <f t="shared" si="54"/>
        <v>9.9891081782313957</v>
      </c>
      <c r="CE15" s="159">
        <f t="shared" si="68"/>
        <v>4.9251985975653252</v>
      </c>
      <c r="CF15" s="159">
        <f t="shared" si="55"/>
        <v>4.8823947913305137</v>
      </c>
      <c r="CG15" s="159">
        <f t="shared" si="56"/>
        <v>10.322028522201403</v>
      </c>
      <c r="CH15" s="159">
        <f t="shared" si="69"/>
        <v>4.8823947913305137</v>
      </c>
      <c r="CI15" s="159">
        <f t="shared" si="70"/>
        <v>3.9681279258950699</v>
      </c>
    </row>
    <row r="16" spans="1:87" x14ac:dyDescent="0.25">
      <c r="A16" t="str">
        <f>PLANTILLA!D18</f>
        <v>L. Bauman</v>
      </c>
      <c r="B16" t="s">
        <v>854</v>
      </c>
      <c r="C16" s="632">
        <f>PLANTILLA!E18</f>
        <v>32</v>
      </c>
      <c r="D16" s="632">
        <f ca="1">PLANTILLA!F18</f>
        <v>33</v>
      </c>
      <c r="E16" s="632"/>
      <c r="F16" s="290">
        <v>41686</v>
      </c>
      <c r="G16" s="496">
        <v>1.5</v>
      </c>
      <c r="H16" s="497">
        <f>PLANTILLA!I18</f>
        <v>9.4</v>
      </c>
      <c r="I16" s="341"/>
      <c r="J16" s="163">
        <f>PLANTILLA!X18</f>
        <v>0</v>
      </c>
      <c r="K16" s="163">
        <f>PLANTILLA!Y18</f>
        <v>5.4644444444444451</v>
      </c>
      <c r="L16" s="163">
        <f>PLANTILLA!Z18</f>
        <v>14.42664708994708</v>
      </c>
      <c r="M16" s="163">
        <f>PLANTILLA!AA18</f>
        <v>3.5124999999999993</v>
      </c>
      <c r="N16" s="163">
        <f>PLANTILLA!AB18</f>
        <v>9.1400000000000041</v>
      </c>
      <c r="O16" s="163">
        <f>PLANTILLA!AC18</f>
        <v>6.95</v>
      </c>
      <c r="P16" s="163">
        <f>PLANTILLA!AD18</f>
        <v>16.669999999999998</v>
      </c>
      <c r="Q16" s="163">
        <f t="shared" si="57"/>
        <v>3.3430555555555568</v>
      </c>
      <c r="R16" s="163">
        <f t="shared" si="58"/>
        <v>19.287983408607111</v>
      </c>
      <c r="S16" s="163">
        <f t="shared" si="59"/>
        <v>0.84759999999999991</v>
      </c>
      <c r="T16" s="163">
        <f t="shared" si="60"/>
        <v>0.71867777777777775</v>
      </c>
      <c r="U16" s="163">
        <f t="shared" ca="1" si="0"/>
        <v>18.967503804799595</v>
      </c>
      <c r="V16" s="159">
        <f t="shared" si="1"/>
        <v>3.9504074882567162</v>
      </c>
      <c r="W16" s="159">
        <f t="shared" si="2"/>
        <v>5.9339663008851709</v>
      </c>
      <c r="X16" s="159">
        <f t="shared" si="61"/>
        <v>3.9504074882567162</v>
      </c>
      <c r="Y16" s="159">
        <f t="shared" si="3"/>
        <v>4.2631652966099258</v>
      </c>
      <c r="Z16" s="159">
        <f t="shared" si="4"/>
        <v>8.2619482492440426</v>
      </c>
      <c r="AA16" s="159">
        <f t="shared" si="62"/>
        <v>2.1315826483049629</v>
      </c>
      <c r="AB16" s="159">
        <f t="shared" si="5"/>
        <v>4.0993479129497095</v>
      </c>
      <c r="AC16" s="159">
        <f t="shared" si="6"/>
        <v>3.1230164382142482</v>
      </c>
      <c r="AD16" s="159">
        <f t="shared" si="7"/>
        <v>5.9733885842034429</v>
      </c>
      <c r="AE16" s="159">
        <f t="shared" si="63"/>
        <v>1.5615082191071241</v>
      </c>
      <c r="AF16" s="159">
        <f t="shared" si="8"/>
        <v>6.6312980944774713</v>
      </c>
      <c r="AG16" s="357">
        <f t="shared" si="9"/>
        <v>7.6009923893045199</v>
      </c>
      <c r="AH16" s="159">
        <f t="shared" si="10"/>
        <v>3.4204465751870337</v>
      </c>
      <c r="AI16" s="159">
        <f t="shared" si="11"/>
        <v>2.8764331994226953</v>
      </c>
      <c r="AJ16" s="357">
        <f t="shared" si="12"/>
        <v>3.7102822372221631</v>
      </c>
      <c r="AK16" s="159">
        <f t="shared" si="13"/>
        <v>6.2295089799300083</v>
      </c>
      <c r="AL16" s="159">
        <f t="shared" si="14"/>
        <v>5.849459360464782</v>
      </c>
      <c r="AM16" s="159">
        <f t="shared" si="15"/>
        <v>3.2510731354015325</v>
      </c>
      <c r="AN16" s="159">
        <f t="shared" si="16"/>
        <v>1.7684810957822845</v>
      </c>
      <c r="AO16" s="159">
        <f t="shared" si="17"/>
        <v>2.2307260272958915</v>
      </c>
      <c r="AP16" s="159">
        <f t="shared" si="18"/>
        <v>4.9075972600509612</v>
      </c>
      <c r="AQ16" s="159">
        <f t="shared" si="64"/>
        <v>1.1153630136479458</v>
      </c>
      <c r="AR16" s="159">
        <f t="shared" si="19"/>
        <v>16.259598444640865</v>
      </c>
      <c r="AS16" s="159">
        <f t="shared" si="20"/>
        <v>1.5518754946239484</v>
      </c>
      <c r="AT16" s="159">
        <f t="shared" si="21"/>
        <v>3.1188186148062824</v>
      </c>
      <c r="AU16" s="159">
        <f t="shared" si="65"/>
        <v>0.77593774731197418</v>
      </c>
      <c r="AV16" s="159">
        <f t="shared" si="22"/>
        <v>1.5615082191071241</v>
      </c>
      <c r="AW16" s="159">
        <f t="shared" si="23"/>
        <v>3.3047792996976173</v>
      </c>
      <c r="AX16" s="159">
        <f t="shared" si="66"/>
        <v>0.78075410955356206</v>
      </c>
      <c r="AY16" s="159">
        <f t="shared" si="24"/>
        <v>17.224150894746678</v>
      </c>
      <c r="AZ16" s="159">
        <f t="shared" si="25"/>
        <v>3.0201884626142994</v>
      </c>
      <c r="BA16" s="159">
        <f t="shared" si="26"/>
        <v>6.1176645964445804</v>
      </c>
      <c r="BB16" s="159">
        <f t="shared" si="67"/>
        <v>1.5100942313071497</v>
      </c>
      <c r="BC16" s="159">
        <f t="shared" si="27"/>
        <v>2.4042269405300161</v>
      </c>
      <c r="BD16" s="159">
        <f t="shared" si="28"/>
        <v>2.8751579907369265</v>
      </c>
      <c r="BE16" s="159">
        <f t="shared" si="29"/>
        <v>15.174476938271823</v>
      </c>
      <c r="BF16" s="159">
        <f t="shared" si="30"/>
        <v>7.3822558824668434</v>
      </c>
      <c r="BG16" s="159">
        <f t="shared" si="31"/>
        <v>2.8769384169567043</v>
      </c>
      <c r="BH16" s="159">
        <f t="shared" si="32"/>
        <v>4.0070449008833604</v>
      </c>
      <c r="BI16" s="159">
        <f t="shared" si="33"/>
        <v>2.1811543378004274</v>
      </c>
      <c r="BJ16" s="159">
        <f t="shared" si="34"/>
        <v>6.5624014908984849</v>
      </c>
      <c r="BK16" s="159">
        <f t="shared" si="35"/>
        <v>6.6460708253948502</v>
      </c>
      <c r="BL16" s="159">
        <f t="shared" si="36"/>
        <v>0.6207501978495793</v>
      </c>
      <c r="BM16" s="159">
        <f t="shared" si="37"/>
        <v>1.4871506848639275</v>
      </c>
      <c r="BN16" s="159">
        <f t="shared" si="38"/>
        <v>0.56181248094859493</v>
      </c>
      <c r="BO16" s="159">
        <f t="shared" si="39"/>
        <v>5.2533660228977368</v>
      </c>
      <c r="BP16" s="159">
        <f t="shared" si="40"/>
        <v>9.7241298929722841</v>
      </c>
      <c r="BQ16" s="159">
        <f t="shared" si="41"/>
        <v>1.6115630136479464</v>
      </c>
      <c r="BR16" s="159">
        <f t="shared" si="42"/>
        <v>2.3463933027853079</v>
      </c>
      <c r="BS16" s="159">
        <f t="shared" si="43"/>
        <v>2.0159153728155466</v>
      </c>
      <c r="BT16" s="159">
        <f t="shared" si="44"/>
        <v>7.8369886571097389</v>
      </c>
      <c r="BU16" s="159">
        <f t="shared" si="45"/>
        <v>8.3645942157179558</v>
      </c>
      <c r="BV16" s="159">
        <f t="shared" si="46"/>
        <v>1.4444379603807518</v>
      </c>
      <c r="BW16" s="159">
        <f t="shared" si="47"/>
        <v>2.3463933027853079</v>
      </c>
      <c r="BX16" s="159">
        <f t="shared" si="48"/>
        <v>2.0159153728155466</v>
      </c>
      <c r="BY16" s="159">
        <f t="shared" si="49"/>
        <v>10.868439214585154</v>
      </c>
      <c r="BZ16" s="159">
        <f t="shared" si="50"/>
        <v>6.7335609052956409</v>
      </c>
      <c r="CA16" s="159">
        <f t="shared" si="51"/>
        <v>1.7667505631103411</v>
      </c>
      <c r="CB16" s="159">
        <f t="shared" si="52"/>
        <v>6.9930052632671522</v>
      </c>
      <c r="CC16" s="159">
        <f t="shared" si="53"/>
        <v>5.1309494823005917</v>
      </c>
      <c r="CD16" s="159">
        <f t="shared" si="54"/>
        <v>12.164859284204351</v>
      </c>
      <c r="CE16" s="159">
        <f t="shared" si="68"/>
        <v>5.1309494823005917</v>
      </c>
      <c r="CF16" s="159">
        <f t="shared" si="55"/>
        <v>5.4939873703901503</v>
      </c>
      <c r="CG16" s="159">
        <f t="shared" si="56"/>
        <v>14.15244270877065</v>
      </c>
      <c r="CH16" s="159">
        <f t="shared" si="69"/>
        <v>5.4939873703901503</v>
      </c>
      <c r="CI16" s="159">
        <f t="shared" si="70"/>
        <v>4.3060377236866696</v>
      </c>
    </row>
    <row r="17" spans="1:87" x14ac:dyDescent="0.25">
      <c r="A17" t="str">
        <f>PLANTILLA!D19</f>
        <v>W. Gelifini</v>
      </c>
      <c r="B17" t="s">
        <v>854</v>
      </c>
      <c r="C17" s="632">
        <f>PLANTILLA!E19</f>
        <v>30</v>
      </c>
      <c r="D17" s="632">
        <f ca="1">PLANTILLA!F19</f>
        <v>95</v>
      </c>
      <c r="E17" s="632"/>
      <c r="F17" s="290">
        <v>41737</v>
      </c>
      <c r="G17" s="496">
        <v>1.5</v>
      </c>
      <c r="H17" s="497">
        <f>PLANTILLA!I19</f>
        <v>4.4000000000000004</v>
      </c>
      <c r="I17" s="341"/>
      <c r="J17" s="163">
        <f>PLANTILLA!X19</f>
        <v>0</v>
      </c>
      <c r="K17" s="163">
        <f>PLANTILLA!Y19</f>
        <v>5.6515555555555519</v>
      </c>
      <c r="L17" s="163">
        <f>PLANTILLA!Z19</f>
        <v>10</v>
      </c>
      <c r="M17" s="163">
        <f>PLANTILLA!AA19</f>
        <v>6.95</v>
      </c>
      <c r="N17" s="163">
        <f>PLANTILLA!AB19</f>
        <v>9.2666666666666639</v>
      </c>
      <c r="O17" s="163">
        <f>PLANTILLA!AC19</f>
        <v>3.5417777777777766</v>
      </c>
      <c r="P17" s="163">
        <f>PLANTILLA!AD19</f>
        <v>12.847222222222223</v>
      </c>
      <c r="Q17" s="163">
        <f t="shared" si="57"/>
        <v>3.3981111111111098</v>
      </c>
      <c r="R17" s="163">
        <f t="shared" si="58"/>
        <v>10.556363886712633</v>
      </c>
      <c r="S17" s="163">
        <f t="shared" si="59"/>
        <v>0.56250555555555548</v>
      </c>
      <c r="T17" s="163">
        <f t="shared" si="60"/>
        <v>0.61147888888888879</v>
      </c>
      <c r="U17" s="163">
        <f t="shared" ca="1" si="0"/>
        <v>14.705159124203806</v>
      </c>
      <c r="V17" s="159">
        <f t="shared" si="1"/>
        <v>3.6183082487632547</v>
      </c>
      <c r="W17" s="159">
        <f t="shared" si="2"/>
        <v>5.4460076515693334</v>
      </c>
      <c r="X17" s="159">
        <f t="shared" si="61"/>
        <v>3.6183082487632547</v>
      </c>
      <c r="Y17" s="159">
        <f t="shared" si="3"/>
        <v>4.1328981080891616</v>
      </c>
      <c r="Z17" s="159">
        <f t="shared" si="4"/>
        <v>8.0094924575371351</v>
      </c>
      <c r="AA17" s="159">
        <f t="shared" si="62"/>
        <v>2.0664490540445808</v>
      </c>
      <c r="AB17" s="159">
        <f t="shared" si="5"/>
        <v>2.9411889826716169</v>
      </c>
      <c r="AC17" s="159">
        <f t="shared" si="6"/>
        <v>3.0275881489490373</v>
      </c>
      <c r="AD17" s="159">
        <f t="shared" si="7"/>
        <v>5.7908630467993483</v>
      </c>
      <c r="AE17" s="159">
        <f t="shared" si="63"/>
        <v>1.5137940744745186</v>
      </c>
      <c r="AF17" s="159">
        <f t="shared" si="8"/>
        <v>4.7578057072629099</v>
      </c>
      <c r="AG17" s="357">
        <f t="shared" si="9"/>
        <v>7.368733060934165</v>
      </c>
      <c r="AH17" s="159">
        <f t="shared" si="10"/>
        <v>3.3159298774203738</v>
      </c>
      <c r="AI17" s="159">
        <f t="shared" si="11"/>
        <v>2.0637754626309244</v>
      </c>
      <c r="AJ17" s="357">
        <f t="shared" si="12"/>
        <v>5.47306689836517</v>
      </c>
      <c r="AK17" s="159">
        <f t="shared" si="13"/>
        <v>6.0391573129829998</v>
      </c>
      <c r="AL17" s="159">
        <f t="shared" si="14"/>
        <v>5.6707206599362916</v>
      </c>
      <c r="AM17" s="159">
        <f t="shared" si="15"/>
        <v>2.5392615737420359</v>
      </c>
      <c r="AN17" s="159">
        <f t="shared" si="16"/>
        <v>1.6577418277706955</v>
      </c>
      <c r="AO17" s="159">
        <f t="shared" si="17"/>
        <v>2.1625629635350267</v>
      </c>
      <c r="AP17" s="159">
        <f t="shared" si="18"/>
        <v>4.7576385197770579</v>
      </c>
      <c r="AQ17" s="159">
        <f t="shared" si="64"/>
        <v>1.0812814817675134</v>
      </c>
      <c r="AR17" s="159">
        <f t="shared" si="19"/>
        <v>11.665892435470614</v>
      </c>
      <c r="AS17" s="159">
        <f t="shared" si="20"/>
        <v>1.5111984639242722</v>
      </c>
      <c r="AT17" s="159">
        <f t="shared" si="21"/>
        <v>2.4156030678361589</v>
      </c>
      <c r="AU17" s="159">
        <f t="shared" si="65"/>
        <v>0.75559923196213608</v>
      </c>
      <c r="AV17" s="159">
        <f t="shared" si="22"/>
        <v>1.5137940744745186</v>
      </c>
      <c r="AW17" s="159">
        <f t="shared" si="23"/>
        <v>3.203796983014854</v>
      </c>
      <c r="AX17" s="159">
        <f t="shared" si="66"/>
        <v>0.75689703723725932</v>
      </c>
      <c r="AY17" s="159">
        <f t="shared" si="24"/>
        <v>12.357936901981583</v>
      </c>
      <c r="AZ17" s="159">
        <f t="shared" si="25"/>
        <v>2.9410247028680065</v>
      </c>
      <c r="BA17" s="159">
        <f t="shared" si="26"/>
        <v>5.2029298996585176</v>
      </c>
      <c r="BB17" s="159">
        <f t="shared" si="67"/>
        <v>1.4705123514340033</v>
      </c>
      <c r="BC17" s="159">
        <f t="shared" si="27"/>
        <v>2.3307623051433062</v>
      </c>
      <c r="BD17" s="159">
        <f t="shared" si="28"/>
        <v>2.787303375222923</v>
      </c>
      <c r="BE17" s="159">
        <f t="shared" si="29"/>
        <v>10.887342410645775</v>
      </c>
      <c r="BF17" s="159">
        <f t="shared" si="30"/>
        <v>9.0045059058616257</v>
      </c>
      <c r="BG17" s="159">
        <f t="shared" si="31"/>
        <v>2.8015294600442275</v>
      </c>
      <c r="BH17" s="159">
        <f t="shared" si="32"/>
        <v>3.8846038419055104</v>
      </c>
      <c r="BI17" s="159">
        <f t="shared" si="33"/>
        <v>2.114506008789804</v>
      </c>
      <c r="BJ17" s="159">
        <f t="shared" si="34"/>
        <v>4.708373959654983</v>
      </c>
      <c r="BK17" s="159">
        <f t="shared" si="35"/>
        <v>8.600786852331904</v>
      </c>
      <c r="BL17" s="159">
        <f t="shared" si="36"/>
        <v>0.60447938556970882</v>
      </c>
      <c r="BM17" s="159">
        <f t="shared" si="37"/>
        <v>1.4417086423566843</v>
      </c>
      <c r="BN17" s="159">
        <f t="shared" si="38"/>
        <v>0.54464548711252525</v>
      </c>
      <c r="BO17" s="159">
        <f t="shared" si="39"/>
        <v>3.7691707551043829</v>
      </c>
      <c r="BP17" s="159">
        <f t="shared" si="40"/>
        <v>12.632573522614981</v>
      </c>
      <c r="BQ17" s="159">
        <f t="shared" si="41"/>
        <v>1.5693214817675134</v>
      </c>
      <c r="BR17" s="159">
        <f t="shared" si="42"/>
        <v>2.2746958579405461</v>
      </c>
      <c r="BS17" s="159">
        <f t="shared" si="43"/>
        <v>1.954316159639061</v>
      </c>
      <c r="BT17" s="159">
        <f t="shared" si="44"/>
        <v>5.6228612904016204</v>
      </c>
      <c r="BU17" s="159">
        <f t="shared" si="45"/>
        <v>10.87846075406226</v>
      </c>
      <c r="BV17" s="159">
        <f t="shared" si="46"/>
        <v>1.4065770318064379</v>
      </c>
      <c r="BW17" s="159">
        <f t="shared" si="47"/>
        <v>2.2746958579405461</v>
      </c>
      <c r="BX17" s="159">
        <f t="shared" si="48"/>
        <v>1.954316159639061</v>
      </c>
      <c r="BY17" s="159">
        <f t="shared" si="49"/>
        <v>7.7978581851503792</v>
      </c>
      <c r="BZ17" s="159">
        <f t="shared" si="50"/>
        <v>8.7777201939401834</v>
      </c>
      <c r="CA17" s="159">
        <f t="shared" si="51"/>
        <v>1.7204413281599404</v>
      </c>
      <c r="CB17" s="159">
        <f t="shared" si="52"/>
        <v>5.0173223822045232</v>
      </c>
      <c r="CC17" s="159">
        <f t="shared" si="53"/>
        <v>4.9957575703768482</v>
      </c>
      <c r="CD17" s="159">
        <f t="shared" si="54"/>
        <v>9.7516933960757051</v>
      </c>
      <c r="CE17" s="159">
        <f t="shared" si="68"/>
        <v>4.9957575703768482</v>
      </c>
      <c r="CF17" s="159">
        <f t="shared" si="55"/>
        <v>5.1116735788234138</v>
      </c>
      <c r="CG17" s="159">
        <f t="shared" si="56"/>
        <v>10.189193396590563</v>
      </c>
      <c r="CH17" s="159">
        <f t="shared" si="69"/>
        <v>5.1116735788234138</v>
      </c>
      <c r="CI17" s="159">
        <f t="shared" si="70"/>
        <v>3.0894842254953958</v>
      </c>
    </row>
    <row r="18" spans="1:87" x14ac:dyDescent="0.25">
      <c r="A18" t="e">
        <f>PLANTILLA!#REF!</f>
        <v>#REF!</v>
      </c>
      <c r="B18" t="s">
        <v>854</v>
      </c>
      <c r="C18" s="632" t="e">
        <f>PLANTILLA!#REF!</f>
        <v>#REF!</v>
      </c>
      <c r="D18" s="632" t="e">
        <f>PLANTILLA!#REF!</f>
        <v>#REF!</v>
      </c>
      <c r="E18" s="632" t="e">
        <f>PLANTILLA!#REF!</f>
        <v>#REF!</v>
      </c>
      <c r="F18" s="290">
        <v>41730</v>
      </c>
      <c r="G18" s="496">
        <v>1.5</v>
      </c>
      <c r="H18" s="497" t="e">
        <f>PLANTILLA!#REF!</f>
        <v>#REF!</v>
      </c>
      <c r="I18" s="341"/>
      <c r="J18" s="163" t="e">
        <f>PLANTILLA!#REF!</f>
        <v>#REF!</v>
      </c>
      <c r="K18" s="163" t="e">
        <f>PLANTILLA!#REF!</f>
        <v>#REF!</v>
      </c>
      <c r="L18" s="163" t="e">
        <f>PLANTILLA!#REF!</f>
        <v>#REF!</v>
      </c>
      <c r="M18" s="163" t="e">
        <f>PLANTILLA!#REF!</f>
        <v>#REF!</v>
      </c>
      <c r="N18" s="163" t="e">
        <f>PLANTILLA!#REF!</f>
        <v>#REF!</v>
      </c>
      <c r="O18" s="163" t="e">
        <f>PLANTILLA!#REF!</f>
        <v>#REF!</v>
      </c>
      <c r="P18" s="163" t="e">
        <f>PLANTILLA!#REF!</f>
        <v>#REF!</v>
      </c>
      <c r="Q18" s="163" t="e">
        <f t="shared" si="57"/>
        <v>#REF!</v>
      </c>
      <c r="R18" s="163" t="e">
        <f t="shared" si="58"/>
        <v>#REF!</v>
      </c>
      <c r="S18" s="163" t="e">
        <f t="shared" si="59"/>
        <v>#REF!</v>
      </c>
      <c r="T18" s="163" t="e">
        <f t="shared" si="60"/>
        <v>#REF!</v>
      </c>
      <c r="U18" s="163" t="e">
        <f t="shared" ca="1" si="0"/>
        <v>#REF!</v>
      </c>
      <c r="V18" s="159" t="e">
        <f t="shared" si="1"/>
        <v>#REF!</v>
      </c>
      <c r="W18" s="159" t="e">
        <f t="shared" si="2"/>
        <v>#REF!</v>
      </c>
      <c r="X18" s="159" t="e">
        <f t="shared" si="61"/>
        <v>#REF!</v>
      </c>
      <c r="Y18" s="159" t="e">
        <f t="shared" si="3"/>
        <v>#REF!</v>
      </c>
      <c r="Z18" s="159" t="e">
        <f t="shared" si="4"/>
        <v>#REF!</v>
      </c>
      <c r="AA18" s="159" t="e">
        <f t="shared" si="62"/>
        <v>#REF!</v>
      </c>
      <c r="AB18" s="159" t="e">
        <f t="shared" si="5"/>
        <v>#REF!</v>
      </c>
      <c r="AC18" s="159" t="e">
        <f t="shared" si="6"/>
        <v>#REF!</v>
      </c>
      <c r="AD18" s="159" t="e">
        <f t="shared" si="7"/>
        <v>#REF!</v>
      </c>
      <c r="AE18" s="159" t="e">
        <f t="shared" si="63"/>
        <v>#REF!</v>
      </c>
      <c r="AF18" s="159" t="e">
        <f t="shared" si="8"/>
        <v>#REF!</v>
      </c>
      <c r="AG18" s="357" t="e">
        <f t="shared" si="9"/>
        <v>#REF!</v>
      </c>
      <c r="AH18" s="159" t="e">
        <f t="shared" si="10"/>
        <v>#REF!</v>
      </c>
      <c r="AI18" s="159" t="e">
        <f t="shared" si="11"/>
        <v>#REF!</v>
      </c>
      <c r="AJ18" s="357" t="e">
        <f t="shared" si="12"/>
        <v>#REF!</v>
      </c>
      <c r="AK18" s="159" t="e">
        <f t="shared" si="13"/>
        <v>#REF!</v>
      </c>
      <c r="AL18" s="159" t="e">
        <f t="shared" si="14"/>
        <v>#REF!</v>
      </c>
      <c r="AM18" s="159" t="e">
        <f t="shared" si="15"/>
        <v>#REF!</v>
      </c>
      <c r="AN18" s="159" t="e">
        <f t="shared" si="16"/>
        <v>#REF!</v>
      </c>
      <c r="AO18" s="159" t="e">
        <f t="shared" si="17"/>
        <v>#REF!</v>
      </c>
      <c r="AP18" s="159" t="e">
        <f t="shared" si="18"/>
        <v>#REF!</v>
      </c>
      <c r="AQ18" s="159" t="e">
        <f t="shared" si="64"/>
        <v>#REF!</v>
      </c>
      <c r="AR18" s="159" t="e">
        <f t="shared" si="19"/>
        <v>#REF!</v>
      </c>
      <c r="AS18" s="159" t="e">
        <f t="shared" si="20"/>
        <v>#REF!</v>
      </c>
      <c r="AT18" s="159" t="e">
        <f t="shared" si="21"/>
        <v>#REF!</v>
      </c>
      <c r="AU18" s="159" t="e">
        <f t="shared" si="65"/>
        <v>#REF!</v>
      </c>
      <c r="AV18" s="159" t="e">
        <f t="shared" si="22"/>
        <v>#REF!</v>
      </c>
      <c r="AW18" s="159" t="e">
        <f t="shared" si="23"/>
        <v>#REF!</v>
      </c>
      <c r="AX18" s="159" t="e">
        <f t="shared" si="66"/>
        <v>#REF!</v>
      </c>
      <c r="AY18" s="159" t="e">
        <f t="shared" si="24"/>
        <v>#REF!</v>
      </c>
      <c r="AZ18" s="159" t="e">
        <f t="shared" si="25"/>
        <v>#REF!</v>
      </c>
      <c r="BA18" s="159" t="e">
        <f t="shared" si="26"/>
        <v>#REF!</v>
      </c>
      <c r="BB18" s="159" t="e">
        <f t="shared" si="67"/>
        <v>#REF!</v>
      </c>
      <c r="BC18" s="159" t="e">
        <f t="shared" si="27"/>
        <v>#REF!</v>
      </c>
      <c r="BD18" s="159" t="e">
        <f t="shared" si="28"/>
        <v>#REF!</v>
      </c>
      <c r="BE18" s="159" t="e">
        <f t="shared" si="29"/>
        <v>#REF!</v>
      </c>
      <c r="BF18" s="159" t="e">
        <f t="shared" si="30"/>
        <v>#REF!</v>
      </c>
      <c r="BG18" s="159" t="e">
        <f t="shared" si="31"/>
        <v>#REF!</v>
      </c>
      <c r="BH18" s="159" t="e">
        <f t="shared" si="32"/>
        <v>#REF!</v>
      </c>
      <c r="BI18" s="159" t="e">
        <f t="shared" si="33"/>
        <v>#REF!</v>
      </c>
      <c r="BJ18" s="159" t="e">
        <f t="shared" si="34"/>
        <v>#REF!</v>
      </c>
      <c r="BK18" s="159" t="e">
        <f t="shared" si="35"/>
        <v>#REF!</v>
      </c>
      <c r="BL18" s="159" t="e">
        <f t="shared" si="36"/>
        <v>#REF!</v>
      </c>
      <c r="BM18" s="159" t="e">
        <f t="shared" si="37"/>
        <v>#REF!</v>
      </c>
      <c r="BN18" s="159" t="e">
        <f t="shared" si="38"/>
        <v>#REF!</v>
      </c>
      <c r="BO18" s="159" t="e">
        <f t="shared" si="39"/>
        <v>#REF!</v>
      </c>
      <c r="BP18" s="159" t="e">
        <f t="shared" si="40"/>
        <v>#REF!</v>
      </c>
      <c r="BQ18" s="159" t="e">
        <f t="shared" si="41"/>
        <v>#REF!</v>
      </c>
      <c r="BR18" s="159" t="e">
        <f t="shared" si="42"/>
        <v>#REF!</v>
      </c>
      <c r="BS18" s="159" t="e">
        <f t="shared" si="43"/>
        <v>#REF!</v>
      </c>
      <c r="BT18" s="159" t="e">
        <f t="shared" si="44"/>
        <v>#REF!</v>
      </c>
      <c r="BU18" s="159" t="e">
        <f t="shared" si="45"/>
        <v>#REF!</v>
      </c>
      <c r="BV18" s="159" t="e">
        <f t="shared" si="46"/>
        <v>#REF!</v>
      </c>
      <c r="BW18" s="159" t="e">
        <f t="shared" si="47"/>
        <v>#REF!</v>
      </c>
      <c r="BX18" s="159" t="e">
        <f t="shared" si="48"/>
        <v>#REF!</v>
      </c>
      <c r="BY18" s="159" t="e">
        <f t="shared" si="49"/>
        <v>#REF!</v>
      </c>
      <c r="BZ18" s="159" t="e">
        <f t="shared" si="50"/>
        <v>#REF!</v>
      </c>
      <c r="CA18" s="159" t="e">
        <f t="shared" si="51"/>
        <v>#REF!</v>
      </c>
      <c r="CB18" s="159" t="e">
        <f t="shared" si="52"/>
        <v>#REF!</v>
      </c>
      <c r="CC18" s="159" t="e">
        <f t="shared" si="53"/>
        <v>#REF!</v>
      </c>
      <c r="CD18" s="159" t="e">
        <f t="shared" si="54"/>
        <v>#REF!</v>
      </c>
      <c r="CE18" s="159" t="e">
        <f t="shared" si="68"/>
        <v>#REF!</v>
      </c>
      <c r="CF18" s="159" t="e">
        <f t="shared" si="55"/>
        <v>#REF!</v>
      </c>
      <c r="CG18" s="159" t="e">
        <f t="shared" si="56"/>
        <v>#REF!</v>
      </c>
      <c r="CH18" s="159" t="e">
        <f t="shared" si="69"/>
        <v>#REF!</v>
      </c>
      <c r="CI18" s="159" t="e">
        <f t="shared" si="70"/>
        <v>#REF!</v>
      </c>
    </row>
    <row r="19" spans="1:87" x14ac:dyDescent="0.25">
      <c r="A19" t="str">
        <f>PLANTILLA!D20</f>
        <v>G. Kerschl</v>
      </c>
      <c r="B19" t="s">
        <v>854</v>
      </c>
      <c r="C19" s="668">
        <f>PLANTILLA!E20</f>
        <v>30</v>
      </c>
      <c r="D19" s="668">
        <f ca="1">PLANTILLA!F20</f>
        <v>60</v>
      </c>
      <c r="E19" s="668" t="str">
        <f>PLANTILLA!G20</f>
        <v>CAB</v>
      </c>
      <c r="F19" s="290">
        <v>43060</v>
      </c>
      <c r="G19" s="496">
        <v>2.5</v>
      </c>
      <c r="H19" s="497">
        <f>PLANTILLA!I20</f>
        <v>10.3</v>
      </c>
      <c r="I19" s="341"/>
      <c r="J19" s="163">
        <f>PLANTILLA!X20</f>
        <v>0</v>
      </c>
      <c r="K19" s="163">
        <f>PLANTILLA!Y20</f>
        <v>3</v>
      </c>
      <c r="L19" s="163">
        <f>PLANTILLA!Z20</f>
        <v>15.07</v>
      </c>
      <c r="M19" s="163">
        <f>PLANTILLA!AA20</f>
        <v>12.02</v>
      </c>
      <c r="N19" s="163">
        <f>PLANTILLA!AB20</f>
        <v>13</v>
      </c>
      <c r="O19" s="163">
        <f>PLANTILLA!AC20</f>
        <v>7.95</v>
      </c>
      <c r="P19" s="163">
        <f>PLANTILLA!AD20</f>
        <v>5</v>
      </c>
      <c r="Q19" s="163">
        <f t="shared" ref="Q19" si="71">((2*(N19+1))+(K19+1))/8</f>
        <v>4</v>
      </c>
      <c r="R19" s="163">
        <f t="shared" ref="R19" si="72">1.66*(O19+(LOG(H19)*4/3)+G19)+0.55*(P19+(LOG(H19)*4/3)+G19)-7.6</f>
        <v>16.856493688797912</v>
      </c>
      <c r="S19" s="163">
        <f t="shared" ref="S19" si="73">(0.5*O19+ 0.3*P19)/10</f>
        <v>0.54749999999999999</v>
      </c>
      <c r="T19" s="163">
        <f t="shared" ref="T19" si="74">(0.4*K19+0.3*P19)/10</f>
        <v>0.27</v>
      </c>
      <c r="U19" s="163">
        <f t="shared" ref="U19" ca="1" si="75">IF(TODAY()-F19&gt;335,(P19+1+(LOG(H19)*4/3)),(P19+((TODAY()-F19)^0.5)/(336^0.5)+(LOG(H19)*4/3)))</f>
        <v>7.174204103988143</v>
      </c>
      <c r="V19" s="159">
        <f t="shared" ref="V19" si="76">((J19+G19+(LOG(H19)*4/3))*0.597)+((K19+G19+(LOG(H19)*4/3))*0.276)</f>
        <v>4.1894425295568203</v>
      </c>
      <c r="W19" s="159">
        <f t="shared" ref="W19" si="77">((J19+G19+(LOG(H19)*4/3))*0.866)+((K19+G19+(LOG(H19)*4/3))*0.425)</f>
        <v>6.2459304761258361</v>
      </c>
      <c r="X19" s="159">
        <f t="shared" ref="X19" si="78">V19</f>
        <v>4.1894425295568203</v>
      </c>
      <c r="Y19" s="159">
        <f t="shared" ref="Y19" si="79">((K19+G19+(LOG(H19)*4/3))*0.516)</f>
        <v>3.5348320105971585</v>
      </c>
      <c r="Z19" s="159">
        <f t="shared" ref="Z19" si="80">(K19+G19+(LOG(H19)*4/3))*1</f>
        <v>6.8504496329402293</v>
      </c>
      <c r="AA19" s="159">
        <f t="shared" ref="AA19" si="81">Y19/2</f>
        <v>1.7674160052985792</v>
      </c>
      <c r="AB19" s="159">
        <f t="shared" ref="AB19" si="82">(L19+G19+(LOG(H19)*4/3))*0.238</f>
        <v>4.5030670126397743</v>
      </c>
      <c r="AC19" s="159">
        <f t="shared" ref="AC19" si="83">((K19+G19+(LOG(H19)*4/3))*0.378)</f>
        <v>2.5894699612514067</v>
      </c>
      <c r="AD19" s="159">
        <f t="shared" ref="AD19" si="84">(K19+G19+(LOG(H19)*4/3))*0.723</f>
        <v>4.9528750846157861</v>
      </c>
      <c r="AE19" s="159">
        <f t="shared" ref="AE19" si="85">AC19/2</f>
        <v>1.2947349806257034</v>
      </c>
      <c r="AF19" s="159">
        <f t="shared" ref="AF19" si="86">(L19+G19+(LOG(H19)*4/3))*0.385</f>
        <v>7.2843731086819883</v>
      </c>
      <c r="AG19" s="357">
        <f t="shared" ref="AG19" si="87">((K19+G19+(LOG(H19)*4/3))*0.92)</f>
        <v>6.3024136623050113</v>
      </c>
      <c r="AH19" s="159">
        <f t="shared" ref="AH19" si="88">(K19+G19+(LOG(H19)*4/3))*0.414</f>
        <v>2.8360861480372548</v>
      </c>
      <c r="AI19" s="159">
        <f t="shared" ref="AI19" si="89">((L19+G19+(LOG(H19)*4/3))*0.167)</f>
        <v>3.1597150887010184</v>
      </c>
      <c r="AJ19" s="357">
        <f t="shared" ref="AJ19" si="90">(M19+G19+(LOG(H19)*4/3))*0.588</f>
        <v>9.3318243841688542</v>
      </c>
      <c r="AK19" s="159">
        <f t="shared" ref="AK19" si="91">((K19+G19+(LOG(H19)*4/3))*0.754)</f>
        <v>5.165239023236933</v>
      </c>
      <c r="AL19" s="159">
        <f t="shared" ref="AL19" si="92">((K19+G19+(LOG(H19)*4/3))*0.708)</f>
        <v>4.8501183401216821</v>
      </c>
      <c r="AM19" s="159">
        <f t="shared" ref="AM19" si="93">((P19+G19+(LOG(H19)*4/3))*0.167)</f>
        <v>1.4780250887010185</v>
      </c>
      <c r="AN19" s="159">
        <f t="shared" ref="AN19" si="94">((Q19+G19+(LOG(H19)*4/3))*0.288)</f>
        <v>2.2609294942867857</v>
      </c>
      <c r="AO19" s="159">
        <f t="shared" ref="AO19" si="95">((K19+G19+(LOG(H19)*4/3))*0.27)</f>
        <v>1.8496214008938621</v>
      </c>
      <c r="AP19" s="159">
        <f t="shared" ref="AP19" si="96">((K19+G19+(LOG(H19)*4/3))*0.594)</f>
        <v>4.069167081966496</v>
      </c>
      <c r="AQ19" s="159">
        <f t="shared" ref="AQ19" si="97">AO19/2</f>
        <v>0.92481070044693103</v>
      </c>
      <c r="AR19" s="159">
        <f t="shared" ref="AR19" si="98">((L19+G19+(LOG(H19)*4/3))*0.944)</f>
        <v>17.860904453495575</v>
      </c>
      <c r="AS19" s="159">
        <f t="shared" ref="AS19" si="99">((N19+G19+(LOG(H19)*4/3))*0.13)</f>
        <v>2.1905584522822297</v>
      </c>
      <c r="AT19" s="159">
        <f t="shared" ref="AT19" si="100">((O19+G19+(LOG(H19)*4/3))*0.173)+((N19+G19+(LOG(H19)*4/3))*0.12)</f>
        <v>4.0635317424514872</v>
      </c>
      <c r="AU19" s="159">
        <f t="shared" ref="AU19" si="101">AS19/2</f>
        <v>1.0952792261411148</v>
      </c>
      <c r="AV19" s="159">
        <f t="shared" ref="AV19" si="102">((K19+G19+(LOG(H19)*4/3))*0.189)</f>
        <v>1.2947349806257034</v>
      </c>
      <c r="AW19" s="159">
        <f t="shared" ref="AW19" si="103">((K19+G19+(LOG(H19)*4/3))*0.4)</f>
        <v>2.7401798531760919</v>
      </c>
      <c r="AX19" s="159">
        <f t="shared" ref="AX19" si="104">AV19/2</f>
        <v>0.64736749031285168</v>
      </c>
      <c r="AY19" s="159">
        <f t="shared" ref="AY19" si="105">((L19+G19+(LOG(H19)*4/3))*1)</f>
        <v>18.92044963294023</v>
      </c>
      <c r="AZ19" s="159">
        <f t="shared" ref="AZ19" si="106">((N19+G19+(LOG(H19)*4/3))*0.253)</f>
        <v>4.2631637571338779</v>
      </c>
      <c r="BA19" s="159">
        <f t="shared" ref="BA19" si="107">((O19+G19+(LOG(H19)*4/3))*0.21)+((N19+G19+(LOG(H19)*4/3))*0.341)</f>
        <v>8.2240977477500667</v>
      </c>
      <c r="BB19" s="159">
        <f t="shared" ref="BB19" si="108">AZ19/2</f>
        <v>2.1315818785669389</v>
      </c>
      <c r="BC19" s="159">
        <f t="shared" ref="BC19" si="109">((K19+G19+(LOG(H19)*4/3))*0.291)</f>
        <v>1.9934808431856066</v>
      </c>
      <c r="BD19" s="159">
        <f t="shared" ref="BD19" si="110">((K19+G19+(LOG(H19)*4/3))*0.348)</f>
        <v>2.3839564722631996</v>
      </c>
      <c r="BE19" s="159">
        <f t="shared" ref="BE19" si="111">((L19+G19+(LOG(H19)*4/3))*0.881)</f>
        <v>16.668916126620342</v>
      </c>
      <c r="BF19" s="159">
        <f t="shared" ref="BF19" si="112">((M19+G19+(LOG(H19)*4/3))*0.574)+((N19+G19+(LOG(H19)*4/3))*0.315)</f>
        <v>14.417529723683863</v>
      </c>
      <c r="BG19" s="159">
        <f t="shared" ref="BG19" si="113">((N19+G19+(LOG(H19)*4/3))*0.241)</f>
        <v>4.0609583615385949</v>
      </c>
      <c r="BH19" s="159">
        <f t="shared" ref="BH19" si="114">((K19+G19+(LOG(H19)*4/3))*0.485)</f>
        <v>3.3224680719760111</v>
      </c>
      <c r="BI19" s="159">
        <f t="shared" ref="BI19" si="115">((K19+G19+(LOG(H19)*4/3))*0.264)</f>
        <v>1.8085187030962206</v>
      </c>
      <c r="BJ19" s="159">
        <f t="shared" ref="BJ19" si="116">((L19+G19+(LOG(H19)*4/3))*0.381)</f>
        <v>7.2086913101502272</v>
      </c>
      <c r="BK19" s="159">
        <f t="shared" ref="BK19" si="117">((M19+G19+(LOG(H19)*4/3))*0.673)+((N19+G19+(LOG(H19)*4/3))*0.201)</f>
        <v>14.067752979189761</v>
      </c>
      <c r="BL19" s="159">
        <f t="shared" ref="BL19" si="118">((N19+G19+(LOG(H19)*4/3))*0.052)</f>
        <v>0.87622338091289187</v>
      </c>
      <c r="BM19" s="159">
        <f t="shared" ref="BM19" si="119">((K19+G19+(LOG(H19)*4/3))*0.18)</f>
        <v>1.2330809339292412</v>
      </c>
      <c r="BN19" s="159">
        <f t="shared" ref="BN19" si="120">(K19+G19+(LOG(H19)*4/3))*0.068</f>
        <v>0.46583057503993563</v>
      </c>
      <c r="BO19" s="159">
        <f t="shared" ref="BO19" si="121">((L19+G19+(LOG(H19)*4/3))*0.305)</f>
        <v>5.77073713804677</v>
      </c>
      <c r="BP19" s="159">
        <f t="shared" ref="BP19" si="122">((M19+G19+(LOG(H19)*4/3))*1)+((N19+G19+(LOG(H19)*4/3))*0.286)</f>
        <v>20.689678227961135</v>
      </c>
      <c r="BQ19" s="159">
        <f t="shared" ref="BQ19" si="123">((N19+G19+(LOG(H19)*4/3))*0.135)</f>
        <v>2.2748107004469311</v>
      </c>
      <c r="BR19" s="159">
        <f t="shared" ref="BR19" si="124">((K19+G19+(LOG(H19)*4/3))*0.284)</f>
        <v>1.9455276957550249</v>
      </c>
      <c r="BS19" s="159">
        <f t="shared" ref="BS19" si="125">(K19+G19+(LOG(H19)*4/3))*0.244</f>
        <v>1.6715097104374159</v>
      </c>
      <c r="BT19" s="159">
        <f t="shared" ref="BT19" si="126">((L19+G19+(LOG(H19)*4/3))*0.455)</f>
        <v>8.6088045829878048</v>
      </c>
      <c r="BU19" s="159">
        <f t="shared" ref="BU19" si="127">((M19+G19+(LOG(H19)*4/3))*0.864)+((N19+G19+(LOG(H19)*4/3))*0.244)</f>
        <v>17.823578193297774</v>
      </c>
      <c r="BV19" s="159">
        <f t="shared" ref="BV19" si="128">((N19+G19+(LOG(H19)*4/3))*0.121)</f>
        <v>2.0389044055857677</v>
      </c>
      <c r="BW19" s="159">
        <f t="shared" ref="BW19" si="129">((K19+G19+(LOG(H19)*4/3))*0.284)</f>
        <v>1.9455276957550249</v>
      </c>
      <c r="BX19" s="159">
        <f t="shared" ref="BX19" si="130">((K19+G19+(LOG(H19)*4/3))*0.244)</f>
        <v>1.6715097104374159</v>
      </c>
      <c r="BY19" s="159">
        <f t="shared" ref="BY19" si="131">((L19+G19+(LOG(H19)*4/3))*0.631)</f>
        <v>11.938803718385286</v>
      </c>
      <c r="BZ19" s="159">
        <f t="shared" ref="BZ19" si="132">((M19+G19+(LOG(H19)*4/3))*0.702)+((N19+G19+(LOG(H19)*4/3))*0.193)</f>
        <v>14.393192421481505</v>
      </c>
      <c r="CA19" s="159">
        <f t="shared" ref="CA19" si="133">((N19+G19+(LOG(H19)*4/3))*0.148)</f>
        <v>2.4938665456751536</v>
      </c>
      <c r="CB19" s="159">
        <f t="shared" ref="CB19" si="134">((L19+G19+(LOG(H19)*4/3))*0.406)</f>
        <v>7.6817025509737338</v>
      </c>
      <c r="CC19" s="159">
        <f t="shared" ref="CC19" si="135">IF(E19="TEC",((M19+G19+(LOG(H19)*4/3))*0.15)+((N19+G19+(LOG(H19)*4/3))*0.324)+((O19+G19+(LOG(H19)*4/3))*0.127),(((M19+G19+(LOG(H19)*4/3))*0.144)+((N19+G19+(LOG(H19)*4/3))*0.25)+((O19+G19+(LOG(H19)*4/3))*0.127)))</f>
        <v>7.9966142587618592</v>
      </c>
      <c r="CD19" s="159">
        <f t="shared" ref="CD19" si="136">((N19+G19+(LOG(H19)*4/3))*0.543)+((O19+G19+(LOG(H19)*4/3))*0.583)</f>
        <v>16.029456286690699</v>
      </c>
      <c r="CE19" s="159">
        <f t="shared" ref="CE19" si="137">CC19</f>
        <v>7.9966142587618592</v>
      </c>
      <c r="CF19" s="159">
        <f t="shared" ref="CF19" si="138">((O19+1+(LOG(H19)*4/3))*0.26)+((M19+G19+(LOG(H19)*4/3))*0.221)+((N19+G19+(LOG(H19)*4/3))*0.142)</f>
        <v>8.5782501213217621</v>
      </c>
      <c r="CG19" s="159">
        <f t="shared" ref="CG19" si="139">((O19+G19+(LOG(H19)*4/3))*1)+((N19+G19+(LOG(H19)*4/3))*0.369)</f>
        <v>18.018265547495172</v>
      </c>
      <c r="CH19" s="159">
        <f t="shared" ref="CH19" si="140">CF19</f>
        <v>8.5782501213217621</v>
      </c>
      <c r="CI19" s="159">
        <f t="shared" ref="CI19" si="141">((L19+G19+(LOG(H19)*4/3))*0.25)</f>
        <v>4.7301124082350574</v>
      </c>
    </row>
    <row r="20" spans="1:87" x14ac:dyDescent="0.25">
      <c r="A20" t="str">
        <f>PLANTILLA!D21</f>
        <v>J. Limon</v>
      </c>
      <c r="B20" t="s">
        <v>854</v>
      </c>
      <c r="C20" s="632">
        <f>PLANTILLA!E21</f>
        <v>31</v>
      </c>
      <c r="D20" s="632">
        <f ca="1">PLANTILLA!F21</f>
        <v>70</v>
      </c>
      <c r="E20" s="632" t="str">
        <f>PLANTILLA!G21</f>
        <v>RAP</v>
      </c>
      <c r="F20" s="290">
        <v>41664</v>
      </c>
      <c r="G20" s="496">
        <v>1.5</v>
      </c>
      <c r="H20" s="497">
        <f>PLANTILLA!I21</f>
        <v>11.8</v>
      </c>
      <c r="I20" s="341"/>
      <c r="J20" s="163">
        <f>PLANTILLA!X21</f>
        <v>0</v>
      </c>
      <c r="K20" s="163">
        <f>PLANTILLA!Y21</f>
        <v>6.8376190476190493</v>
      </c>
      <c r="L20" s="163">
        <f>PLANTILLA!Z21</f>
        <v>8.9499999999999993</v>
      </c>
      <c r="M20" s="163">
        <f>PLANTILLA!AA21</f>
        <v>8.7399999999999967</v>
      </c>
      <c r="N20" s="163">
        <f>PLANTILLA!AB21</f>
        <v>10</v>
      </c>
      <c r="O20" s="163">
        <f>PLANTILLA!AC21</f>
        <v>8.5625000000000018</v>
      </c>
      <c r="P20" s="163">
        <f>PLANTILLA!AD21</f>
        <v>18.999999999999993</v>
      </c>
      <c r="Q20" s="163">
        <f t="shared" si="57"/>
        <v>3.7297023809523813</v>
      </c>
      <c r="R20" s="163">
        <f t="shared" si="58"/>
        <v>23.537228981528713</v>
      </c>
      <c r="S20" s="163">
        <f t="shared" si="59"/>
        <v>0.99812499999999993</v>
      </c>
      <c r="T20" s="163">
        <f t="shared" si="60"/>
        <v>0.84350476190476176</v>
      </c>
      <c r="U20" s="163">
        <f t="shared" ca="1" si="0"/>
        <v>21.429176009741493</v>
      </c>
      <c r="V20" s="159">
        <f t="shared" si="1"/>
        <v>4.4443535136471883</v>
      </c>
      <c r="W20" s="159">
        <f t="shared" si="2"/>
        <v>6.687554323814374</v>
      </c>
      <c r="X20" s="159">
        <f t="shared" si="61"/>
        <v>4.4443535136471883</v>
      </c>
      <c r="Y20" s="159">
        <f t="shared" si="3"/>
        <v>5.039666249598044</v>
      </c>
      <c r="Z20" s="159">
        <f t="shared" si="4"/>
        <v>9.7667950573605502</v>
      </c>
      <c r="AA20" s="159">
        <f t="shared" si="62"/>
        <v>2.519833124799022</v>
      </c>
      <c r="AB20" s="159">
        <f t="shared" si="5"/>
        <v>2.8272438903184769</v>
      </c>
      <c r="AC20" s="159">
        <f t="shared" si="6"/>
        <v>3.6918485316822882</v>
      </c>
      <c r="AD20" s="159">
        <f t="shared" si="7"/>
        <v>7.0613928264716774</v>
      </c>
      <c r="AE20" s="159">
        <f t="shared" si="63"/>
        <v>1.8459242658411441</v>
      </c>
      <c r="AF20" s="159">
        <f t="shared" si="8"/>
        <v>4.5734827637504774</v>
      </c>
      <c r="AG20" s="357">
        <f t="shared" si="9"/>
        <v>8.9854514527717058</v>
      </c>
      <c r="AH20" s="159">
        <f t="shared" si="10"/>
        <v>4.0434531537472678</v>
      </c>
      <c r="AI20" s="159">
        <f t="shared" si="11"/>
        <v>1.9838223936268304</v>
      </c>
      <c r="AJ20" s="357">
        <f t="shared" si="12"/>
        <v>6.8614754937279994</v>
      </c>
      <c r="AK20" s="159">
        <f t="shared" si="13"/>
        <v>7.3641634732498549</v>
      </c>
      <c r="AL20" s="159">
        <f t="shared" si="14"/>
        <v>6.9148909006112689</v>
      </c>
      <c r="AM20" s="159">
        <f t="shared" si="15"/>
        <v>3.6621723936268293</v>
      </c>
      <c r="AN20" s="159">
        <f t="shared" si="16"/>
        <v>1.9177569765198379</v>
      </c>
      <c r="AO20" s="159">
        <f t="shared" si="17"/>
        <v>2.6370346654873487</v>
      </c>
      <c r="AP20" s="159">
        <f t="shared" si="18"/>
        <v>5.8014762640721669</v>
      </c>
      <c r="AQ20" s="159">
        <f t="shared" si="64"/>
        <v>1.3185173327436743</v>
      </c>
      <c r="AR20" s="159">
        <f t="shared" si="19"/>
        <v>11.213942153195974</v>
      </c>
      <c r="AS20" s="159">
        <f t="shared" si="20"/>
        <v>1.680792881266395</v>
      </c>
      <c r="AT20" s="159">
        <f t="shared" si="21"/>
        <v>3.5395610708542598</v>
      </c>
      <c r="AU20" s="159">
        <f t="shared" si="65"/>
        <v>0.84039644063319752</v>
      </c>
      <c r="AV20" s="357">
        <f t="shared" si="22"/>
        <v>1.8459242658411441</v>
      </c>
      <c r="AW20" s="357">
        <f t="shared" si="23"/>
        <v>3.9067180229442204</v>
      </c>
      <c r="AX20" s="357">
        <f t="shared" si="66"/>
        <v>0.92296213292057205</v>
      </c>
      <c r="AY20" s="357">
        <f t="shared" si="24"/>
        <v>11.879176009741499</v>
      </c>
      <c r="AZ20" s="357">
        <f t="shared" si="25"/>
        <v>3.2710815304645995</v>
      </c>
      <c r="BA20" s="357">
        <f t="shared" si="26"/>
        <v>6.8221009813675675</v>
      </c>
      <c r="BB20" s="357">
        <f t="shared" si="67"/>
        <v>1.6355407652322997</v>
      </c>
      <c r="BC20" s="357">
        <f t="shared" si="27"/>
        <v>2.8421373616919201</v>
      </c>
      <c r="BD20" s="357">
        <f t="shared" si="28"/>
        <v>3.3988446799614711</v>
      </c>
      <c r="BE20" s="357">
        <f t="shared" si="29"/>
        <v>10.46555406458226</v>
      </c>
      <c r="BF20" s="357">
        <f t="shared" si="30"/>
        <v>10.770797472660192</v>
      </c>
      <c r="BG20" s="357">
        <f t="shared" si="31"/>
        <v>3.1159314183477016</v>
      </c>
      <c r="BH20" s="357">
        <f t="shared" si="32"/>
        <v>4.7368956028198665</v>
      </c>
      <c r="BI20" s="357">
        <f t="shared" si="33"/>
        <v>2.5784338951431853</v>
      </c>
      <c r="BJ20" s="357">
        <f t="shared" si="34"/>
        <v>4.5259660597115117</v>
      </c>
      <c r="BK20" s="357">
        <f t="shared" si="35"/>
        <v>10.45211983251407</v>
      </c>
      <c r="BL20" s="357">
        <f t="shared" si="36"/>
        <v>0.67231715250655799</v>
      </c>
      <c r="BM20" s="357">
        <f t="shared" si="37"/>
        <v>1.7580231103248989</v>
      </c>
      <c r="BN20" s="357">
        <f t="shared" si="38"/>
        <v>0.66414206390051744</v>
      </c>
      <c r="BO20" s="357">
        <f t="shared" si="39"/>
        <v>3.6231486829711574</v>
      </c>
      <c r="BP20" s="357">
        <f t="shared" si="40"/>
        <v>15.366920348527564</v>
      </c>
      <c r="BQ20" s="357">
        <f t="shared" si="41"/>
        <v>1.7454387613151026</v>
      </c>
      <c r="BR20" s="357">
        <f t="shared" si="42"/>
        <v>2.773769796290396</v>
      </c>
      <c r="BS20" s="357">
        <f t="shared" si="43"/>
        <v>2.3830979939959742</v>
      </c>
      <c r="BT20" s="357">
        <f t="shared" si="44"/>
        <v>5.4050250844323822</v>
      </c>
      <c r="BU20" s="357">
        <f t="shared" si="45"/>
        <v>13.236887018793579</v>
      </c>
      <c r="BV20" s="357">
        <f t="shared" si="46"/>
        <v>1.5644302971787214</v>
      </c>
      <c r="BW20" s="357">
        <f t="shared" si="47"/>
        <v>2.773769796290396</v>
      </c>
      <c r="BX20" s="357">
        <f t="shared" si="48"/>
        <v>2.3830979939959742</v>
      </c>
      <c r="BY20" s="357">
        <f t="shared" si="49"/>
        <v>7.4957600621468865</v>
      </c>
      <c r="BZ20" s="357">
        <f t="shared" si="50"/>
        <v>10.68709252871864</v>
      </c>
      <c r="CA20" s="357">
        <f t="shared" si="51"/>
        <v>1.9135180494417419</v>
      </c>
      <c r="CB20" s="357">
        <f t="shared" si="52"/>
        <v>4.822945459955049</v>
      </c>
      <c r="CC20" s="357">
        <f t="shared" si="53"/>
        <v>6.3720982010753211</v>
      </c>
      <c r="CD20" s="357">
        <f t="shared" si="54"/>
        <v>13.720189686968929</v>
      </c>
      <c r="CE20" s="357">
        <f t="shared" si="68"/>
        <v>6.3720982010753211</v>
      </c>
      <c r="CF20" s="357">
        <f t="shared" si="55"/>
        <v>7.2726666540689546</v>
      </c>
      <c r="CG20" s="357">
        <f t="shared" si="56"/>
        <v>16.262541957336115</v>
      </c>
      <c r="CH20" s="357">
        <f t="shared" si="69"/>
        <v>7.2726666540689546</v>
      </c>
      <c r="CI20" s="357">
        <f t="shared" si="70"/>
        <v>2.9697940024353748</v>
      </c>
    </row>
    <row r="21" spans="1:87" x14ac:dyDescent="0.25">
      <c r="A21" t="str">
        <f>PLANTILLA!D22</f>
        <v>L. Calosso</v>
      </c>
      <c r="C21" s="632">
        <f>PLANTILLA!E22</f>
        <v>32</v>
      </c>
      <c r="D21" s="632">
        <f ca="1">PLANTILLA!F22</f>
        <v>27</v>
      </c>
      <c r="E21" s="632" t="str">
        <f>PLANTILLA!G22</f>
        <v>TEC</v>
      </c>
      <c r="F21" s="290">
        <v>41890</v>
      </c>
      <c r="G21" s="496">
        <v>1</v>
      </c>
      <c r="H21" s="497">
        <f>PLANTILLA!I22</f>
        <v>12.1</v>
      </c>
      <c r="I21" s="341"/>
      <c r="J21" s="163">
        <f>PLANTILLA!X22</f>
        <v>0</v>
      </c>
      <c r="K21" s="163">
        <f>PLANTILLA!Y22</f>
        <v>3.02</v>
      </c>
      <c r="L21" s="163">
        <f>PLANTILLA!Z22</f>
        <v>14.277609523809524</v>
      </c>
      <c r="M21" s="163">
        <f>PLANTILLA!AA22</f>
        <v>3.04</v>
      </c>
      <c r="N21" s="163">
        <f>PLANTILLA!AB22</f>
        <v>15.02</v>
      </c>
      <c r="O21" s="163">
        <f>PLANTILLA!AC22</f>
        <v>9.9499999999999993</v>
      </c>
      <c r="P21" s="163">
        <f>PLANTILLA!AD22</f>
        <v>11</v>
      </c>
      <c r="Q21" s="163">
        <f t="shared" si="57"/>
        <v>4.5075000000000003</v>
      </c>
      <c r="R21" s="163">
        <f t="shared" si="58"/>
        <v>20.367607557865803</v>
      </c>
      <c r="S21" s="163">
        <f t="shared" si="59"/>
        <v>0.8274999999999999</v>
      </c>
      <c r="T21" s="163">
        <f t="shared" si="60"/>
        <v>0.45079999999999998</v>
      </c>
      <c r="U21" s="163">
        <f t="shared" ca="1" si="0"/>
        <v>13.443713827088601</v>
      </c>
      <c r="V21" s="159">
        <f t="shared" si="1"/>
        <v>2.9668821710483479</v>
      </c>
      <c r="W21" s="159">
        <f t="shared" si="2"/>
        <v>4.4383345507713825</v>
      </c>
      <c r="X21" s="159">
        <f t="shared" si="61"/>
        <v>2.9668821710483479</v>
      </c>
      <c r="Y21" s="159">
        <f t="shared" si="3"/>
        <v>2.8192763347777174</v>
      </c>
      <c r="Z21" s="159">
        <f t="shared" si="4"/>
        <v>5.4637138270885997</v>
      </c>
      <c r="AA21" s="159">
        <f t="shared" si="62"/>
        <v>1.4096381673888587</v>
      </c>
      <c r="AB21" s="159">
        <f t="shared" si="5"/>
        <v>3.9796749575137533</v>
      </c>
      <c r="AC21" s="159">
        <f t="shared" si="6"/>
        <v>2.0652838266394906</v>
      </c>
      <c r="AD21" s="159">
        <f t="shared" si="7"/>
        <v>3.9502650969850572</v>
      </c>
      <c r="AE21" s="159">
        <f t="shared" si="63"/>
        <v>1.0326419133197453</v>
      </c>
      <c r="AF21" s="159">
        <f t="shared" si="8"/>
        <v>6.4377094900957781</v>
      </c>
      <c r="AG21" s="357">
        <f t="shared" si="9"/>
        <v>5.0266167209215116</v>
      </c>
      <c r="AH21" s="159">
        <f t="shared" si="10"/>
        <v>2.26197752441468</v>
      </c>
      <c r="AI21" s="159">
        <f t="shared" si="11"/>
        <v>2.7924609995999869</v>
      </c>
      <c r="AJ21" s="357">
        <f t="shared" si="12"/>
        <v>3.2244237303280965</v>
      </c>
      <c r="AK21" s="159">
        <f t="shared" si="13"/>
        <v>4.1196402256248046</v>
      </c>
      <c r="AL21" s="159">
        <f t="shared" si="14"/>
        <v>3.8683093895787284</v>
      </c>
      <c r="AM21" s="159">
        <f t="shared" si="15"/>
        <v>2.2451002091237964</v>
      </c>
      <c r="AN21" s="159">
        <f t="shared" si="16"/>
        <v>2.0019495822015165</v>
      </c>
      <c r="AO21" s="159">
        <f t="shared" si="17"/>
        <v>1.4752027333139219</v>
      </c>
      <c r="AP21" s="159">
        <f t="shared" si="18"/>
        <v>3.245446013290628</v>
      </c>
      <c r="AQ21" s="159">
        <f t="shared" si="64"/>
        <v>0.73760136665696097</v>
      </c>
      <c r="AR21" s="159">
        <f t="shared" si="19"/>
        <v>15.784929243247829</v>
      </c>
      <c r="AS21" s="159">
        <f t="shared" si="20"/>
        <v>2.2702827975215181</v>
      </c>
      <c r="AT21" s="159">
        <f t="shared" si="21"/>
        <v>4.2397581513369591</v>
      </c>
      <c r="AU21" s="159">
        <f t="shared" si="65"/>
        <v>1.135141398760759</v>
      </c>
      <c r="AV21" s="357">
        <f t="shared" si="22"/>
        <v>1.0326419133197453</v>
      </c>
      <c r="AW21" s="357">
        <f t="shared" si="23"/>
        <v>2.1854855308354399</v>
      </c>
      <c r="AX21" s="357">
        <f t="shared" si="66"/>
        <v>0.51632095665987265</v>
      </c>
      <c r="AY21" s="357">
        <f t="shared" si="24"/>
        <v>16.721323350898125</v>
      </c>
      <c r="AZ21" s="357">
        <f t="shared" si="25"/>
        <v>4.418319598253416</v>
      </c>
      <c r="BA21" s="357">
        <f t="shared" si="26"/>
        <v>8.5578063187258202</v>
      </c>
      <c r="BB21" s="357">
        <f t="shared" si="67"/>
        <v>2.209159799126708</v>
      </c>
      <c r="BC21" s="357">
        <f t="shared" si="27"/>
        <v>1.5899407236827825</v>
      </c>
      <c r="BD21" s="357">
        <f t="shared" si="28"/>
        <v>1.9013724118268325</v>
      </c>
      <c r="BE21" s="357">
        <f t="shared" si="29"/>
        <v>14.731485872141247</v>
      </c>
      <c r="BF21" s="357">
        <f t="shared" si="30"/>
        <v>8.6487215922817668</v>
      </c>
      <c r="BG21" s="357">
        <f t="shared" si="31"/>
        <v>4.2087550323283525</v>
      </c>
      <c r="BH21" s="357">
        <f t="shared" si="32"/>
        <v>2.649901206137971</v>
      </c>
      <c r="BI21" s="357">
        <f t="shared" si="33"/>
        <v>1.4424204503513904</v>
      </c>
      <c r="BJ21" s="357">
        <f t="shared" si="34"/>
        <v>6.3708241966921859</v>
      </c>
      <c r="BK21" s="357">
        <f t="shared" si="35"/>
        <v>7.2007458848754364</v>
      </c>
      <c r="BL21" s="357">
        <f t="shared" si="36"/>
        <v>0.90811311900860714</v>
      </c>
      <c r="BM21" s="357">
        <f t="shared" si="37"/>
        <v>0.98346848887594795</v>
      </c>
      <c r="BN21" s="357">
        <f t="shared" si="38"/>
        <v>0.37153254024202481</v>
      </c>
      <c r="BO21" s="357">
        <f t="shared" si="39"/>
        <v>5.1000036220239275</v>
      </c>
      <c r="BP21" s="357">
        <f t="shared" si="40"/>
        <v>10.47833598163594</v>
      </c>
      <c r="BQ21" s="357">
        <f t="shared" si="41"/>
        <v>2.3576013666569611</v>
      </c>
      <c r="BR21" s="357">
        <f t="shared" si="42"/>
        <v>1.5516947268931622</v>
      </c>
      <c r="BS21" s="357">
        <f t="shared" si="43"/>
        <v>1.3331461738096182</v>
      </c>
      <c r="BT21" s="357">
        <f t="shared" si="44"/>
        <v>7.6082021246586473</v>
      </c>
      <c r="BU21" s="357">
        <f t="shared" si="45"/>
        <v>8.99907492041417</v>
      </c>
      <c r="BV21" s="357">
        <f t="shared" si="46"/>
        <v>2.1131093730777204</v>
      </c>
      <c r="BW21" s="357">
        <f t="shared" si="47"/>
        <v>1.5516947268931622</v>
      </c>
      <c r="BX21" s="357">
        <f t="shared" si="48"/>
        <v>1.3331461738096182</v>
      </c>
      <c r="BY21" s="357">
        <f t="shared" si="49"/>
        <v>10.551155034416716</v>
      </c>
      <c r="BZ21" s="357">
        <f t="shared" si="50"/>
        <v>7.2200638752442972</v>
      </c>
      <c r="CA21" s="357">
        <f t="shared" si="51"/>
        <v>2.584629646409113</v>
      </c>
      <c r="CB21" s="357">
        <f t="shared" si="52"/>
        <v>6.7888572804646392</v>
      </c>
      <c r="CC21" s="357">
        <f t="shared" si="53"/>
        <v>8.0548020100802482</v>
      </c>
      <c r="CD21" s="357">
        <f t="shared" si="54"/>
        <v>16.708331769301765</v>
      </c>
      <c r="CE21" s="357">
        <f t="shared" si="68"/>
        <v>8.0548020100802482</v>
      </c>
      <c r="CF21" s="357">
        <f t="shared" si="55"/>
        <v>6.9141137142761977</v>
      </c>
      <c r="CG21" s="357">
        <f t="shared" si="56"/>
        <v>18.837824229284294</v>
      </c>
      <c r="CH21" s="357">
        <f t="shared" si="69"/>
        <v>6.9141137142761977</v>
      </c>
      <c r="CI21" s="357">
        <f t="shared" si="70"/>
        <v>4.1803308377245312</v>
      </c>
    </row>
    <row r="22" spans="1:87" x14ac:dyDescent="0.25">
      <c r="A22" t="str">
        <f>PLANTILLA!D23</f>
        <v>P .Trivadi</v>
      </c>
      <c r="B22" t="s">
        <v>854</v>
      </c>
      <c r="C22" s="632">
        <f>PLANTILLA!E23</f>
        <v>28</v>
      </c>
      <c r="D22" s="632">
        <f ca="1">PLANTILLA!F23</f>
        <v>101</v>
      </c>
      <c r="E22" s="632"/>
      <c r="F22" s="290">
        <v>41973</v>
      </c>
      <c r="G22" s="496">
        <v>1.5</v>
      </c>
      <c r="H22" s="497">
        <f>PLANTILLA!I23</f>
        <v>5.8</v>
      </c>
      <c r="I22" s="341"/>
      <c r="J22" s="163">
        <f>PLANTILLA!X23</f>
        <v>0</v>
      </c>
      <c r="K22" s="163">
        <f>PLANTILLA!Y23</f>
        <v>4.0199999999999996</v>
      </c>
      <c r="L22" s="163">
        <f>PLANTILLA!Z23</f>
        <v>5.5738722222222199</v>
      </c>
      <c r="M22" s="163">
        <f>PLANTILLA!AA23</f>
        <v>5.5099999999999989</v>
      </c>
      <c r="N22" s="163">
        <f>PLANTILLA!AB23</f>
        <v>11</v>
      </c>
      <c r="O22" s="163">
        <f>PLANTILLA!AC23</f>
        <v>8.384500000000001</v>
      </c>
      <c r="P22" s="163">
        <f>PLANTILLA!AD23</f>
        <v>13.566666666666668</v>
      </c>
      <c r="Q22" s="163">
        <f t="shared" si="57"/>
        <v>3.6274999999999999</v>
      </c>
      <c r="R22" s="163">
        <f t="shared" si="58"/>
        <v>19.344504487698792</v>
      </c>
      <c r="S22" s="163">
        <f t="shared" si="59"/>
        <v>0.82622500000000021</v>
      </c>
      <c r="T22" s="163">
        <f t="shared" si="60"/>
        <v>0.56779999999999997</v>
      </c>
      <c r="U22" s="163">
        <f t="shared" ca="1" si="0"/>
        <v>15.584570658083917</v>
      </c>
      <c r="V22" s="159">
        <f t="shared" si="1"/>
        <v>3.3076501845072586</v>
      </c>
      <c r="W22" s="159">
        <f t="shared" si="2"/>
        <v>4.9591140529196682</v>
      </c>
      <c r="X22" s="159">
        <f t="shared" si="61"/>
        <v>3.3076501845072586</v>
      </c>
      <c r="Y22" s="159">
        <f t="shared" si="3"/>
        <v>3.3735584595713006</v>
      </c>
      <c r="Z22" s="159">
        <f t="shared" si="4"/>
        <v>6.5379039914172488</v>
      </c>
      <c r="AA22" s="159">
        <f t="shared" si="62"/>
        <v>1.6867792297856503</v>
      </c>
      <c r="AB22" s="159">
        <f t="shared" si="5"/>
        <v>1.9258427388461938</v>
      </c>
      <c r="AC22" s="159">
        <f t="shared" si="6"/>
        <v>2.4713277087557199</v>
      </c>
      <c r="AD22" s="159">
        <f t="shared" si="7"/>
        <v>4.7269045857946708</v>
      </c>
      <c r="AE22" s="159">
        <f t="shared" si="63"/>
        <v>1.23566385437786</v>
      </c>
      <c r="AF22" s="159">
        <f t="shared" si="8"/>
        <v>3.115333842251196</v>
      </c>
      <c r="AG22" s="357">
        <f t="shared" si="9"/>
        <v>6.0148716721038689</v>
      </c>
      <c r="AH22" s="159">
        <f t="shared" si="10"/>
        <v>2.7066922524467407</v>
      </c>
      <c r="AI22" s="159">
        <f t="shared" si="11"/>
        <v>1.3513266276777915</v>
      </c>
      <c r="AJ22" s="357">
        <f t="shared" si="12"/>
        <v>4.720407546953342</v>
      </c>
      <c r="AK22" s="159">
        <f t="shared" si="13"/>
        <v>4.9295796095286057</v>
      </c>
      <c r="AL22" s="159">
        <f t="shared" si="14"/>
        <v>4.6288360259234116</v>
      </c>
      <c r="AM22" s="159">
        <f t="shared" si="15"/>
        <v>2.6861232999000149</v>
      </c>
      <c r="AN22" s="159">
        <f t="shared" si="16"/>
        <v>1.7698763495281675</v>
      </c>
      <c r="AO22" s="159">
        <f t="shared" si="17"/>
        <v>1.7652340776826574</v>
      </c>
      <c r="AP22" s="159">
        <f t="shared" si="18"/>
        <v>3.8835149709018455</v>
      </c>
      <c r="AQ22" s="159">
        <f t="shared" si="64"/>
        <v>0.88261703884132869</v>
      </c>
      <c r="AR22" s="159">
        <f t="shared" si="19"/>
        <v>7.638636745675659</v>
      </c>
      <c r="AS22" s="159">
        <f t="shared" si="20"/>
        <v>1.7573275188842425</v>
      </c>
      <c r="AT22" s="159">
        <f t="shared" si="21"/>
        <v>3.5082643694852536</v>
      </c>
      <c r="AU22" s="159">
        <f t="shared" si="65"/>
        <v>0.87866375944212127</v>
      </c>
      <c r="AV22" s="357">
        <f t="shared" si="22"/>
        <v>1.23566385437786</v>
      </c>
      <c r="AW22" s="357">
        <f t="shared" si="23"/>
        <v>2.6151615965668995</v>
      </c>
      <c r="AX22" s="357">
        <f t="shared" si="66"/>
        <v>0.61783192718892999</v>
      </c>
      <c r="AY22" s="357">
        <f t="shared" si="24"/>
        <v>8.09177621363947</v>
      </c>
      <c r="AZ22" s="357">
        <f t="shared" si="25"/>
        <v>3.4200297098285639</v>
      </c>
      <c r="BA22" s="357">
        <f t="shared" si="26"/>
        <v>6.8991100992709047</v>
      </c>
      <c r="BB22" s="357">
        <f t="shared" si="67"/>
        <v>1.710014854914282</v>
      </c>
      <c r="BC22" s="357">
        <f t="shared" si="27"/>
        <v>1.9025300615024192</v>
      </c>
      <c r="BD22" s="357">
        <f t="shared" si="28"/>
        <v>2.2751905890132025</v>
      </c>
      <c r="BE22" s="357">
        <f t="shared" si="29"/>
        <v>7.1288548442163728</v>
      </c>
      <c r="BF22" s="357">
        <f t="shared" si="30"/>
        <v>8.8661566483699339</v>
      </c>
      <c r="BG22" s="357">
        <f t="shared" si="31"/>
        <v>3.257814861931557</v>
      </c>
      <c r="BH22" s="357">
        <f t="shared" si="32"/>
        <v>3.1708834358373656</v>
      </c>
      <c r="BI22" s="357">
        <f t="shared" si="33"/>
        <v>1.7260066537341539</v>
      </c>
      <c r="BJ22" s="357">
        <f t="shared" si="34"/>
        <v>3.0829667373966383</v>
      </c>
      <c r="BK22" s="357">
        <f t="shared" si="35"/>
        <v>8.1198780884986768</v>
      </c>
      <c r="BL22" s="357">
        <f t="shared" si="36"/>
        <v>0.70293100755369697</v>
      </c>
      <c r="BM22" s="357">
        <f t="shared" si="37"/>
        <v>1.1768227184551048</v>
      </c>
      <c r="BN22" s="357">
        <f t="shared" si="38"/>
        <v>0.44457747141637294</v>
      </c>
      <c r="BO22" s="357">
        <f t="shared" si="39"/>
        <v>2.4679917451600382</v>
      </c>
      <c r="BP22" s="357">
        <f t="shared" si="40"/>
        <v>11.894024532962582</v>
      </c>
      <c r="BQ22" s="357">
        <f t="shared" si="41"/>
        <v>1.8249170388413287</v>
      </c>
      <c r="BR22" s="357">
        <f t="shared" si="42"/>
        <v>1.8567647335624984</v>
      </c>
      <c r="BS22" s="357">
        <f t="shared" si="43"/>
        <v>1.5952485739058087</v>
      </c>
      <c r="BT22" s="357">
        <f t="shared" si="44"/>
        <v>3.6817581772059591</v>
      </c>
      <c r="BU22" s="357">
        <f t="shared" si="45"/>
        <v>10.234477622490312</v>
      </c>
      <c r="BV22" s="357">
        <f t="shared" si="46"/>
        <v>1.635666382961487</v>
      </c>
      <c r="BW22" s="357">
        <f t="shared" si="47"/>
        <v>1.8567647335624984</v>
      </c>
      <c r="BX22" s="357">
        <f t="shared" si="48"/>
        <v>1.5952485739058087</v>
      </c>
      <c r="BY22" s="357">
        <f t="shared" si="49"/>
        <v>5.1059107908065053</v>
      </c>
      <c r="BZ22" s="357">
        <f t="shared" si="50"/>
        <v>8.2445440723184369</v>
      </c>
      <c r="CA22" s="357">
        <f t="shared" si="51"/>
        <v>2.0006497907297529</v>
      </c>
      <c r="CB22" s="357">
        <f t="shared" si="52"/>
        <v>3.285261142737625</v>
      </c>
      <c r="CC22" s="357">
        <f t="shared" si="53"/>
        <v>5.9200994795283872</v>
      </c>
      <c r="CD22" s="357">
        <f t="shared" si="54"/>
        <v>13.696323394335824</v>
      </c>
      <c r="CE22" s="357">
        <f t="shared" si="68"/>
        <v>5.9200994795283872</v>
      </c>
      <c r="CF22" s="357">
        <f t="shared" si="55"/>
        <v>6.3983341866529457</v>
      </c>
      <c r="CG22" s="357">
        <f t="shared" si="56"/>
        <v>15.890510564250215</v>
      </c>
      <c r="CH22" s="357">
        <f t="shared" si="69"/>
        <v>6.3983341866529457</v>
      </c>
      <c r="CI22" s="357">
        <f t="shared" si="70"/>
        <v>2.0229440534098675</v>
      </c>
    </row>
    <row r="23" spans="1:87" x14ac:dyDescent="0.25">
      <c r="I23" s="166"/>
      <c r="Q23" s="163"/>
      <c r="R23" s="163"/>
      <c r="S23" s="163"/>
      <c r="T23" s="163"/>
      <c r="U23" s="163"/>
      <c r="V23" s="159"/>
      <c r="W23" s="159"/>
      <c r="X23" s="159"/>
      <c r="Y23" s="159"/>
      <c r="Z23" s="159"/>
      <c r="AA23" s="159"/>
      <c r="AB23" s="159"/>
      <c r="AC23" s="159"/>
      <c r="AD23" s="159"/>
      <c r="AE23" s="159"/>
      <c r="AF23" s="159"/>
      <c r="AG23" s="357"/>
      <c r="AH23" s="159"/>
      <c r="AI23" s="159"/>
      <c r="AJ23" s="357"/>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row>
    <row r="24" spans="1:87" x14ac:dyDescent="0.25">
      <c r="F24" s="290">
        <v>42857</v>
      </c>
      <c r="G24" s="496"/>
      <c r="H24" s="497"/>
      <c r="I24" s="341"/>
      <c r="J24" s="163"/>
      <c r="K24" s="163"/>
      <c r="L24" s="163"/>
      <c r="M24" s="163"/>
      <c r="N24" s="163"/>
      <c r="O24" s="163"/>
      <c r="P24" s="163"/>
      <c r="Q24" s="163">
        <f t="shared" ref="Q24:Q34" si="142">((2*(N24+1))+(K24+1))/8</f>
        <v>0.375</v>
      </c>
      <c r="R24" s="163" t="e">
        <f t="shared" ref="R24:R34" si="143">1.66*(O24+(LOG(H24)*4/3)+G24)+0.55*(P24+(LOG(H24)*4/3)+G24)-7.6</f>
        <v>#NUM!</v>
      </c>
      <c r="S24" s="163">
        <f t="shared" ref="S24:S34" si="144">(0.5*O24+ 0.3*P24)/10</f>
        <v>0</v>
      </c>
      <c r="T24" s="163">
        <f t="shared" ref="T24:T34" si="145">(0.4*K24+0.3*P24)/10</f>
        <v>0</v>
      </c>
      <c r="U24" s="163" t="e">
        <f t="shared" ref="U24:U34" ca="1" si="146">IF(TODAY()-F24&gt;335,(P24+1+(LOG(H24)*4/3)),(P24+((TODAY()-F24)^0.5)/(336^0.5)+(LOG(H24)*4/3)))</f>
        <v>#NUM!</v>
      </c>
      <c r="V24" s="159" t="e">
        <f t="shared" ref="V24:V34" si="147">((J24+G24+(LOG(H24)*4/3))*0.597)+((K24+G24+(LOG(H24)*4/3))*0.276)</f>
        <v>#NUM!</v>
      </c>
      <c r="W24" s="159" t="e">
        <f t="shared" ref="W24:W34" si="148">((J24+G24+(LOG(H24)*4/3))*0.866)+((K24+G24+(LOG(H24)*4/3))*0.425)</f>
        <v>#NUM!</v>
      </c>
      <c r="X24" s="159" t="e">
        <f t="shared" ref="X24:X34" si="149">V24</f>
        <v>#NUM!</v>
      </c>
      <c r="Y24" s="159" t="e">
        <f t="shared" ref="Y24:Y34" si="150">((K24+G24+(LOG(H24)*4/3))*0.516)</f>
        <v>#NUM!</v>
      </c>
      <c r="Z24" s="159" t="e">
        <f t="shared" ref="Z24:Z34" si="151">(K24+G24+(LOG(H24)*4/3))*1</f>
        <v>#NUM!</v>
      </c>
      <c r="AA24" s="159" t="e">
        <f t="shared" ref="AA24:AA34" si="152">Y24/2</f>
        <v>#NUM!</v>
      </c>
      <c r="AB24" s="159" t="e">
        <f t="shared" ref="AB24:AB34" si="153">(L24+G24+(LOG(H24)*4/3))*0.238</f>
        <v>#NUM!</v>
      </c>
      <c r="AC24" s="159" t="e">
        <f t="shared" ref="AC24:AC34" si="154">((K24+G24+(LOG(H24)*4/3))*0.378)</f>
        <v>#NUM!</v>
      </c>
      <c r="AD24" s="159" t="e">
        <f t="shared" ref="AD24:AD34" si="155">(K24+G24+(LOG(H24)*4/3))*0.723</f>
        <v>#NUM!</v>
      </c>
      <c r="AE24" s="159" t="e">
        <f t="shared" ref="AE24:AE34" si="156">AC24/2</f>
        <v>#NUM!</v>
      </c>
      <c r="AF24" s="159" t="e">
        <f t="shared" ref="AF24:AF34" si="157">(L24+G24+(LOG(H24)*4/3))*0.385</f>
        <v>#NUM!</v>
      </c>
      <c r="AG24" s="357" t="e">
        <f t="shared" ref="AG24:AG34" si="158">((K24+G24+(LOG(H24)*4/3))*0.92)</f>
        <v>#NUM!</v>
      </c>
      <c r="AH24" s="159" t="e">
        <f t="shared" ref="AH24:AH34" si="159">(K24+G24+(LOG(H24)*4/3))*0.414</f>
        <v>#NUM!</v>
      </c>
      <c r="AI24" s="159" t="e">
        <f t="shared" ref="AI24:AI34" si="160">((L24+G24+(LOG(H24)*4/3))*0.167)</f>
        <v>#NUM!</v>
      </c>
      <c r="AJ24" s="357" t="e">
        <f t="shared" ref="AJ24:AJ34" si="161">(M24+G24+(LOG(H24)*4/3))*0.588</f>
        <v>#NUM!</v>
      </c>
      <c r="AK24" s="159" t="e">
        <f t="shared" ref="AK24:AK34" si="162">((K24+G24+(LOG(H24)*4/3))*0.754)</f>
        <v>#NUM!</v>
      </c>
      <c r="AL24" s="159" t="e">
        <f t="shared" ref="AL24:AL34" si="163">((K24+G24+(LOG(H24)*4/3))*0.708)</f>
        <v>#NUM!</v>
      </c>
      <c r="AM24" s="159" t="e">
        <f t="shared" ref="AM24:AM34" si="164">((P24+G24+(LOG(H24)*4/3))*0.167)</f>
        <v>#NUM!</v>
      </c>
      <c r="AN24" s="159" t="e">
        <f t="shared" ref="AN24:AN34" si="165">((Q24+G24+(LOG(H24)*4/3))*0.288)</f>
        <v>#NUM!</v>
      </c>
      <c r="AO24" s="159" t="e">
        <f t="shared" ref="AO24:AO34" si="166">((K24+G24+(LOG(H24)*4/3))*0.27)</f>
        <v>#NUM!</v>
      </c>
      <c r="AP24" s="159" t="e">
        <f t="shared" ref="AP24:AP34" si="167">((K24+G24+(LOG(H24)*4/3))*0.594)</f>
        <v>#NUM!</v>
      </c>
      <c r="AQ24" s="159" t="e">
        <f t="shared" ref="AQ24:AQ34" si="168">AO24/2</f>
        <v>#NUM!</v>
      </c>
      <c r="AR24" s="159" t="e">
        <f t="shared" ref="AR24:AR34" si="169">((L24+G24+(LOG(H24)*4/3))*0.944)</f>
        <v>#NUM!</v>
      </c>
      <c r="AS24" s="159" t="e">
        <f t="shared" ref="AS24:AS34" si="170">((N24+G24+(LOG(H24)*4/3))*0.13)</f>
        <v>#NUM!</v>
      </c>
      <c r="AT24" s="159" t="e">
        <f t="shared" ref="AT24:AT34" si="171">((O24+G24+(LOG(H24)*4/3))*0.173)+((N24+G24+(LOG(H24)*4/3))*0.12)</f>
        <v>#NUM!</v>
      </c>
      <c r="AU24" s="159" t="e">
        <f t="shared" ref="AU24:AU34" si="172">AS24/2</f>
        <v>#NUM!</v>
      </c>
      <c r="AV24" s="159" t="e">
        <f t="shared" ref="AV24:AV34" si="173">((K24+G24+(LOG(H24)*4/3))*0.189)</f>
        <v>#NUM!</v>
      </c>
      <c r="AW24" s="159" t="e">
        <f t="shared" ref="AW24:AW34" si="174">((K24+G24+(LOG(H24)*4/3))*0.4)</f>
        <v>#NUM!</v>
      </c>
      <c r="AX24" s="159" t="e">
        <f t="shared" ref="AX24:AX34" si="175">AV24/2</f>
        <v>#NUM!</v>
      </c>
      <c r="AY24" s="159" t="e">
        <f t="shared" ref="AY24:AY34" si="176">((L24+G24+(LOG(H24)*4/3))*1)</f>
        <v>#NUM!</v>
      </c>
      <c r="AZ24" s="159" t="e">
        <f t="shared" ref="AZ24:AZ34" si="177">((N24+G24+(LOG(H24)*4/3))*0.253)</f>
        <v>#NUM!</v>
      </c>
      <c r="BA24" s="159" t="e">
        <f t="shared" ref="BA24:BA34" si="178">((O24+G24+(LOG(H24)*4/3))*0.21)+((N24+G24+(LOG(H24)*4/3))*0.341)</f>
        <v>#NUM!</v>
      </c>
      <c r="BB24" s="159" t="e">
        <f t="shared" ref="BB24:BB34" si="179">AZ24/2</f>
        <v>#NUM!</v>
      </c>
      <c r="BC24" s="159" t="e">
        <f t="shared" ref="BC24:BC34" si="180">((K24+G24+(LOG(H24)*4/3))*0.291)</f>
        <v>#NUM!</v>
      </c>
      <c r="BD24" s="159" t="e">
        <f t="shared" ref="BD24:BD34" si="181">((K24+G24+(LOG(H24)*4/3))*0.348)</f>
        <v>#NUM!</v>
      </c>
      <c r="BE24" s="159" t="e">
        <f t="shared" ref="BE24:BE34" si="182">((L24+G24+(LOG(H24)*4/3))*0.881)</f>
        <v>#NUM!</v>
      </c>
      <c r="BF24" s="159" t="e">
        <f t="shared" ref="BF24:BF34" si="183">((M24+G24+(LOG(H24)*4/3))*0.574)+((N24+G24+(LOG(H24)*4/3))*0.315)</f>
        <v>#NUM!</v>
      </c>
      <c r="BG24" s="159" t="e">
        <f t="shared" ref="BG24:BG34" si="184">((N24+G24+(LOG(H24)*4/3))*0.241)</f>
        <v>#NUM!</v>
      </c>
      <c r="BH24" s="159" t="e">
        <f t="shared" ref="BH24:BH34" si="185">((K24+G24+(LOG(H24)*4/3))*0.485)</f>
        <v>#NUM!</v>
      </c>
      <c r="BI24" s="159" t="e">
        <f t="shared" ref="BI24:BI34" si="186">((K24+G24+(LOG(H24)*4/3))*0.264)</f>
        <v>#NUM!</v>
      </c>
      <c r="BJ24" s="159" t="e">
        <f t="shared" ref="BJ24:BJ34" si="187">((L24+G24+(LOG(H24)*4/3))*0.381)</f>
        <v>#NUM!</v>
      </c>
      <c r="BK24" s="159" t="e">
        <f t="shared" ref="BK24:BK34" si="188">((M24+G24+(LOG(H24)*4/3))*0.673)+((N24+G24+(LOG(H24)*4/3))*0.201)</f>
        <v>#NUM!</v>
      </c>
      <c r="BL24" s="159" t="e">
        <f t="shared" ref="BL24:BL34" si="189">((N24+G24+(LOG(H24)*4/3))*0.052)</f>
        <v>#NUM!</v>
      </c>
      <c r="BM24" s="159" t="e">
        <f t="shared" ref="BM24:BM34" si="190">((K24+G24+(LOG(H24)*4/3))*0.18)</f>
        <v>#NUM!</v>
      </c>
      <c r="BN24" s="159" t="e">
        <f t="shared" ref="BN24:BN34" si="191">(K24+G24+(LOG(H24)*4/3))*0.068</f>
        <v>#NUM!</v>
      </c>
      <c r="BO24" s="159" t="e">
        <f t="shared" ref="BO24:BO34" si="192">((L24+G24+(LOG(H24)*4/3))*0.305)</f>
        <v>#NUM!</v>
      </c>
      <c r="BP24" s="159" t="e">
        <f t="shared" ref="BP24:BP34" si="193">((M24+G24+(LOG(H24)*4/3))*1)+((N24+G24+(LOG(H24)*4/3))*0.286)</f>
        <v>#NUM!</v>
      </c>
      <c r="BQ24" s="159" t="e">
        <f t="shared" ref="BQ24:BQ34" si="194">((N24+G24+(LOG(H24)*4/3))*0.135)</f>
        <v>#NUM!</v>
      </c>
      <c r="BR24" s="159" t="e">
        <f t="shared" ref="BR24:BR34" si="195">((K24+G24+(LOG(H24)*4/3))*0.284)</f>
        <v>#NUM!</v>
      </c>
      <c r="BS24" s="159" t="e">
        <f t="shared" ref="BS24:BS34" si="196">(K24+G24+(LOG(H24)*4/3))*0.244</f>
        <v>#NUM!</v>
      </c>
      <c r="BT24" s="159" t="e">
        <f t="shared" ref="BT24:BT34" si="197">((L24+G24+(LOG(H24)*4/3))*0.455)</f>
        <v>#NUM!</v>
      </c>
      <c r="BU24" s="159" t="e">
        <f t="shared" ref="BU24:BU34" si="198">((M24+G24+(LOG(H24)*4/3))*0.864)+((N24+G24+(LOG(H24)*4/3))*0.244)</f>
        <v>#NUM!</v>
      </c>
      <c r="BV24" s="159" t="e">
        <f t="shared" ref="BV24:BV34" si="199">((N24+G24+(LOG(H24)*4/3))*0.121)</f>
        <v>#NUM!</v>
      </c>
      <c r="BW24" s="159"/>
      <c r="BX24" s="159"/>
      <c r="BY24" s="159"/>
      <c r="BZ24" s="159"/>
      <c r="CA24" s="159"/>
      <c r="CB24" s="159" t="e">
        <f t="shared" ref="CB24:CB34" si="200">((L24+G24+(LOG(H24)*4/3))*0.406)</f>
        <v>#NUM!</v>
      </c>
      <c r="CC24" s="159" t="e">
        <f t="shared" ref="CC24:CC34" si="201">IF(E24="TEC",((M24+G24+(LOG(H24)*4/3))*0.15)+((N24+G24+(LOG(H24)*4/3))*0.324)+((O24+G24+(LOG(H24)*4/3))*0.127),(((M24+G24+(LOG(H24)*4/3))*0.144)+((N24+G24+(LOG(H24)*4/3))*0.25)+((O24+G24+(LOG(H24)*4/3))*0.127)))</f>
        <v>#NUM!</v>
      </c>
      <c r="CD24" s="159" t="e">
        <f t="shared" ref="CD24:CD34" si="202">((N24+G24+(LOG(H24)*4/3))*0.543)+((O24+G24+(LOG(H24)*4/3))*0.583)</f>
        <v>#NUM!</v>
      </c>
      <c r="CE24" s="159" t="e">
        <f t="shared" ref="CE24:CE34" si="203">CC24</f>
        <v>#NUM!</v>
      </c>
      <c r="CF24" s="159" t="e">
        <f t="shared" ref="CF24:CF34" si="204">((O24+1+(LOG(H24)*4/3))*0.26)+((M24+G24+(LOG(H24)*4/3))*0.221)+((N24+G24+(LOG(H24)*4/3))*0.142)</f>
        <v>#NUM!</v>
      </c>
      <c r="CG24" s="159" t="e">
        <f t="shared" ref="CG24:CG34" si="205">((O24+G24+(LOG(H24)*4/3))*1)+((N24+G24+(LOG(H24)*4/3))*0.369)</f>
        <v>#NUM!</v>
      </c>
      <c r="CH24" s="159" t="e">
        <f t="shared" ref="CH24:CH34" si="206">CF24</f>
        <v>#NUM!</v>
      </c>
      <c r="CI24" s="159" t="e">
        <f t="shared" ref="CI24:CI34" si="207">((L24+G24+(LOG(H24)*4/3))*0.25)</f>
        <v>#NUM!</v>
      </c>
    </row>
    <row r="25" spans="1:87" x14ac:dyDescent="0.25">
      <c r="F25" s="290">
        <v>42857</v>
      </c>
      <c r="G25" s="496"/>
      <c r="H25" s="497"/>
      <c r="I25" s="341"/>
      <c r="J25" s="163"/>
      <c r="K25" s="163"/>
      <c r="L25" s="163"/>
      <c r="M25" s="163"/>
      <c r="N25" s="163"/>
      <c r="O25" s="163"/>
      <c r="P25" s="163"/>
      <c r="Q25" s="163">
        <f t="shared" si="142"/>
        <v>0.375</v>
      </c>
      <c r="R25" s="163" t="e">
        <f t="shared" si="143"/>
        <v>#NUM!</v>
      </c>
      <c r="S25" s="163">
        <f t="shared" si="144"/>
        <v>0</v>
      </c>
      <c r="T25" s="163">
        <f t="shared" si="145"/>
        <v>0</v>
      </c>
      <c r="U25" s="163" t="e">
        <f t="shared" ca="1" si="146"/>
        <v>#NUM!</v>
      </c>
      <c r="V25" s="159" t="e">
        <f t="shared" si="147"/>
        <v>#NUM!</v>
      </c>
      <c r="W25" s="159" t="e">
        <f t="shared" si="148"/>
        <v>#NUM!</v>
      </c>
      <c r="X25" s="159" t="e">
        <f t="shared" si="149"/>
        <v>#NUM!</v>
      </c>
      <c r="Y25" s="159" t="e">
        <f t="shared" si="150"/>
        <v>#NUM!</v>
      </c>
      <c r="Z25" s="159" t="e">
        <f t="shared" si="151"/>
        <v>#NUM!</v>
      </c>
      <c r="AA25" s="159" t="e">
        <f t="shared" si="152"/>
        <v>#NUM!</v>
      </c>
      <c r="AB25" s="159" t="e">
        <f t="shared" si="153"/>
        <v>#NUM!</v>
      </c>
      <c r="AC25" s="159" t="e">
        <f t="shared" si="154"/>
        <v>#NUM!</v>
      </c>
      <c r="AD25" s="159" t="e">
        <f t="shared" si="155"/>
        <v>#NUM!</v>
      </c>
      <c r="AE25" s="159" t="e">
        <f t="shared" si="156"/>
        <v>#NUM!</v>
      </c>
      <c r="AF25" s="159" t="e">
        <f t="shared" si="157"/>
        <v>#NUM!</v>
      </c>
      <c r="AG25" s="357" t="e">
        <f t="shared" si="158"/>
        <v>#NUM!</v>
      </c>
      <c r="AH25" s="159" t="e">
        <f t="shared" si="159"/>
        <v>#NUM!</v>
      </c>
      <c r="AI25" s="159" t="e">
        <f t="shared" si="160"/>
        <v>#NUM!</v>
      </c>
      <c r="AJ25" s="357" t="e">
        <f t="shared" si="161"/>
        <v>#NUM!</v>
      </c>
      <c r="AK25" s="159" t="e">
        <f t="shared" si="162"/>
        <v>#NUM!</v>
      </c>
      <c r="AL25" s="159" t="e">
        <f t="shared" si="163"/>
        <v>#NUM!</v>
      </c>
      <c r="AM25" s="159" t="e">
        <f t="shared" si="164"/>
        <v>#NUM!</v>
      </c>
      <c r="AN25" s="159" t="e">
        <f t="shared" si="165"/>
        <v>#NUM!</v>
      </c>
      <c r="AO25" s="159" t="e">
        <f t="shared" si="166"/>
        <v>#NUM!</v>
      </c>
      <c r="AP25" s="159" t="e">
        <f t="shared" si="167"/>
        <v>#NUM!</v>
      </c>
      <c r="AQ25" s="159" t="e">
        <f t="shared" si="168"/>
        <v>#NUM!</v>
      </c>
      <c r="AR25" s="159" t="e">
        <f t="shared" si="169"/>
        <v>#NUM!</v>
      </c>
      <c r="AS25" s="159" t="e">
        <f t="shared" si="170"/>
        <v>#NUM!</v>
      </c>
      <c r="AT25" s="159" t="e">
        <f t="shared" si="171"/>
        <v>#NUM!</v>
      </c>
      <c r="AU25" s="159" t="e">
        <f t="shared" si="172"/>
        <v>#NUM!</v>
      </c>
      <c r="AV25" s="159" t="e">
        <f t="shared" si="173"/>
        <v>#NUM!</v>
      </c>
      <c r="AW25" s="159" t="e">
        <f t="shared" si="174"/>
        <v>#NUM!</v>
      </c>
      <c r="AX25" s="159" t="e">
        <f t="shared" si="175"/>
        <v>#NUM!</v>
      </c>
      <c r="AY25" s="159" t="e">
        <f t="shared" si="176"/>
        <v>#NUM!</v>
      </c>
      <c r="AZ25" s="159" t="e">
        <f t="shared" si="177"/>
        <v>#NUM!</v>
      </c>
      <c r="BA25" s="159" t="e">
        <f t="shared" si="178"/>
        <v>#NUM!</v>
      </c>
      <c r="BB25" s="159" t="e">
        <f t="shared" si="179"/>
        <v>#NUM!</v>
      </c>
      <c r="BC25" s="159" t="e">
        <f t="shared" si="180"/>
        <v>#NUM!</v>
      </c>
      <c r="BD25" s="159" t="e">
        <f t="shared" si="181"/>
        <v>#NUM!</v>
      </c>
      <c r="BE25" s="159" t="e">
        <f t="shared" si="182"/>
        <v>#NUM!</v>
      </c>
      <c r="BF25" s="159" t="e">
        <f t="shared" si="183"/>
        <v>#NUM!</v>
      </c>
      <c r="BG25" s="159" t="e">
        <f t="shared" si="184"/>
        <v>#NUM!</v>
      </c>
      <c r="BH25" s="159" t="e">
        <f t="shared" si="185"/>
        <v>#NUM!</v>
      </c>
      <c r="BI25" s="159" t="e">
        <f t="shared" si="186"/>
        <v>#NUM!</v>
      </c>
      <c r="BJ25" s="159" t="e">
        <f t="shared" si="187"/>
        <v>#NUM!</v>
      </c>
      <c r="BK25" s="159" t="e">
        <f t="shared" si="188"/>
        <v>#NUM!</v>
      </c>
      <c r="BL25" s="159" t="e">
        <f t="shared" si="189"/>
        <v>#NUM!</v>
      </c>
      <c r="BM25" s="159" t="e">
        <f t="shared" si="190"/>
        <v>#NUM!</v>
      </c>
      <c r="BN25" s="159" t="e">
        <f t="shared" si="191"/>
        <v>#NUM!</v>
      </c>
      <c r="BO25" s="159" t="e">
        <f t="shared" si="192"/>
        <v>#NUM!</v>
      </c>
      <c r="BP25" s="159" t="e">
        <f t="shared" si="193"/>
        <v>#NUM!</v>
      </c>
      <c r="BQ25" s="159" t="e">
        <f t="shared" si="194"/>
        <v>#NUM!</v>
      </c>
      <c r="BR25" s="159" t="e">
        <f t="shared" si="195"/>
        <v>#NUM!</v>
      </c>
      <c r="BS25" s="159" t="e">
        <f t="shared" si="196"/>
        <v>#NUM!</v>
      </c>
      <c r="BT25" s="159" t="e">
        <f t="shared" si="197"/>
        <v>#NUM!</v>
      </c>
      <c r="BU25" s="159" t="e">
        <f t="shared" si="198"/>
        <v>#NUM!</v>
      </c>
      <c r="BV25" s="159" t="e">
        <f t="shared" si="199"/>
        <v>#NUM!</v>
      </c>
      <c r="BW25" s="159"/>
      <c r="BX25" s="159"/>
      <c r="BY25" s="159"/>
      <c r="BZ25" s="159"/>
      <c r="CA25" s="159"/>
      <c r="CB25" s="159" t="e">
        <f t="shared" si="200"/>
        <v>#NUM!</v>
      </c>
      <c r="CC25" s="159" t="e">
        <f t="shared" si="201"/>
        <v>#NUM!</v>
      </c>
      <c r="CD25" s="159" t="e">
        <f t="shared" si="202"/>
        <v>#NUM!</v>
      </c>
      <c r="CE25" s="159" t="e">
        <f t="shared" si="203"/>
        <v>#NUM!</v>
      </c>
      <c r="CF25" s="159" t="e">
        <f t="shared" si="204"/>
        <v>#NUM!</v>
      </c>
      <c r="CG25" s="159" t="e">
        <f t="shared" si="205"/>
        <v>#NUM!</v>
      </c>
      <c r="CH25" s="159" t="e">
        <f t="shared" si="206"/>
        <v>#NUM!</v>
      </c>
      <c r="CI25" s="159" t="e">
        <f t="shared" si="207"/>
        <v>#NUM!</v>
      </c>
    </row>
    <row r="26" spans="1:87" x14ac:dyDescent="0.25">
      <c r="F26" s="290">
        <v>42857</v>
      </c>
      <c r="G26" s="496"/>
      <c r="H26" s="497"/>
      <c r="I26" s="341"/>
      <c r="J26" s="163"/>
      <c r="K26" s="163"/>
      <c r="L26" s="163"/>
      <c r="M26" s="163"/>
      <c r="N26" s="163"/>
      <c r="O26" s="163"/>
      <c r="P26" s="163"/>
      <c r="Q26" s="163">
        <f t="shared" si="142"/>
        <v>0.375</v>
      </c>
      <c r="R26" s="163" t="e">
        <f t="shared" si="143"/>
        <v>#NUM!</v>
      </c>
      <c r="S26" s="163">
        <f t="shared" si="144"/>
        <v>0</v>
      </c>
      <c r="T26" s="163">
        <f t="shared" si="145"/>
        <v>0</v>
      </c>
      <c r="U26" s="163" t="e">
        <f t="shared" ca="1" si="146"/>
        <v>#NUM!</v>
      </c>
      <c r="V26" s="159" t="e">
        <f t="shared" si="147"/>
        <v>#NUM!</v>
      </c>
      <c r="W26" s="159" t="e">
        <f t="shared" si="148"/>
        <v>#NUM!</v>
      </c>
      <c r="X26" s="159" t="e">
        <f t="shared" si="149"/>
        <v>#NUM!</v>
      </c>
      <c r="Y26" s="159" t="e">
        <f t="shared" si="150"/>
        <v>#NUM!</v>
      </c>
      <c r="Z26" s="159" t="e">
        <f t="shared" si="151"/>
        <v>#NUM!</v>
      </c>
      <c r="AA26" s="159" t="e">
        <f t="shared" si="152"/>
        <v>#NUM!</v>
      </c>
      <c r="AB26" s="159" t="e">
        <f t="shared" si="153"/>
        <v>#NUM!</v>
      </c>
      <c r="AC26" s="159" t="e">
        <f t="shared" si="154"/>
        <v>#NUM!</v>
      </c>
      <c r="AD26" s="159" t="e">
        <f t="shared" si="155"/>
        <v>#NUM!</v>
      </c>
      <c r="AE26" s="159" t="e">
        <f t="shared" si="156"/>
        <v>#NUM!</v>
      </c>
      <c r="AF26" s="159" t="e">
        <f t="shared" si="157"/>
        <v>#NUM!</v>
      </c>
      <c r="AG26" s="357" t="e">
        <f t="shared" si="158"/>
        <v>#NUM!</v>
      </c>
      <c r="AH26" s="159" t="e">
        <f t="shared" si="159"/>
        <v>#NUM!</v>
      </c>
      <c r="AI26" s="159" t="e">
        <f t="shared" si="160"/>
        <v>#NUM!</v>
      </c>
      <c r="AJ26" s="357" t="e">
        <f t="shared" si="161"/>
        <v>#NUM!</v>
      </c>
      <c r="AK26" s="159" t="e">
        <f t="shared" si="162"/>
        <v>#NUM!</v>
      </c>
      <c r="AL26" s="159" t="e">
        <f t="shared" si="163"/>
        <v>#NUM!</v>
      </c>
      <c r="AM26" s="159" t="e">
        <f t="shared" si="164"/>
        <v>#NUM!</v>
      </c>
      <c r="AN26" s="159" t="e">
        <f t="shared" si="165"/>
        <v>#NUM!</v>
      </c>
      <c r="AO26" s="159" t="e">
        <f t="shared" si="166"/>
        <v>#NUM!</v>
      </c>
      <c r="AP26" s="159" t="e">
        <f t="shared" si="167"/>
        <v>#NUM!</v>
      </c>
      <c r="AQ26" s="159" t="e">
        <f t="shared" si="168"/>
        <v>#NUM!</v>
      </c>
      <c r="AR26" s="159" t="e">
        <f t="shared" si="169"/>
        <v>#NUM!</v>
      </c>
      <c r="AS26" s="159" t="e">
        <f t="shared" si="170"/>
        <v>#NUM!</v>
      </c>
      <c r="AT26" s="159" t="e">
        <f t="shared" si="171"/>
        <v>#NUM!</v>
      </c>
      <c r="AU26" s="159" t="e">
        <f t="shared" si="172"/>
        <v>#NUM!</v>
      </c>
      <c r="AV26" s="159" t="e">
        <f t="shared" si="173"/>
        <v>#NUM!</v>
      </c>
      <c r="AW26" s="159" t="e">
        <f t="shared" si="174"/>
        <v>#NUM!</v>
      </c>
      <c r="AX26" s="159" t="e">
        <f t="shared" si="175"/>
        <v>#NUM!</v>
      </c>
      <c r="AY26" s="159" t="e">
        <f t="shared" si="176"/>
        <v>#NUM!</v>
      </c>
      <c r="AZ26" s="159" t="e">
        <f t="shared" si="177"/>
        <v>#NUM!</v>
      </c>
      <c r="BA26" s="159" t="e">
        <f t="shared" si="178"/>
        <v>#NUM!</v>
      </c>
      <c r="BB26" s="159" t="e">
        <f t="shared" si="179"/>
        <v>#NUM!</v>
      </c>
      <c r="BC26" s="159" t="e">
        <f t="shared" si="180"/>
        <v>#NUM!</v>
      </c>
      <c r="BD26" s="159" t="e">
        <f t="shared" si="181"/>
        <v>#NUM!</v>
      </c>
      <c r="BE26" s="159" t="e">
        <f t="shared" si="182"/>
        <v>#NUM!</v>
      </c>
      <c r="BF26" s="159" t="e">
        <f t="shared" si="183"/>
        <v>#NUM!</v>
      </c>
      <c r="BG26" s="159" t="e">
        <f t="shared" si="184"/>
        <v>#NUM!</v>
      </c>
      <c r="BH26" s="159" t="e">
        <f t="shared" si="185"/>
        <v>#NUM!</v>
      </c>
      <c r="BI26" s="159" t="e">
        <f t="shared" si="186"/>
        <v>#NUM!</v>
      </c>
      <c r="BJ26" s="159" t="e">
        <f t="shared" si="187"/>
        <v>#NUM!</v>
      </c>
      <c r="BK26" s="159" t="e">
        <f t="shared" si="188"/>
        <v>#NUM!</v>
      </c>
      <c r="BL26" s="159" t="e">
        <f t="shared" si="189"/>
        <v>#NUM!</v>
      </c>
      <c r="BM26" s="159" t="e">
        <f t="shared" si="190"/>
        <v>#NUM!</v>
      </c>
      <c r="BN26" s="159" t="e">
        <f t="shared" si="191"/>
        <v>#NUM!</v>
      </c>
      <c r="BO26" s="159" t="e">
        <f t="shared" si="192"/>
        <v>#NUM!</v>
      </c>
      <c r="BP26" s="159" t="e">
        <f t="shared" si="193"/>
        <v>#NUM!</v>
      </c>
      <c r="BQ26" s="159" t="e">
        <f t="shared" si="194"/>
        <v>#NUM!</v>
      </c>
      <c r="BR26" s="159" t="e">
        <f t="shared" si="195"/>
        <v>#NUM!</v>
      </c>
      <c r="BS26" s="159" t="e">
        <f t="shared" si="196"/>
        <v>#NUM!</v>
      </c>
      <c r="BT26" s="159" t="e">
        <f t="shared" si="197"/>
        <v>#NUM!</v>
      </c>
      <c r="BU26" s="159" t="e">
        <f t="shared" si="198"/>
        <v>#NUM!</v>
      </c>
      <c r="BV26" s="159" t="e">
        <f t="shared" si="199"/>
        <v>#NUM!</v>
      </c>
      <c r="BW26" s="159"/>
      <c r="BX26" s="159"/>
      <c r="BY26" s="159"/>
      <c r="BZ26" s="159"/>
      <c r="CA26" s="159"/>
      <c r="CB26" s="159" t="e">
        <f t="shared" si="200"/>
        <v>#NUM!</v>
      </c>
      <c r="CC26" s="159" t="e">
        <f t="shared" si="201"/>
        <v>#NUM!</v>
      </c>
      <c r="CD26" s="159" t="e">
        <f t="shared" si="202"/>
        <v>#NUM!</v>
      </c>
      <c r="CE26" s="159" t="e">
        <f t="shared" si="203"/>
        <v>#NUM!</v>
      </c>
      <c r="CF26" s="159" t="e">
        <f t="shared" si="204"/>
        <v>#NUM!</v>
      </c>
      <c r="CG26" s="159" t="e">
        <f t="shared" si="205"/>
        <v>#NUM!</v>
      </c>
      <c r="CH26" s="159" t="e">
        <f t="shared" si="206"/>
        <v>#NUM!</v>
      </c>
      <c r="CI26" s="159" t="e">
        <f t="shared" si="207"/>
        <v>#NUM!</v>
      </c>
    </row>
    <row r="27" spans="1:87" x14ac:dyDescent="0.25">
      <c r="F27" s="290">
        <v>42857</v>
      </c>
      <c r="G27" s="496"/>
      <c r="H27" s="497"/>
      <c r="I27" s="341"/>
      <c r="J27" s="163"/>
      <c r="K27" s="163"/>
      <c r="L27" s="163"/>
      <c r="M27" s="163"/>
      <c r="N27" s="163"/>
      <c r="O27" s="163"/>
      <c r="P27" s="163"/>
      <c r="Q27" s="163">
        <f t="shared" si="142"/>
        <v>0.375</v>
      </c>
      <c r="R27" s="163" t="e">
        <f t="shared" si="143"/>
        <v>#NUM!</v>
      </c>
      <c r="S27" s="163">
        <f t="shared" si="144"/>
        <v>0</v>
      </c>
      <c r="T27" s="163">
        <f t="shared" si="145"/>
        <v>0</v>
      </c>
      <c r="U27" s="163" t="e">
        <f t="shared" ca="1" si="146"/>
        <v>#NUM!</v>
      </c>
      <c r="V27" s="159" t="e">
        <f t="shared" si="147"/>
        <v>#NUM!</v>
      </c>
      <c r="W27" s="159" t="e">
        <f t="shared" si="148"/>
        <v>#NUM!</v>
      </c>
      <c r="X27" s="159" t="e">
        <f t="shared" si="149"/>
        <v>#NUM!</v>
      </c>
      <c r="Y27" s="159" t="e">
        <f t="shared" si="150"/>
        <v>#NUM!</v>
      </c>
      <c r="Z27" s="159" t="e">
        <f t="shared" si="151"/>
        <v>#NUM!</v>
      </c>
      <c r="AA27" s="159" t="e">
        <f t="shared" si="152"/>
        <v>#NUM!</v>
      </c>
      <c r="AB27" s="159" t="e">
        <f t="shared" si="153"/>
        <v>#NUM!</v>
      </c>
      <c r="AC27" s="159" t="e">
        <f t="shared" si="154"/>
        <v>#NUM!</v>
      </c>
      <c r="AD27" s="159" t="e">
        <f t="shared" si="155"/>
        <v>#NUM!</v>
      </c>
      <c r="AE27" s="159" t="e">
        <f t="shared" si="156"/>
        <v>#NUM!</v>
      </c>
      <c r="AF27" s="159" t="e">
        <f t="shared" si="157"/>
        <v>#NUM!</v>
      </c>
      <c r="AG27" s="357" t="e">
        <f t="shared" si="158"/>
        <v>#NUM!</v>
      </c>
      <c r="AH27" s="159" t="e">
        <f t="shared" si="159"/>
        <v>#NUM!</v>
      </c>
      <c r="AI27" s="159" t="e">
        <f t="shared" si="160"/>
        <v>#NUM!</v>
      </c>
      <c r="AJ27" s="357" t="e">
        <f t="shared" si="161"/>
        <v>#NUM!</v>
      </c>
      <c r="AK27" s="159" t="e">
        <f t="shared" si="162"/>
        <v>#NUM!</v>
      </c>
      <c r="AL27" s="159" t="e">
        <f t="shared" si="163"/>
        <v>#NUM!</v>
      </c>
      <c r="AM27" s="159" t="e">
        <f t="shared" si="164"/>
        <v>#NUM!</v>
      </c>
      <c r="AN27" s="159" t="e">
        <f t="shared" si="165"/>
        <v>#NUM!</v>
      </c>
      <c r="AO27" s="159" t="e">
        <f t="shared" si="166"/>
        <v>#NUM!</v>
      </c>
      <c r="AP27" s="159" t="e">
        <f t="shared" si="167"/>
        <v>#NUM!</v>
      </c>
      <c r="AQ27" s="159" t="e">
        <f t="shared" si="168"/>
        <v>#NUM!</v>
      </c>
      <c r="AR27" s="159" t="e">
        <f t="shared" si="169"/>
        <v>#NUM!</v>
      </c>
      <c r="AS27" s="159" t="e">
        <f t="shared" si="170"/>
        <v>#NUM!</v>
      </c>
      <c r="AT27" s="159" t="e">
        <f t="shared" si="171"/>
        <v>#NUM!</v>
      </c>
      <c r="AU27" s="159" t="e">
        <f t="shared" si="172"/>
        <v>#NUM!</v>
      </c>
      <c r="AV27" s="159" t="e">
        <f t="shared" si="173"/>
        <v>#NUM!</v>
      </c>
      <c r="AW27" s="159" t="e">
        <f t="shared" si="174"/>
        <v>#NUM!</v>
      </c>
      <c r="AX27" s="159" t="e">
        <f t="shared" si="175"/>
        <v>#NUM!</v>
      </c>
      <c r="AY27" s="159" t="e">
        <f t="shared" si="176"/>
        <v>#NUM!</v>
      </c>
      <c r="AZ27" s="159" t="e">
        <f t="shared" si="177"/>
        <v>#NUM!</v>
      </c>
      <c r="BA27" s="159" t="e">
        <f t="shared" si="178"/>
        <v>#NUM!</v>
      </c>
      <c r="BB27" s="159" t="e">
        <f t="shared" si="179"/>
        <v>#NUM!</v>
      </c>
      <c r="BC27" s="159" t="e">
        <f t="shared" si="180"/>
        <v>#NUM!</v>
      </c>
      <c r="BD27" s="159" t="e">
        <f t="shared" si="181"/>
        <v>#NUM!</v>
      </c>
      <c r="BE27" s="159" t="e">
        <f t="shared" si="182"/>
        <v>#NUM!</v>
      </c>
      <c r="BF27" s="159" t="e">
        <f t="shared" si="183"/>
        <v>#NUM!</v>
      </c>
      <c r="BG27" s="159" t="e">
        <f t="shared" si="184"/>
        <v>#NUM!</v>
      </c>
      <c r="BH27" s="159" t="e">
        <f t="shared" si="185"/>
        <v>#NUM!</v>
      </c>
      <c r="BI27" s="159" t="e">
        <f t="shared" si="186"/>
        <v>#NUM!</v>
      </c>
      <c r="BJ27" s="159" t="e">
        <f t="shared" si="187"/>
        <v>#NUM!</v>
      </c>
      <c r="BK27" s="159" t="e">
        <f t="shared" si="188"/>
        <v>#NUM!</v>
      </c>
      <c r="BL27" s="159" t="e">
        <f t="shared" si="189"/>
        <v>#NUM!</v>
      </c>
      <c r="BM27" s="159" t="e">
        <f t="shared" si="190"/>
        <v>#NUM!</v>
      </c>
      <c r="BN27" s="159" t="e">
        <f t="shared" si="191"/>
        <v>#NUM!</v>
      </c>
      <c r="BO27" s="159" t="e">
        <f t="shared" si="192"/>
        <v>#NUM!</v>
      </c>
      <c r="BP27" s="159" t="e">
        <f t="shared" si="193"/>
        <v>#NUM!</v>
      </c>
      <c r="BQ27" s="159" t="e">
        <f t="shared" si="194"/>
        <v>#NUM!</v>
      </c>
      <c r="BR27" s="159" t="e">
        <f t="shared" si="195"/>
        <v>#NUM!</v>
      </c>
      <c r="BS27" s="159" t="e">
        <f t="shared" si="196"/>
        <v>#NUM!</v>
      </c>
      <c r="BT27" s="159" t="e">
        <f t="shared" si="197"/>
        <v>#NUM!</v>
      </c>
      <c r="BU27" s="159" t="e">
        <f t="shared" si="198"/>
        <v>#NUM!</v>
      </c>
      <c r="BV27" s="159" t="e">
        <f t="shared" si="199"/>
        <v>#NUM!</v>
      </c>
      <c r="BW27" s="159"/>
      <c r="BX27" s="159"/>
      <c r="BY27" s="159"/>
      <c r="BZ27" s="159"/>
      <c r="CA27" s="159"/>
      <c r="CB27" s="159" t="e">
        <f t="shared" si="200"/>
        <v>#NUM!</v>
      </c>
      <c r="CC27" s="159" t="e">
        <f t="shared" si="201"/>
        <v>#NUM!</v>
      </c>
      <c r="CD27" s="159" t="e">
        <f t="shared" si="202"/>
        <v>#NUM!</v>
      </c>
      <c r="CE27" s="159" t="e">
        <f t="shared" si="203"/>
        <v>#NUM!</v>
      </c>
      <c r="CF27" s="159" t="e">
        <f t="shared" si="204"/>
        <v>#NUM!</v>
      </c>
      <c r="CG27" s="159" t="e">
        <f t="shared" si="205"/>
        <v>#NUM!</v>
      </c>
      <c r="CH27" s="159" t="e">
        <f t="shared" si="206"/>
        <v>#NUM!</v>
      </c>
      <c r="CI27" s="159" t="e">
        <f t="shared" si="207"/>
        <v>#NUM!</v>
      </c>
    </row>
    <row r="28" spans="1:87" x14ac:dyDescent="0.25">
      <c r="F28" s="290">
        <v>42857</v>
      </c>
      <c r="G28" s="496"/>
      <c r="H28" s="497"/>
      <c r="I28" s="341"/>
      <c r="J28" s="163"/>
      <c r="K28" s="163"/>
      <c r="L28" s="163"/>
      <c r="M28" s="163"/>
      <c r="N28" s="163"/>
      <c r="O28" s="163"/>
      <c r="P28" s="163"/>
      <c r="Q28" s="163">
        <f t="shared" si="142"/>
        <v>0.375</v>
      </c>
      <c r="R28" s="163" t="e">
        <f t="shared" si="143"/>
        <v>#NUM!</v>
      </c>
      <c r="S28" s="163">
        <f t="shared" si="144"/>
        <v>0</v>
      </c>
      <c r="T28" s="163">
        <f t="shared" si="145"/>
        <v>0</v>
      </c>
      <c r="U28" s="163" t="e">
        <f t="shared" ca="1" si="146"/>
        <v>#NUM!</v>
      </c>
      <c r="V28" s="159" t="e">
        <f t="shared" si="147"/>
        <v>#NUM!</v>
      </c>
      <c r="W28" s="159" t="e">
        <f t="shared" si="148"/>
        <v>#NUM!</v>
      </c>
      <c r="X28" s="159" t="e">
        <f t="shared" si="149"/>
        <v>#NUM!</v>
      </c>
      <c r="Y28" s="159" t="e">
        <f t="shared" si="150"/>
        <v>#NUM!</v>
      </c>
      <c r="Z28" s="159" t="e">
        <f t="shared" si="151"/>
        <v>#NUM!</v>
      </c>
      <c r="AA28" s="159" t="e">
        <f t="shared" si="152"/>
        <v>#NUM!</v>
      </c>
      <c r="AB28" s="159" t="e">
        <f t="shared" si="153"/>
        <v>#NUM!</v>
      </c>
      <c r="AC28" s="159" t="e">
        <f t="shared" si="154"/>
        <v>#NUM!</v>
      </c>
      <c r="AD28" s="159" t="e">
        <f t="shared" si="155"/>
        <v>#NUM!</v>
      </c>
      <c r="AE28" s="159" t="e">
        <f t="shared" si="156"/>
        <v>#NUM!</v>
      </c>
      <c r="AF28" s="159" t="e">
        <f t="shared" si="157"/>
        <v>#NUM!</v>
      </c>
      <c r="AG28" s="357" t="e">
        <f t="shared" si="158"/>
        <v>#NUM!</v>
      </c>
      <c r="AH28" s="159" t="e">
        <f t="shared" si="159"/>
        <v>#NUM!</v>
      </c>
      <c r="AI28" s="159" t="e">
        <f t="shared" si="160"/>
        <v>#NUM!</v>
      </c>
      <c r="AJ28" s="357" t="e">
        <f t="shared" si="161"/>
        <v>#NUM!</v>
      </c>
      <c r="AK28" s="159" t="e">
        <f t="shared" si="162"/>
        <v>#NUM!</v>
      </c>
      <c r="AL28" s="159" t="e">
        <f t="shared" si="163"/>
        <v>#NUM!</v>
      </c>
      <c r="AM28" s="159" t="e">
        <f t="shared" si="164"/>
        <v>#NUM!</v>
      </c>
      <c r="AN28" s="159" t="e">
        <f t="shared" si="165"/>
        <v>#NUM!</v>
      </c>
      <c r="AO28" s="159" t="e">
        <f t="shared" si="166"/>
        <v>#NUM!</v>
      </c>
      <c r="AP28" s="159" t="e">
        <f t="shared" si="167"/>
        <v>#NUM!</v>
      </c>
      <c r="AQ28" s="159" t="e">
        <f t="shared" si="168"/>
        <v>#NUM!</v>
      </c>
      <c r="AR28" s="159" t="e">
        <f t="shared" si="169"/>
        <v>#NUM!</v>
      </c>
      <c r="AS28" s="159" t="e">
        <f t="shared" si="170"/>
        <v>#NUM!</v>
      </c>
      <c r="AT28" s="159" t="e">
        <f t="shared" si="171"/>
        <v>#NUM!</v>
      </c>
      <c r="AU28" s="159" t="e">
        <f t="shared" si="172"/>
        <v>#NUM!</v>
      </c>
      <c r="AV28" s="159" t="e">
        <f t="shared" si="173"/>
        <v>#NUM!</v>
      </c>
      <c r="AW28" s="159" t="e">
        <f t="shared" si="174"/>
        <v>#NUM!</v>
      </c>
      <c r="AX28" s="159" t="e">
        <f t="shared" si="175"/>
        <v>#NUM!</v>
      </c>
      <c r="AY28" s="159" t="e">
        <f t="shared" si="176"/>
        <v>#NUM!</v>
      </c>
      <c r="AZ28" s="159" t="e">
        <f t="shared" si="177"/>
        <v>#NUM!</v>
      </c>
      <c r="BA28" s="159" t="e">
        <f t="shared" si="178"/>
        <v>#NUM!</v>
      </c>
      <c r="BB28" s="159" t="e">
        <f t="shared" si="179"/>
        <v>#NUM!</v>
      </c>
      <c r="BC28" s="159" t="e">
        <f t="shared" si="180"/>
        <v>#NUM!</v>
      </c>
      <c r="BD28" s="159" t="e">
        <f t="shared" si="181"/>
        <v>#NUM!</v>
      </c>
      <c r="BE28" s="159" t="e">
        <f t="shared" si="182"/>
        <v>#NUM!</v>
      </c>
      <c r="BF28" s="159" t="e">
        <f t="shared" si="183"/>
        <v>#NUM!</v>
      </c>
      <c r="BG28" s="159" t="e">
        <f t="shared" si="184"/>
        <v>#NUM!</v>
      </c>
      <c r="BH28" s="159" t="e">
        <f t="shared" si="185"/>
        <v>#NUM!</v>
      </c>
      <c r="BI28" s="159" t="e">
        <f t="shared" si="186"/>
        <v>#NUM!</v>
      </c>
      <c r="BJ28" s="159" t="e">
        <f t="shared" si="187"/>
        <v>#NUM!</v>
      </c>
      <c r="BK28" s="159" t="e">
        <f t="shared" si="188"/>
        <v>#NUM!</v>
      </c>
      <c r="BL28" s="159" t="e">
        <f t="shared" si="189"/>
        <v>#NUM!</v>
      </c>
      <c r="BM28" s="159" t="e">
        <f t="shared" si="190"/>
        <v>#NUM!</v>
      </c>
      <c r="BN28" s="159" t="e">
        <f t="shared" si="191"/>
        <v>#NUM!</v>
      </c>
      <c r="BO28" s="159" t="e">
        <f t="shared" si="192"/>
        <v>#NUM!</v>
      </c>
      <c r="BP28" s="159" t="e">
        <f t="shared" si="193"/>
        <v>#NUM!</v>
      </c>
      <c r="BQ28" s="159" t="e">
        <f t="shared" si="194"/>
        <v>#NUM!</v>
      </c>
      <c r="BR28" s="159" t="e">
        <f t="shared" si="195"/>
        <v>#NUM!</v>
      </c>
      <c r="BS28" s="159" t="e">
        <f t="shared" si="196"/>
        <v>#NUM!</v>
      </c>
      <c r="BT28" s="159" t="e">
        <f t="shared" si="197"/>
        <v>#NUM!</v>
      </c>
      <c r="BU28" s="159" t="e">
        <f t="shared" si="198"/>
        <v>#NUM!</v>
      </c>
      <c r="BV28" s="159" t="e">
        <f t="shared" si="199"/>
        <v>#NUM!</v>
      </c>
      <c r="BW28" s="159"/>
      <c r="BX28" s="159"/>
      <c r="BY28" s="159"/>
      <c r="BZ28" s="159"/>
      <c r="CA28" s="159"/>
      <c r="CB28" s="159" t="e">
        <f t="shared" si="200"/>
        <v>#NUM!</v>
      </c>
      <c r="CC28" s="159" t="e">
        <f t="shared" si="201"/>
        <v>#NUM!</v>
      </c>
      <c r="CD28" s="159" t="e">
        <f t="shared" si="202"/>
        <v>#NUM!</v>
      </c>
      <c r="CE28" s="159" t="e">
        <f t="shared" si="203"/>
        <v>#NUM!</v>
      </c>
      <c r="CF28" s="159" t="e">
        <f t="shared" si="204"/>
        <v>#NUM!</v>
      </c>
      <c r="CG28" s="159" t="e">
        <f t="shared" si="205"/>
        <v>#NUM!</v>
      </c>
      <c r="CH28" s="159" t="e">
        <f t="shared" si="206"/>
        <v>#NUM!</v>
      </c>
      <c r="CI28" s="159" t="e">
        <f t="shared" si="207"/>
        <v>#NUM!</v>
      </c>
    </row>
    <row r="29" spans="1:87" x14ac:dyDescent="0.25">
      <c r="F29" s="290">
        <v>42857</v>
      </c>
      <c r="G29" s="496"/>
      <c r="H29" s="497"/>
      <c r="I29" s="341"/>
      <c r="J29" s="163"/>
      <c r="K29" s="163"/>
      <c r="L29" s="163"/>
      <c r="M29" s="163"/>
      <c r="N29" s="163"/>
      <c r="O29" s="163"/>
      <c r="P29" s="163"/>
      <c r="Q29" s="163">
        <f t="shared" si="142"/>
        <v>0.375</v>
      </c>
      <c r="R29" s="163" t="e">
        <f t="shared" si="143"/>
        <v>#NUM!</v>
      </c>
      <c r="S29" s="163">
        <f t="shared" si="144"/>
        <v>0</v>
      </c>
      <c r="T29" s="163">
        <f t="shared" si="145"/>
        <v>0</v>
      </c>
      <c r="U29" s="163" t="e">
        <f t="shared" ca="1" si="146"/>
        <v>#NUM!</v>
      </c>
      <c r="V29" s="159" t="e">
        <f t="shared" si="147"/>
        <v>#NUM!</v>
      </c>
      <c r="W29" s="159" t="e">
        <f t="shared" si="148"/>
        <v>#NUM!</v>
      </c>
      <c r="X29" s="159" t="e">
        <f t="shared" si="149"/>
        <v>#NUM!</v>
      </c>
      <c r="Y29" s="159" t="e">
        <f t="shared" si="150"/>
        <v>#NUM!</v>
      </c>
      <c r="Z29" s="159" t="e">
        <f t="shared" si="151"/>
        <v>#NUM!</v>
      </c>
      <c r="AA29" s="159" t="e">
        <f t="shared" si="152"/>
        <v>#NUM!</v>
      </c>
      <c r="AB29" s="159" t="e">
        <f t="shared" si="153"/>
        <v>#NUM!</v>
      </c>
      <c r="AC29" s="159" t="e">
        <f t="shared" si="154"/>
        <v>#NUM!</v>
      </c>
      <c r="AD29" s="159" t="e">
        <f t="shared" si="155"/>
        <v>#NUM!</v>
      </c>
      <c r="AE29" s="159" t="e">
        <f t="shared" si="156"/>
        <v>#NUM!</v>
      </c>
      <c r="AF29" s="159" t="e">
        <f t="shared" si="157"/>
        <v>#NUM!</v>
      </c>
      <c r="AG29" s="357" t="e">
        <f t="shared" si="158"/>
        <v>#NUM!</v>
      </c>
      <c r="AH29" s="159" t="e">
        <f t="shared" si="159"/>
        <v>#NUM!</v>
      </c>
      <c r="AI29" s="159" t="e">
        <f t="shared" si="160"/>
        <v>#NUM!</v>
      </c>
      <c r="AJ29" s="357" t="e">
        <f t="shared" si="161"/>
        <v>#NUM!</v>
      </c>
      <c r="AK29" s="159" t="e">
        <f t="shared" si="162"/>
        <v>#NUM!</v>
      </c>
      <c r="AL29" s="159" t="e">
        <f t="shared" si="163"/>
        <v>#NUM!</v>
      </c>
      <c r="AM29" s="159" t="e">
        <f t="shared" si="164"/>
        <v>#NUM!</v>
      </c>
      <c r="AN29" s="159" t="e">
        <f t="shared" si="165"/>
        <v>#NUM!</v>
      </c>
      <c r="AO29" s="159" t="e">
        <f t="shared" si="166"/>
        <v>#NUM!</v>
      </c>
      <c r="AP29" s="159" t="e">
        <f t="shared" si="167"/>
        <v>#NUM!</v>
      </c>
      <c r="AQ29" s="159" t="e">
        <f t="shared" si="168"/>
        <v>#NUM!</v>
      </c>
      <c r="AR29" s="159" t="e">
        <f t="shared" si="169"/>
        <v>#NUM!</v>
      </c>
      <c r="AS29" s="159" t="e">
        <f t="shared" si="170"/>
        <v>#NUM!</v>
      </c>
      <c r="AT29" s="159" t="e">
        <f t="shared" si="171"/>
        <v>#NUM!</v>
      </c>
      <c r="AU29" s="159" t="e">
        <f t="shared" si="172"/>
        <v>#NUM!</v>
      </c>
      <c r="AV29" s="159" t="e">
        <f t="shared" si="173"/>
        <v>#NUM!</v>
      </c>
      <c r="AW29" s="159" t="e">
        <f t="shared" si="174"/>
        <v>#NUM!</v>
      </c>
      <c r="AX29" s="159" t="e">
        <f t="shared" si="175"/>
        <v>#NUM!</v>
      </c>
      <c r="AY29" s="159" t="e">
        <f t="shared" si="176"/>
        <v>#NUM!</v>
      </c>
      <c r="AZ29" s="159" t="e">
        <f t="shared" si="177"/>
        <v>#NUM!</v>
      </c>
      <c r="BA29" s="159" t="e">
        <f t="shared" si="178"/>
        <v>#NUM!</v>
      </c>
      <c r="BB29" s="159" t="e">
        <f t="shared" si="179"/>
        <v>#NUM!</v>
      </c>
      <c r="BC29" s="159" t="e">
        <f t="shared" si="180"/>
        <v>#NUM!</v>
      </c>
      <c r="BD29" s="159" t="e">
        <f t="shared" si="181"/>
        <v>#NUM!</v>
      </c>
      <c r="BE29" s="159" t="e">
        <f t="shared" si="182"/>
        <v>#NUM!</v>
      </c>
      <c r="BF29" s="159" t="e">
        <f t="shared" si="183"/>
        <v>#NUM!</v>
      </c>
      <c r="BG29" s="159" t="e">
        <f t="shared" si="184"/>
        <v>#NUM!</v>
      </c>
      <c r="BH29" s="159" t="e">
        <f t="shared" si="185"/>
        <v>#NUM!</v>
      </c>
      <c r="BI29" s="159" t="e">
        <f t="shared" si="186"/>
        <v>#NUM!</v>
      </c>
      <c r="BJ29" s="159" t="e">
        <f t="shared" si="187"/>
        <v>#NUM!</v>
      </c>
      <c r="BK29" s="159" t="e">
        <f t="shared" si="188"/>
        <v>#NUM!</v>
      </c>
      <c r="BL29" s="159" t="e">
        <f t="shared" si="189"/>
        <v>#NUM!</v>
      </c>
      <c r="BM29" s="159" t="e">
        <f t="shared" si="190"/>
        <v>#NUM!</v>
      </c>
      <c r="BN29" s="159" t="e">
        <f t="shared" si="191"/>
        <v>#NUM!</v>
      </c>
      <c r="BO29" s="159" t="e">
        <f t="shared" si="192"/>
        <v>#NUM!</v>
      </c>
      <c r="BP29" s="159" t="e">
        <f t="shared" si="193"/>
        <v>#NUM!</v>
      </c>
      <c r="BQ29" s="159" t="e">
        <f t="shared" si="194"/>
        <v>#NUM!</v>
      </c>
      <c r="BR29" s="159" t="e">
        <f t="shared" si="195"/>
        <v>#NUM!</v>
      </c>
      <c r="BS29" s="159" t="e">
        <f t="shared" si="196"/>
        <v>#NUM!</v>
      </c>
      <c r="BT29" s="159" t="e">
        <f t="shared" si="197"/>
        <v>#NUM!</v>
      </c>
      <c r="BU29" s="159" t="e">
        <f t="shared" si="198"/>
        <v>#NUM!</v>
      </c>
      <c r="BV29" s="159" t="e">
        <f t="shared" si="199"/>
        <v>#NUM!</v>
      </c>
      <c r="BW29" s="159"/>
      <c r="BX29" s="159"/>
      <c r="BY29" s="159"/>
      <c r="BZ29" s="159"/>
      <c r="CA29" s="159"/>
      <c r="CB29" s="159" t="e">
        <f t="shared" si="200"/>
        <v>#NUM!</v>
      </c>
      <c r="CC29" s="159" t="e">
        <f t="shared" si="201"/>
        <v>#NUM!</v>
      </c>
      <c r="CD29" s="159" t="e">
        <f t="shared" si="202"/>
        <v>#NUM!</v>
      </c>
      <c r="CE29" s="159" t="e">
        <f t="shared" si="203"/>
        <v>#NUM!</v>
      </c>
      <c r="CF29" s="159" t="e">
        <f t="shared" si="204"/>
        <v>#NUM!</v>
      </c>
      <c r="CG29" s="159" t="e">
        <f t="shared" si="205"/>
        <v>#NUM!</v>
      </c>
      <c r="CH29" s="159" t="e">
        <f t="shared" si="206"/>
        <v>#NUM!</v>
      </c>
      <c r="CI29" s="159" t="e">
        <f t="shared" si="207"/>
        <v>#NUM!</v>
      </c>
    </row>
    <row r="30" spans="1:87" x14ac:dyDescent="0.25">
      <c r="F30" s="290">
        <v>42857</v>
      </c>
      <c r="G30" s="496"/>
      <c r="H30" s="497"/>
      <c r="I30" s="341"/>
      <c r="J30" s="163"/>
      <c r="K30" s="163"/>
      <c r="L30" s="163"/>
      <c r="M30" s="163"/>
      <c r="N30" s="163"/>
      <c r="O30" s="163"/>
      <c r="P30" s="163"/>
      <c r="Q30" s="163">
        <f t="shared" si="142"/>
        <v>0.375</v>
      </c>
      <c r="R30" s="163" t="e">
        <f t="shared" si="143"/>
        <v>#NUM!</v>
      </c>
      <c r="S30" s="163">
        <f t="shared" si="144"/>
        <v>0</v>
      </c>
      <c r="T30" s="163">
        <f t="shared" si="145"/>
        <v>0</v>
      </c>
      <c r="U30" s="163" t="e">
        <f t="shared" ca="1" si="146"/>
        <v>#NUM!</v>
      </c>
      <c r="V30" s="159" t="e">
        <f t="shared" si="147"/>
        <v>#NUM!</v>
      </c>
      <c r="W30" s="159" t="e">
        <f t="shared" si="148"/>
        <v>#NUM!</v>
      </c>
      <c r="X30" s="159" t="e">
        <f t="shared" si="149"/>
        <v>#NUM!</v>
      </c>
      <c r="Y30" s="159" t="e">
        <f t="shared" si="150"/>
        <v>#NUM!</v>
      </c>
      <c r="Z30" s="159" t="e">
        <f t="shared" si="151"/>
        <v>#NUM!</v>
      </c>
      <c r="AA30" s="159" t="e">
        <f t="shared" si="152"/>
        <v>#NUM!</v>
      </c>
      <c r="AB30" s="159" t="e">
        <f t="shared" si="153"/>
        <v>#NUM!</v>
      </c>
      <c r="AC30" s="159" t="e">
        <f t="shared" si="154"/>
        <v>#NUM!</v>
      </c>
      <c r="AD30" s="159" t="e">
        <f t="shared" si="155"/>
        <v>#NUM!</v>
      </c>
      <c r="AE30" s="159" t="e">
        <f t="shared" si="156"/>
        <v>#NUM!</v>
      </c>
      <c r="AF30" s="159" t="e">
        <f t="shared" si="157"/>
        <v>#NUM!</v>
      </c>
      <c r="AG30" s="357" t="e">
        <f t="shared" si="158"/>
        <v>#NUM!</v>
      </c>
      <c r="AH30" s="159" t="e">
        <f t="shared" si="159"/>
        <v>#NUM!</v>
      </c>
      <c r="AI30" s="159" t="e">
        <f t="shared" si="160"/>
        <v>#NUM!</v>
      </c>
      <c r="AJ30" s="357" t="e">
        <f t="shared" si="161"/>
        <v>#NUM!</v>
      </c>
      <c r="AK30" s="159" t="e">
        <f t="shared" si="162"/>
        <v>#NUM!</v>
      </c>
      <c r="AL30" s="159" t="e">
        <f t="shared" si="163"/>
        <v>#NUM!</v>
      </c>
      <c r="AM30" s="159" t="e">
        <f t="shared" si="164"/>
        <v>#NUM!</v>
      </c>
      <c r="AN30" s="159" t="e">
        <f t="shared" si="165"/>
        <v>#NUM!</v>
      </c>
      <c r="AO30" s="159" t="e">
        <f t="shared" si="166"/>
        <v>#NUM!</v>
      </c>
      <c r="AP30" s="159" t="e">
        <f t="shared" si="167"/>
        <v>#NUM!</v>
      </c>
      <c r="AQ30" s="159" t="e">
        <f t="shared" si="168"/>
        <v>#NUM!</v>
      </c>
      <c r="AR30" s="159" t="e">
        <f t="shared" si="169"/>
        <v>#NUM!</v>
      </c>
      <c r="AS30" s="159" t="e">
        <f t="shared" si="170"/>
        <v>#NUM!</v>
      </c>
      <c r="AT30" s="159" t="e">
        <f t="shared" si="171"/>
        <v>#NUM!</v>
      </c>
      <c r="AU30" s="159" t="e">
        <f t="shared" si="172"/>
        <v>#NUM!</v>
      </c>
      <c r="AV30" s="159" t="e">
        <f t="shared" si="173"/>
        <v>#NUM!</v>
      </c>
      <c r="AW30" s="159" t="e">
        <f t="shared" si="174"/>
        <v>#NUM!</v>
      </c>
      <c r="AX30" s="159" t="e">
        <f t="shared" si="175"/>
        <v>#NUM!</v>
      </c>
      <c r="AY30" s="159" t="e">
        <f t="shared" si="176"/>
        <v>#NUM!</v>
      </c>
      <c r="AZ30" s="159" t="e">
        <f t="shared" si="177"/>
        <v>#NUM!</v>
      </c>
      <c r="BA30" s="159" t="e">
        <f t="shared" si="178"/>
        <v>#NUM!</v>
      </c>
      <c r="BB30" s="159" t="e">
        <f t="shared" si="179"/>
        <v>#NUM!</v>
      </c>
      <c r="BC30" s="159" t="e">
        <f t="shared" si="180"/>
        <v>#NUM!</v>
      </c>
      <c r="BD30" s="159" t="e">
        <f t="shared" si="181"/>
        <v>#NUM!</v>
      </c>
      <c r="BE30" s="159" t="e">
        <f t="shared" si="182"/>
        <v>#NUM!</v>
      </c>
      <c r="BF30" s="159" t="e">
        <f t="shared" si="183"/>
        <v>#NUM!</v>
      </c>
      <c r="BG30" s="159" t="e">
        <f t="shared" si="184"/>
        <v>#NUM!</v>
      </c>
      <c r="BH30" s="159" t="e">
        <f t="shared" si="185"/>
        <v>#NUM!</v>
      </c>
      <c r="BI30" s="159" t="e">
        <f t="shared" si="186"/>
        <v>#NUM!</v>
      </c>
      <c r="BJ30" s="159" t="e">
        <f t="shared" si="187"/>
        <v>#NUM!</v>
      </c>
      <c r="BK30" s="159" t="e">
        <f t="shared" si="188"/>
        <v>#NUM!</v>
      </c>
      <c r="BL30" s="159" t="e">
        <f t="shared" si="189"/>
        <v>#NUM!</v>
      </c>
      <c r="BM30" s="159" t="e">
        <f t="shared" si="190"/>
        <v>#NUM!</v>
      </c>
      <c r="BN30" s="159" t="e">
        <f t="shared" si="191"/>
        <v>#NUM!</v>
      </c>
      <c r="BO30" s="159" t="e">
        <f t="shared" si="192"/>
        <v>#NUM!</v>
      </c>
      <c r="BP30" s="159" t="e">
        <f t="shared" si="193"/>
        <v>#NUM!</v>
      </c>
      <c r="BQ30" s="159" t="e">
        <f t="shared" si="194"/>
        <v>#NUM!</v>
      </c>
      <c r="BR30" s="159" t="e">
        <f t="shared" si="195"/>
        <v>#NUM!</v>
      </c>
      <c r="BS30" s="159" t="e">
        <f t="shared" si="196"/>
        <v>#NUM!</v>
      </c>
      <c r="BT30" s="159" t="e">
        <f t="shared" si="197"/>
        <v>#NUM!</v>
      </c>
      <c r="BU30" s="159" t="e">
        <f t="shared" si="198"/>
        <v>#NUM!</v>
      </c>
      <c r="BV30" s="159" t="e">
        <f t="shared" si="199"/>
        <v>#NUM!</v>
      </c>
      <c r="BW30" s="159"/>
      <c r="BX30" s="159"/>
      <c r="BY30" s="159"/>
      <c r="BZ30" s="159"/>
      <c r="CA30" s="159"/>
      <c r="CB30" s="159" t="e">
        <f t="shared" si="200"/>
        <v>#NUM!</v>
      </c>
      <c r="CC30" s="159" t="e">
        <f t="shared" si="201"/>
        <v>#NUM!</v>
      </c>
      <c r="CD30" s="159" t="e">
        <f t="shared" si="202"/>
        <v>#NUM!</v>
      </c>
      <c r="CE30" s="159" t="e">
        <f t="shared" si="203"/>
        <v>#NUM!</v>
      </c>
      <c r="CF30" s="159" t="e">
        <f t="shared" si="204"/>
        <v>#NUM!</v>
      </c>
      <c r="CG30" s="159" t="e">
        <f t="shared" si="205"/>
        <v>#NUM!</v>
      </c>
      <c r="CH30" s="159" t="e">
        <f t="shared" si="206"/>
        <v>#NUM!</v>
      </c>
      <c r="CI30" s="159" t="e">
        <f t="shared" si="207"/>
        <v>#NUM!</v>
      </c>
    </row>
    <row r="31" spans="1:87" x14ac:dyDescent="0.25">
      <c r="F31" s="290">
        <v>42857</v>
      </c>
      <c r="G31" s="496"/>
      <c r="H31" s="497"/>
      <c r="I31" s="341"/>
      <c r="J31" s="163"/>
      <c r="K31" s="163"/>
      <c r="L31" s="163"/>
      <c r="M31" s="163"/>
      <c r="N31" s="163"/>
      <c r="O31" s="163"/>
      <c r="P31" s="163"/>
      <c r="Q31" s="163">
        <f t="shared" si="142"/>
        <v>0.375</v>
      </c>
      <c r="R31" s="163" t="e">
        <f t="shared" si="143"/>
        <v>#NUM!</v>
      </c>
      <c r="S31" s="163">
        <f t="shared" si="144"/>
        <v>0</v>
      </c>
      <c r="T31" s="163">
        <f t="shared" si="145"/>
        <v>0</v>
      </c>
      <c r="U31" s="163" t="e">
        <f t="shared" ca="1" si="146"/>
        <v>#NUM!</v>
      </c>
      <c r="V31" s="159" t="e">
        <f t="shared" si="147"/>
        <v>#NUM!</v>
      </c>
      <c r="W31" s="159" t="e">
        <f t="shared" si="148"/>
        <v>#NUM!</v>
      </c>
      <c r="X31" s="159" t="e">
        <f t="shared" si="149"/>
        <v>#NUM!</v>
      </c>
      <c r="Y31" s="159" t="e">
        <f t="shared" si="150"/>
        <v>#NUM!</v>
      </c>
      <c r="Z31" s="159" t="e">
        <f t="shared" si="151"/>
        <v>#NUM!</v>
      </c>
      <c r="AA31" s="159" t="e">
        <f t="shared" si="152"/>
        <v>#NUM!</v>
      </c>
      <c r="AB31" s="159" t="e">
        <f t="shared" si="153"/>
        <v>#NUM!</v>
      </c>
      <c r="AC31" s="159" t="e">
        <f t="shared" si="154"/>
        <v>#NUM!</v>
      </c>
      <c r="AD31" s="159" t="e">
        <f t="shared" si="155"/>
        <v>#NUM!</v>
      </c>
      <c r="AE31" s="159" t="e">
        <f t="shared" si="156"/>
        <v>#NUM!</v>
      </c>
      <c r="AF31" s="159" t="e">
        <f t="shared" si="157"/>
        <v>#NUM!</v>
      </c>
      <c r="AG31" s="357" t="e">
        <f t="shared" si="158"/>
        <v>#NUM!</v>
      </c>
      <c r="AH31" s="159" t="e">
        <f t="shared" si="159"/>
        <v>#NUM!</v>
      </c>
      <c r="AI31" s="159" t="e">
        <f t="shared" si="160"/>
        <v>#NUM!</v>
      </c>
      <c r="AJ31" s="357" t="e">
        <f t="shared" si="161"/>
        <v>#NUM!</v>
      </c>
      <c r="AK31" s="159" t="e">
        <f t="shared" si="162"/>
        <v>#NUM!</v>
      </c>
      <c r="AL31" s="159" t="e">
        <f t="shared" si="163"/>
        <v>#NUM!</v>
      </c>
      <c r="AM31" s="159" t="e">
        <f t="shared" si="164"/>
        <v>#NUM!</v>
      </c>
      <c r="AN31" s="159" t="e">
        <f t="shared" si="165"/>
        <v>#NUM!</v>
      </c>
      <c r="AO31" s="159" t="e">
        <f t="shared" si="166"/>
        <v>#NUM!</v>
      </c>
      <c r="AP31" s="159" t="e">
        <f t="shared" si="167"/>
        <v>#NUM!</v>
      </c>
      <c r="AQ31" s="159" t="e">
        <f t="shared" si="168"/>
        <v>#NUM!</v>
      </c>
      <c r="AR31" s="159" t="e">
        <f t="shared" si="169"/>
        <v>#NUM!</v>
      </c>
      <c r="AS31" s="159" t="e">
        <f t="shared" si="170"/>
        <v>#NUM!</v>
      </c>
      <c r="AT31" s="159" t="e">
        <f t="shared" si="171"/>
        <v>#NUM!</v>
      </c>
      <c r="AU31" s="159" t="e">
        <f t="shared" si="172"/>
        <v>#NUM!</v>
      </c>
      <c r="AV31" s="159" t="e">
        <f t="shared" si="173"/>
        <v>#NUM!</v>
      </c>
      <c r="AW31" s="159" t="e">
        <f t="shared" si="174"/>
        <v>#NUM!</v>
      </c>
      <c r="AX31" s="159" t="e">
        <f t="shared" si="175"/>
        <v>#NUM!</v>
      </c>
      <c r="AY31" s="159" t="e">
        <f t="shared" si="176"/>
        <v>#NUM!</v>
      </c>
      <c r="AZ31" s="159" t="e">
        <f t="shared" si="177"/>
        <v>#NUM!</v>
      </c>
      <c r="BA31" s="159" t="e">
        <f t="shared" si="178"/>
        <v>#NUM!</v>
      </c>
      <c r="BB31" s="159" t="e">
        <f t="shared" si="179"/>
        <v>#NUM!</v>
      </c>
      <c r="BC31" s="159" t="e">
        <f t="shared" si="180"/>
        <v>#NUM!</v>
      </c>
      <c r="BD31" s="159" t="e">
        <f t="shared" si="181"/>
        <v>#NUM!</v>
      </c>
      <c r="BE31" s="159" t="e">
        <f t="shared" si="182"/>
        <v>#NUM!</v>
      </c>
      <c r="BF31" s="159" t="e">
        <f t="shared" si="183"/>
        <v>#NUM!</v>
      </c>
      <c r="BG31" s="159" t="e">
        <f t="shared" si="184"/>
        <v>#NUM!</v>
      </c>
      <c r="BH31" s="159" t="e">
        <f t="shared" si="185"/>
        <v>#NUM!</v>
      </c>
      <c r="BI31" s="159" t="e">
        <f t="shared" si="186"/>
        <v>#NUM!</v>
      </c>
      <c r="BJ31" s="159" t="e">
        <f t="shared" si="187"/>
        <v>#NUM!</v>
      </c>
      <c r="BK31" s="159" t="e">
        <f t="shared" si="188"/>
        <v>#NUM!</v>
      </c>
      <c r="BL31" s="159" t="e">
        <f t="shared" si="189"/>
        <v>#NUM!</v>
      </c>
      <c r="BM31" s="159" t="e">
        <f t="shared" si="190"/>
        <v>#NUM!</v>
      </c>
      <c r="BN31" s="159" t="e">
        <f t="shared" si="191"/>
        <v>#NUM!</v>
      </c>
      <c r="BO31" s="159" t="e">
        <f t="shared" si="192"/>
        <v>#NUM!</v>
      </c>
      <c r="BP31" s="159" t="e">
        <f t="shared" si="193"/>
        <v>#NUM!</v>
      </c>
      <c r="BQ31" s="159" t="e">
        <f t="shared" si="194"/>
        <v>#NUM!</v>
      </c>
      <c r="BR31" s="159" t="e">
        <f t="shared" si="195"/>
        <v>#NUM!</v>
      </c>
      <c r="BS31" s="159" t="e">
        <f t="shared" si="196"/>
        <v>#NUM!</v>
      </c>
      <c r="BT31" s="159" t="e">
        <f t="shared" si="197"/>
        <v>#NUM!</v>
      </c>
      <c r="BU31" s="159" t="e">
        <f t="shared" si="198"/>
        <v>#NUM!</v>
      </c>
      <c r="BV31" s="159" t="e">
        <f t="shared" si="199"/>
        <v>#NUM!</v>
      </c>
      <c r="BW31" s="159"/>
      <c r="BX31" s="159"/>
      <c r="BY31" s="159"/>
      <c r="BZ31" s="159"/>
      <c r="CA31" s="159"/>
      <c r="CB31" s="159" t="e">
        <f t="shared" si="200"/>
        <v>#NUM!</v>
      </c>
      <c r="CC31" s="159" t="e">
        <f t="shared" si="201"/>
        <v>#NUM!</v>
      </c>
      <c r="CD31" s="159" t="e">
        <f t="shared" si="202"/>
        <v>#NUM!</v>
      </c>
      <c r="CE31" s="159" t="e">
        <f t="shared" si="203"/>
        <v>#NUM!</v>
      </c>
      <c r="CF31" s="159" t="e">
        <f t="shared" si="204"/>
        <v>#NUM!</v>
      </c>
      <c r="CG31" s="159" t="e">
        <f t="shared" si="205"/>
        <v>#NUM!</v>
      </c>
      <c r="CH31" s="159" t="e">
        <f t="shared" si="206"/>
        <v>#NUM!</v>
      </c>
      <c r="CI31" s="159" t="e">
        <f t="shared" si="207"/>
        <v>#NUM!</v>
      </c>
    </row>
    <row r="32" spans="1:87" x14ac:dyDescent="0.25">
      <c r="F32" s="290">
        <v>42857</v>
      </c>
      <c r="G32" s="496"/>
      <c r="H32" s="497"/>
      <c r="I32" s="341"/>
      <c r="J32" s="163"/>
      <c r="K32" s="163"/>
      <c r="L32" s="163"/>
      <c r="M32" s="163"/>
      <c r="N32" s="163"/>
      <c r="O32" s="163"/>
      <c r="P32" s="163"/>
      <c r="Q32" s="163">
        <f t="shared" si="142"/>
        <v>0.375</v>
      </c>
      <c r="R32" s="163" t="e">
        <f t="shared" si="143"/>
        <v>#NUM!</v>
      </c>
      <c r="S32" s="163">
        <f t="shared" si="144"/>
        <v>0</v>
      </c>
      <c r="T32" s="163">
        <f t="shared" si="145"/>
        <v>0</v>
      </c>
      <c r="U32" s="163" t="e">
        <f t="shared" ca="1" si="146"/>
        <v>#NUM!</v>
      </c>
      <c r="V32" s="159" t="e">
        <f t="shared" si="147"/>
        <v>#NUM!</v>
      </c>
      <c r="W32" s="159" t="e">
        <f t="shared" si="148"/>
        <v>#NUM!</v>
      </c>
      <c r="X32" s="159" t="e">
        <f t="shared" si="149"/>
        <v>#NUM!</v>
      </c>
      <c r="Y32" s="159" t="e">
        <f t="shared" si="150"/>
        <v>#NUM!</v>
      </c>
      <c r="Z32" s="159" t="e">
        <f t="shared" si="151"/>
        <v>#NUM!</v>
      </c>
      <c r="AA32" s="159" t="e">
        <f t="shared" si="152"/>
        <v>#NUM!</v>
      </c>
      <c r="AB32" s="159" t="e">
        <f t="shared" si="153"/>
        <v>#NUM!</v>
      </c>
      <c r="AC32" s="159" t="e">
        <f t="shared" si="154"/>
        <v>#NUM!</v>
      </c>
      <c r="AD32" s="159" t="e">
        <f t="shared" si="155"/>
        <v>#NUM!</v>
      </c>
      <c r="AE32" s="159" t="e">
        <f t="shared" si="156"/>
        <v>#NUM!</v>
      </c>
      <c r="AF32" s="159" t="e">
        <f t="shared" si="157"/>
        <v>#NUM!</v>
      </c>
      <c r="AG32" s="357" t="e">
        <f t="shared" si="158"/>
        <v>#NUM!</v>
      </c>
      <c r="AH32" s="159" t="e">
        <f t="shared" si="159"/>
        <v>#NUM!</v>
      </c>
      <c r="AI32" s="159" t="e">
        <f t="shared" si="160"/>
        <v>#NUM!</v>
      </c>
      <c r="AJ32" s="357" t="e">
        <f t="shared" si="161"/>
        <v>#NUM!</v>
      </c>
      <c r="AK32" s="159" t="e">
        <f t="shared" si="162"/>
        <v>#NUM!</v>
      </c>
      <c r="AL32" s="159" t="e">
        <f t="shared" si="163"/>
        <v>#NUM!</v>
      </c>
      <c r="AM32" s="159" t="e">
        <f t="shared" si="164"/>
        <v>#NUM!</v>
      </c>
      <c r="AN32" s="159" t="e">
        <f t="shared" si="165"/>
        <v>#NUM!</v>
      </c>
      <c r="AO32" s="159" t="e">
        <f t="shared" si="166"/>
        <v>#NUM!</v>
      </c>
      <c r="AP32" s="159" t="e">
        <f t="shared" si="167"/>
        <v>#NUM!</v>
      </c>
      <c r="AQ32" s="159" t="e">
        <f t="shared" si="168"/>
        <v>#NUM!</v>
      </c>
      <c r="AR32" s="159" t="e">
        <f t="shared" si="169"/>
        <v>#NUM!</v>
      </c>
      <c r="AS32" s="159" t="e">
        <f t="shared" si="170"/>
        <v>#NUM!</v>
      </c>
      <c r="AT32" s="159" t="e">
        <f t="shared" si="171"/>
        <v>#NUM!</v>
      </c>
      <c r="AU32" s="159" t="e">
        <f t="shared" si="172"/>
        <v>#NUM!</v>
      </c>
      <c r="AV32" s="159" t="e">
        <f t="shared" si="173"/>
        <v>#NUM!</v>
      </c>
      <c r="AW32" s="159" t="e">
        <f t="shared" si="174"/>
        <v>#NUM!</v>
      </c>
      <c r="AX32" s="159" t="e">
        <f t="shared" si="175"/>
        <v>#NUM!</v>
      </c>
      <c r="AY32" s="159" t="e">
        <f t="shared" si="176"/>
        <v>#NUM!</v>
      </c>
      <c r="AZ32" s="159" t="e">
        <f t="shared" si="177"/>
        <v>#NUM!</v>
      </c>
      <c r="BA32" s="159" t="e">
        <f t="shared" si="178"/>
        <v>#NUM!</v>
      </c>
      <c r="BB32" s="159" t="e">
        <f t="shared" si="179"/>
        <v>#NUM!</v>
      </c>
      <c r="BC32" s="159" t="e">
        <f t="shared" si="180"/>
        <v>#NUM!</v>
      </c>
      <c r="BD32" s="159" t="e">
        <f t="shared" si="181"/>
        <v>#NUM!</v>
      </c>
      <c r="BE32" s="159" t="e">
        <f t="shared" si="182"/>
        <v>#NUM!</v>
      </c>
      <c r="BF32" s="159" t="e">
        <f t="shared" si="183"/>
        <v>#NUM!</v>
      </c>
      <c r="BG32" s="159" t="e">
        <f t="shared" si="184"/>
        <v>#NUM!</v>
      </c>
      <c r="BH32" s="159" t="e">
        <f t="shared" si="185"/>
        <v>#NUM!</v>
      </c>
      <c r="BI32" s="159" t="e">
        <f t="shared" si="186"/>
        <v>#NUM!</v>
      </c>
      <c r="BJ32" s="159" t="e">
        <f t="shared" si="187"/>
        <v>#NUM!</v>
      </c>
      <c r="BK32" s="159" t="e">
        <f t="shared" si="188"/>
        <v>#NUM!</v>
      </c>
      <c r="BL32" s="159" t="e">
        <f t="shared" si="189"/>
        <v>#NUM!</v>
      </c>
      <c r="BM32" s="159" t="e">
        <f t="shared" si="190"/>
        <v>#NUM!</v>
      </c>
      <c r="BN32" s="159" t="e">
        <f t="shared" si="191"/>
        <v>#NUM!</v>
      </c>
      <c r="BO32" s="159" t="e">
        <f t="shared" si="192"/>
        <v>#NUM!</v>
      </c>
      <c r="BP32" s="159" t="e">
        <f t="shared" si="193"/>
        <v>#NUM!</v>
      </c>
      <c r="BQ32" s="159" t="e">
        <f t="shared" si="194"/>
        <v>#NUM!</v>
      </c>
      <c r="BR32" s="159" t="e">
        <f t="shared" si="195"/>
        <v>#NUM!</v>
      </c>
      <c r="BS32" s="159" t="e">
        <f t="shared" si="196"/>
        <v>#NUM!</v>
      </c>
      <c r="BT32" s="159" t="e">
        <f t="shared" si="197"/>
        <v>#NUM!</v>
      </c>
      <c r="BU32" s="159" t="e">
        <f t="shared" si="198"/>
        <v>#NUM!</v>
      </c>
      <c r="BV32" s="159" t="e">
        <f t="shared" si="199"/>
        <v>#NUM!</v>
      </c>
      <c r="BW32" s="159"/>
      <c r="BX32" s="159"/>
      <c r="BY32" s="159"/>
      <c r="BZ32" s="159"/>
      <c r="CA32" s="159"/>
      <c r="CB32" s="159" t="e">
        <f t="shared" si="200"/>
        <v>#NUM!</v>
      </c>
      <c r="CC32" s="159" t="e">
        <f t="shared" si="201"/>
        <v>#NUM!</v>
      </c>
      <c r="CD32" s="159" t="e">
        <f t="shared" si="202"/>
        <v>#NUM!</v>
      </c>
      <c r="CE32" s="159" t="e">
        <f t="shared" si="203"/>
        <v>#NUM!</v>
      </c>
      <c r="CF32" s="159" t="e">
        <f t="shared" si="204"/>
        <v>#NUM!</v>
      </c>
      <c r="CG32" s="159" t="e">
        <f t="shared" si="205"/>
        <v>#NUM!</v>
      </c>
      <c r="CH32" s="159" t="e">
        <f t="shared" si="206"/>
        <v>#NUM!</v>
      </c>
      <c r="CI32" s="159" t="e">
        <f t="shared" si="207"/>
        <v>#NUM!</v>
      </c>
    </row>
    <row r="33" spans="6:87" x14ac:dyDescent="0.25">
      <c r="F33" s="290">
        <v>42857</v>
      </c>
      <c r="G33" s="496"/>
      <c r="H33" s="497"/>
      <c r="I33" s="341"/>
      <c r="J33" s="163"/>
      <c r="K33" s="163"/>
      <c r="L33" s="163"/>
      <c r="M33" s="163"/>
      <c r="N33" s="163"/>
      <c r="O33" s="163"/>
      <c r="P33" s="163"/>
      <c r="Q33" s="163">
        <f t="shared" si="142"/>
        <v>0.375</v>
      </c>
      <c r="R33" s="163" t="e">
        <f t="shared" si="143"/>
        <v>#NUM!</v>
      </c>
      <c r="S33" s="163">
        <f t="shared" si="144"/>
        <v>0</v>
      </c>
      <c r="T33" s="163">
        <f t="shared" si="145"/>
        <v>0</v>
      </c>
      <c r="U33" s="163" t="e">
        <f t="shared" ca="1" si="146"/>
        <v>#NUM!</v>
      </c>
      <c r="V33" s="159" t="e">
        <f t="shared" si="147"/>
        <v>#NUM!</v>
      </c>
      <c r="W33" s="159" t="e">
        <f t="shared" si="148"/>
        <v>#NUM!</v>
      </c>
      <c r="X33" s="159" t="e">
        <f t="shared" si="149"/>
        <v>#NUM!</v>
      </c>
      <c r="Y33" s="159" t="e">
        <f t="shared" si="150"/>
        <v>#NUM!</v>
      </c>
      <c r="Z33" s="159" t="e">
        <f t="shared" si="151"/>
        <v>#NUM!</v>
      </c>
      <c r="AA33" s="159" t="e">
        <f t="shared" si="152"/>
        <v>#NUM!</v>
      </c>
      <c r="AB33" s="159" t="e">
        <f t="shared" si="153"/>
        <v>#NUM!</v>
      </c>
      <c r="AC33" s="159" t="e">
        <f t="shared" si="154"/>
        <v>#NUM!</v>
      </c>
      <c r="AD33" s="159" t="e">
        <f t="shared" si="155"/>
        <v>#NUM!</v>
      </c>
      <c r="AE33" s="159" t="e">
        <f t="shared" si="156"/>
        <v>#NUM!</v>
      </c>
      <c r="AF33" s="159" t="e">
        <f t="shared" si="157"/>
        <v>#NUM!</v>
      </c>
      <c r="AG33" s="357" t="e">
        <f t="shared" si="158"/>
        <v>#NUM!</v>
      </c>
      <c r="AH33" s="159" t="e">
        <f t="shared" si="159"/>
        <v>#NUM!</v>
      </c>
      <c r="AI33" s="159" t="e">
        <f t="shared" si="160"/>
        <v>#NUM!</v>
      </c>
      <c r="AJ33" s="357" t="e">
        <f t="shared" si="161"/>
        <v>#NUM!</v>
      </c>
      <c r="AK33" s="159" t="e">
        <f t="shared" si="162"/>
        <v>#NUM!</v>
      </c>
      <c r="AL33" s="159" t="e">
        <f t="shared" si="163"/>
        <v>#NUM!</v>
      </c>
      <c r="AM33" s="159" t="e">
        <f t="shared" si="164"/>
        <v>#NUM!</v>
      </c>
      <c r="AN33" s="159" t="e">
        <f t="shared" si="165"/>
        <v>#NUM!</v>
      </c>
      <c r="AO33" s="159" t="e">
        <f t="shared" si="166"/>
        <v>#NUM!</v>
      </c>
      <c r="AP33" s="159" t="e">
        <f t="shared" si="167"/>
        <v>#NUM!</v>
      </c>
      <c r="AQ33" s="159" t="e">
        <f t="shared" si="168"/>
        <v>#NUM!</v>
      </c>
      <c r="AR33" s="159" t="e">
        <f t="shared" si="169"/>
        <v>#NUM!</v>
      </c>
      <c r="AS33" s="159" t="e">
        <f t="shared" si="170"/>
        <v>#NUM!</v>
      </c>
      <c r="AT33" s="159" t="e">
        <f t="shared" si="171"/>
        <v>#NUM!</v>
      </c>
      <c r="AU33" s="159" t="e">
        <f t="shared" si="172"/>
        <v>#NUM!</v>
      </c>
      <c r="AV33" s="159" t="e">
        <f t="shared" si="173"/>
        <v>#NUM!</v>
      </c>
      <c r="AW33" s="159" t="e">
        <f t="shared" si="174"/>
        <v>#NUM!</v>
      </c>
      <c r="AX33" s="159" t="e">
        <f t="shared" si="175"/>
        <v>#NUM!</v>
      </c>
      <c r="AY33" s="159" t="e">
        <f t="shared" si="176"/>
        <v>#NUM!</v>
      </c>
      <c r="AZ33" s="159" t="e">
        <f t="shared" si="177"/>
        <v>#NUM!</v>
      </c>
      <c r="BA33" s="159" t="e">
        <f t="shared" si="178"/>
        <v>#NUM!</v>
      </c>
      <c r="BB33" s="159" t="e">
        <f t="shared" si="179"/>
        <v>#NUM!</v>
      </c>
      <c r="BC33" s="159" t="e">
        <f t="shared" si="180"/>
        <v>#NUM!</v>
      </c>
      <c r="BD33" s="159" t="e">
        <f t="shared" si="181"/>
        <v>#NUM!</v>
      </c>
      <c r="BE33" s="159" t="e">
        <f t="shared" si="182"/>
        <v>#NUM!</v>
      </c>
      <c r="BF33" s="159" t="e">
        <f t="shared" si="183"/>
        <v>#NUM!</v>
      </c>
      <c r="BG33" s="159" t="e">
        <f t="shared" si="184"/>
        <v>#NUM!</v>
      </c>
      <c r="BH33" s="159" t="e">
        <f t="shared" si="185"/>
        <v>#NUM!</v>
      </c>
      <c r="BI33" s="159" t="e">
        <f t="shared" si="186"/>
        <v>#NUM!</v>
      </c>
      <c r="BJ33" s="159" t="e">
        <f t="shared" si="187"/>
        <v>#NUM!</v>
      </c>
      <c r="BK33" s="159" t="e">
        <f t="shared" si="188"/>
        <v>#NUM!</v>
      </c>
      <c r="BL33" s="159" t="e">
        <f t="shared" si="189"/>
        <v>#NUM!</v>
      </c>
      <c r="BM33" s="159" t="e">
        <f t="shared" si="190"/>
        <v>#NUM!</v>
      </c>
      <c r="BN33" s="159" t="e">
        <f t="shared" si="191"/>
        <v>#NUM!</v>
      </c>
      <c r="BO33" s="159" t="e">
        <f t="shared" si="192"/>
        <v>#NUM!</v>
      </c>
      <c r="BP33" s="159" t="e">
        <f t="shared" si="193"/>
        <v>#NUM!</v>
      </c>
      <c r="BQ33" s="159" t="e">
        <f t="shared" si="194"/>
        <v>#NUM!</v>
      </c>
      <c r="BR33" s="159" t="e">
        <f t="shared" si="195"/>
        <v>#NUM!</v>
      </c>
      <c r="BS33" s="159" t="e">
        <f t="shared" si="196"/>
        <v>#NUM!</v>
      </c>
      <c r="BT33" s="159" t="e">
        <f t="shared" si="197"/>
        <v>#NUM!</v>
      </c>
      <c r="BU33" s="159" t="e">
        <f t="shared" si="198"/>
        <v>#NUM!</v>
      </c>
      <c r="BV33" s="159" t="e">
        <f t="shared" si="199"/>
        <v>#NUM!</v>
      </c>
      <c r="BW33" s="159"/>
      <c r="BX33" s="159"/>
      <c r="BY33" s="159"/>
      <c r="BZ33" s="159"/>
      <c r="CA33" s="159"/>
      <c r="CB33" s="159" t="e">
        <f t="shared" si="200"/>
        <v>#NUM!</v>
      </c>
      <c r="CC33" s="159" t="e">
        <f t="shared" si="201"/>
        <v>#NUM!</v>
      </c>
      <c r="CD33" s="159" t="e">
        <f t="shared" si="202"/>
        <v>#NUM!</v>
      </c>
      <c r="CE33" s="159" t="e">
        <f t="shared" si="203"/>
        <v>#NUM!</v>
      </c>
      <c r="CF33" s="159" t="e">
        <f t="shared" si="204"/>
        <v>#NUM!</v>
      </c>
      <c r="CG33" s="159" t="e">
        <f t="shared" si="205"/>
        <v>#NUM!</v>
      </c>
      <c r="CH33" s="159" t="e">
        <f t="shared" si="206"/>
        <v>#NUM!</v>
      </c>
      <c r="CI33" s="159" t="e">
        <f t="shared" si="207"/>
        <v>#NUM!</v>
      </c>
    </row>
    <row r="34" spans="6:87" x14ac:dyDescent="0.25">
      <c r="F34" s="290">
        <v>42857</v>
      </c>
      <c r="G34" s="496"/>
      <c r="H34" s="497"/>
      <c r="I34" s="341"/>
      <c r="J34" s="163"/>
      <c r="K34" s="163"/>
      <c r="L34" s="163"/>
      <c r="M34" s="163"/>
      <c r="N34" s="163"/>
      <c r="O34" s="163"/>
      <c r="P34" s="163"/>
      <c r="Q34" s="163">
        <f t="shared" si="142"/>
        <v>0.375</v>
      </c>
      <c r="R34" s="163" t="e">
        <f t="shared" si="143"/>
        <v>#NUM!</v>
      </c>
      <c r="S34" s="163">
        <f t="shared" si="144"/>
        <v>0</v>
      </c>
      <c r="T34" s="163">
        <f t="shared" si="145"/>
        <v>0</v>
      </c>
      <c r="U34" s="163" t="e">
        <f t="shared" ca="1" si="146"/>
        <v>#NUM!</v>
      </c>
      <c r="V34" s="159" t="e">
        <f t="shared" si="147"/>
        <v>#NUM!</v>
      </c>
      <c r="W34" s="159" t="e">
        <f t="shared" si="148"/>
        <v>#NUM!</v>
      </c>
      <c r="X34" s="159" t="e">
        <f t="shared" si="149"/>
        <v>#NUM!</v>
      </c>
      <c r="Y34" s="159" t="e">
        <f t="shared" si="150"/>
        <v>#NUM!</v>
      </c>
      <c r="Z34" s="159" t="e">
        <f t="shared" si="151"/>
        <v>#NUM!</v>
      </c>
      <c r="AA34" s="159" t="e">
        <f t="shared" si="152"/>
        <v>#NUM!</v>
      </c>
      <c r="AB34" s="159" t="e">
        <f t="shared" si="153"/>
        <v>#NUM!</v>
      </c>
      <c r="AC34" s="159" t="e">
        <f t="shared" si="154"/>
        <v>#NUM!</v>
      </c>
      <c r="AD34" s="159" t="e">
        <f t="shared" si="155"/>
        <v>#NUM!</v>
      </c>
      <c r="AE34" s="159" t="e">
        <f t="shared" si="156"/>
        <v>#NUM!</v>
      </c>
      <c r="AF34" s="159" t="e">
        <f t="shared" si="157"/>
        <v>#NUM!</v>
      </c>
      <c r="AG34" s="357" t="e">
        <f t="shared" si="158"/>
        <v>#NUM!</v>
      </c>
      <c r="AH34" s="159" t="e">
        <f t="shared" si="159"/>
        <v>#NUM!</v>
      </c>
      <c r="AI34" s="159" t="e">
        <f t="shared" si="160"/>
        <v>#NUM!</v>
      </c>
      <c r="AJ34" s="357" t="e">
        <f t="shared" si="161"/>
        <v>#NUM!</v>
      </c>
      <c r="AK34" s="159" t="e">
        <f t="shared" si="162"/>
        <v>#NUM!</v>
      </c>
      <c r="AL34" s="159" t="e">
        <f t="shared" si="163"/>
        <v>#NUM!</v>
      </c>
      <c r="AM34" s="159" t="e">
        <f t="shared" si="164"/>
        <v>#NUM!</v>
      </c>
      <c r="AN34" s="159" t="e">
        <f t="shared" si="165"/>
        <v>#NUM!</v>
      </c>
      <c r="AO34" s="159" t="e">
        <f t="shared" si="166"/>
        <v>#NUM!</v>
      </c>
      <c r="AP34" s="159" t="e">
        <f t="shared" si="167"/>
        <v>#NUM!</v>
      </c>
      <c r="AQ34" s="159" t="e">
        <f t="shared" si="168"/>
        <v>#NUM!</v>
      </c>
      <c r="AR34" s="159" t="e">
        <f t="shared" si="169"/>
        <v>#NUM!</v>
      </c>
      <c r="AS34" s="159" t="e">
        <f t="shared" si="170"/>
        <v>#NUM!</v>
      </c>
      <c r="AT34" s="159" t="e">
        <f t="shared" si="171"/>
        <v>#NUM!</v>
      </c>
      <c r="AU34" s="159" t="e">
        <f t="shared" si="172"/>
        <v>#NUM!</v>
      </c>
      <c r="AV34" s="159" t="e">
        <f t="shared" si="173"/>
        <v>#NUM!</v>
      </c>
      <c r="AW34" s="159" t="e">
        <f t="shared" si="174"/>
        <v>#NUM!</v>
      </c>
      <c r="AX34" s="159" t="e">
        <f t="shared" si="175"/>
        <v>#NUM!</v>
      </c>
      <c r="AY34" s="159" t="e">
        <f t="shared" si="176"/>
        <v>#NUM!</v>
      </c>
      <c r="AZ34" s="159" t="e">
        <f t="shared" si="177"/>
        <v>#NUM!</v>
      </c>
      <c r="BA34" s="159" t="e">
        <f t="shared" si="178"/>
        <v>#NUM!</v>
      </c>
      <c r="BB34" s="159" t="e">
        <f t="shared" si="179"/>
        <v>#NUM!</v>
      </c>
      <c r="BC34" s="159" t="e">
        <f t="shared" si="180"/>
        <v>#NUM!</v>
      </c>
      <c r="BD34" s="159" t="e">
        <f t="shared" si="181"/>
        <v>#NUM!</v>
      </c>
      <c r="BE34" s="159" t="e">
        <f t="shared" si="182"/>
        <v>#NUM!</v>
      </c>
      <c r="BF34" s="159" t="e">
        <f t="shared" si="183"/>
        <v>#NUM!</v>
      </c>
      <c r="BG34" s="159" t="e">
        <f t="shared" si="184"/>
        <v>#NUM!</v>
      </c>
      <c r="BH34" s="159" t="e">
        <f t="shared" si="185"/>
        <v>#NUM!</v>
      </c>
      <c r="BI34" s="159" t="e">
        <f t="shared" si="186"/>
        <v>#NUM!</v>
      </c>
      <c r="BJ34" s="159" t="e">
        <f t="shared" si="187"/>
        <v>#NUM!</v>
      </c>
      <c r="BK34" s="159" t="e">
        <f t="shared" si="188"/>
        <v>#NUM!</v>
      </c>
      <c r="BL34" s="159" t="e">
        <f t="shared" si="189"/>
        <v>#NUM!</v>
      </c>
      <c r="BM34" s="159" t="e">
        <f t="shared" si="190"/>
        <v>#NUM!</v>
      </c>
      <c r="BN34" s="159" t="e">
        <f t="shared" si="191"/>
        <v>#NUM!</v>
      </c>
      <c r="BO34" s="159" t="e">
        <f t="shared" si="192"/>
        <v>#NUM!</v>
      </c>
      <c r="BP34" s="159" t="e">
        <f t="shared" si="193"/>
        <v>#NUM!</v>
      </c>
      <c r="BQ34" s="159" t="e">
        <f t="shared" si="194"/>
        <v>#NUM!</v>
      </c>
      <c r="BR34" s="159" t="e">
        <f t="shared" si="195"/>
        <v>#NUM!</v>
      </c>
      <c r="BS34" s="159" t="e">
        <f t="shared" si="196"/>
        <v>#NUM!</v>
      </c>
      <c r="BT34" s="159" t="e">
        <f t="shared" si="197"/>
        <v>#NUM!</v>
      </c>
      <c r="BU34" s="159" t="e">
        <f t="shared" si="198"/>
        <v>#NUM!</v>
      </c>
      <c r="BV34" s="159" t="e">
        <f t="shared" si="199"/>
        <v>#NUM!</v>
      </c>
      <c r="BW34" s="159"/>
      <c r="BX34" s="159"/>
      <c r="BY34" s="159"/>
      <c r="BZ34" s="159"/>
      <c r="CA34" s="159"/>
      <c r="CB34" s="159" t="e">
        <f t="shared" si="200"/>
        <v>#NUM!</v>
      </c>
      <c r="CC34" s="159" t="e">
        <f t="shared" si="201"/>
        <v>#NUM!</v>
      </c>
      <c r="CD34" s="159" t="e">
        <f t="shared" si="202"/>
        <v>#NUM!</v>
      </c>
      <c r="CE34" s="159" t="e">
        <f t="shared" si="203"/>
        <v>#NUM!</v>
      </c>
      <c r="CF34" s="159" t="e">
        <f t="shared" si="204"/>
        <v>#NUM!</v>
      </c>
      <c r="CG34" s="159" t="e">
        <f t="shared" si="205"/>
        <v>#NUM!</v>
      </c>
      <c r="CH34" s="159" t="e">
        <f t="shared" si="206"/>
        <v>#NUM!</v>
      </c>
      <c r="CI34" s="159" t="e">
        <f t="shared" si="207"/>
        <v>#NUM!</v>
      </c>
    </row>
  </sheetData>
  <sortState ref="A23:CI40">
    <sortCondition descending="1" ref="CC23:CC40"/>
    <sortCondition descending="1" ref="CB23:CB40"/>
  </sortState>
  <conditionalFormatting sqref="U3:U34">
    <cfRule type="cellIs" dxfId="322" priority="101" operator="greaterThan">
      <formula>15</formula>
    </cfRule>
  </conditionalFormatting>
  <conditionalFormatting sqref="Q3:Q34">
    <cfRule type="cellIs" dxfId="321" priority="100" operator="greaterThan">
      <formula>3.2</formula>
    </cfRule>
  </conditionalFormatting>
  <conditionalFormatting sqref="S3:T34">
    <cfRule type="cellIs" dxfId="320" priority="99" operator="greaterThan">
      <formula>0.6</formula>
    </cfRule>
  </conditionalFormatting>
  <conditionalFormatting sqref="AG23:AH23 V23:AA23 BK3:BQ18 BW3:CI18 BR16:BV18 BR20:BV22 AB20:AF23 BW20:CI23 AA20:AA22 BK20:BQ23 V3:Y22 AH3:AH22 AA3:AF19 BK19:CI19 BV24:CI34 BK24:BT34 AA24:AF34 V24:Y34 AH24:AH34 AJ3:AL34 BF3:BI34 AZ3:BC34 AN3:AQ34 AS3:AX34">
    <cfRule type="cellIs" dxfId="319" priority="98" operator="greaterThan">
      <formula>12.5</formula>
    </cfRule>
  </conditionalFormatting>
  <conditionalFormatting sqref="BJ23 BE23 AR23">
    <cfRule type="cellIs" dxfId="318" priority="97" operator="greaterThan">
      <formula>12.5</formula>
    </cfRule>
  </conditionalFormatting>
  <conditionalFormatting sqref="H3:I4 H5:H22 H24:H34">
    <cfRule type="cellIs" dxfId="317" priority="95" operator="greaterThan">
      <formula>7</formula>
    </cfRule>
  </conditionalFormatting>
  <conditionalFormatting sqref="AY23">
    <cfRule type="cellIs" dxfId="316" priority="87" operator="greaterThan">
      <formula>12.5</formula>
    </cfRule>
  </conditionalFormatting>
  <conditionalFormatting sqref="Z3:Z22 AR3:AR22 AY3:AY22 BJ3:BJ22 BE3:BE22 AG16:AG22 Z24:Z34 AR24:AR34 AY24:AY34 BJ24:BJ34 BE24:BE34">
    <cfRule type="cellIs" dxfId="315" priority="83" operator="greaterThan">
      <formula>12</formula>
    </cfRule>
  </conditionalFormatting>
  <conditionalFormatting sqref="AG3:AG4">
    <cfRule type="cellIs" dxfId="314" priority="82" operator="greaterThan">
      <formula>12</formula>
    </cfRule>
  </conditionalFormatting>
  <conditionalFormatting sqref="BR23:BS23 BR3:BV4 BR5:BT15 BV5:BV15">
    <cfRule type="cellIs" dxfId="313" priority="78" operator="greaterThan">
      <formula>12.5</formula>
    </cfRule>
  </conditionalFormatting>
  <conditionalFormatting sqref="BT23">
    <cfRule type="cellIs" dxfId="312" priority="77" operator="greaterThan">
      <formula>12.5</formula>
    </cfRule>
  </conditionalFormatting>
  <conditionalFormatting sqref="BU23:BV23">
    <cfRule type="cellIs" dxfId="311" priority="76" operator="greaterThan">
      <formula>12.5</formula>
    </cfRule>
  </conditionalFormatting>
  <conditionalFormatting sqref="AG5:AG15 AG24:AG34">
    <cfRule type="cellIs" dxfId="310" priority="49" operator="lessThan">
      <formula>13</formula>
    </cfRule>
    <cfRule type="cellIs" dxfId="309" priority="50" operator="greaterThan">
      <formula>13.5</formula>
    </cfRule>
  </conditionalFormatting>
  <conditionalFormatting sqref="BU5:BU15 BU24:BU34">
    <cfRule type="cellIs" dxfId="308" priority="47" operator="lessThan">
      <formula>13</formula>
    </cfRule>
    <cfRule type="cellIs" dxfId="307" priority="48" operator="greaterThan">
      <formula>16</formula>
    </cfRule>
  </conditionalFormatting>
  <conditionalFormatting sqref="AG24:AG34">
    <cfRule type="cellIs" dxfId="306" priority="32" operator="greaterThan">
      <formula>13.42</formula>
    </cfRule>
  </conditionalFormatting>
  <conditionalFormatting sqref="AJ24:AJ34">
    <cfRule type="cellIs" dxfId="305" priority="31" operator="greaterThan">
      <formula>8.99</formula>
    </cfRule>
  </conditionalFormatting>
  <conditionalFormatting sqref="R3:R4">
    <cfRule type="colorScale" priority="2009">
      <colorScale>
        <cfvo type="min"/>
        <cfvo type="max"/>
        <color rgb="FFFFEF9C"/>
        <color rgb="FF63BE7B"/>
      </colorScale>
    </cfRule>
  </conditionalFormatting>
  <conditionalFormatting sqref="J3:P22">
    <cfRule type="colorScale" priority="2088">
      <colorScale>
        <cfvo type="min"/>
        <cfvo type="max"/>
        <color rgb="FFFCFCFF"/>
        <color rgb="FFF8696B"/>
      </colorScale>
    </cfRule>
  </conditionalFormatting>
  <conditionalFormatting sqref="J24:P34">
    <cfRule type="colorScale" priority="3011">
      <colorScale>
        <cfvo type="min"/>
        <cfvo type="max"/>
        <color rgb="FFFCFCFF"/>
        <color rgb="FFF8696B"/>
      </colorScale>
    </cfRule>
  </conditionalFormatting>
  <conditionalFormatting sqref="R5:R34">
    <cfRule type="colorScale" priority="3012">
      <colorScale>
        <cfvo type="min"/>
        <cfvo type="max"/>
        <color rgb="FFFFEF9C"/>
        <color rgb="FF63BE7B"/>
      </colorScale>
    </cfRule>
  </conditionalFormatting>
  <conditionalFormatting sqref="I5:I34">
    <cfRule type="dataBar" priority="3013">
      <dataBar>
        <cfvo type="min"/>
        <cfvo type="max"/>
        <color rgb="FF008AEF"/>
      </dataBar>
      <extLst>
        <ext xmlns:x14="http://schemas.microsoft.com/office/spreadsheetml/2009/9/main" uri="{B025F937-C7B1-47D3-B67F-A62EFF666E3E}">
          <x14:id>{DC9059CD-CEFC-471A-B519-1EDC13FE5FE4}</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DC9059CD-CEFC-471A-B519-1EDC13FE5FE4}">
            <x14:dataBar minLength="0" maxLength="100" border="1" negativeBarBorderColorSameAsPositive="0">
              <x14:cfvo type="autoMin"/>
              <x14:cfvo type="autoMax"/>
              <x14:borderColor rgb="FF008AEF"/>
              <x14:negativeFillColor rgb="FFFF0000"/>
              <x14:negativeBorderColor rgb="FFFF0000"/>
              <x14:axisColor rgb="FF000000"/>
            </x14:dataBar>
          </x14:cfRule>
          <xm:sqref>I5:I34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Fulls de càlcul</vt:lpstr>
      </vt:variant>
      <vt:variant>
        <vt:i4>47</vt:i4>
      </vt:variant>
    </vt:vector>
  </HeadingPairs>
  <TitlesOfParts>
    <vt:vector size="47" baseType="lpstr">
      <vt:lpstr>RecienPromocionados</vt:lpstr>
      <vt:lpstr>Resistencia</vt:lpstr>
      <vt:lpstr>CA_Calculator</vt:lpstr>
      <vt:lpstr>TL_Tactica</vt:lpstr>
      <vt:lpstr>CAPITAN</vt:lpstr>
      <vt:lpstr>ENTRENADOR</vt:lpstr>
      <vt:lpstr>PLANTILLA</vt:lpstr>
      <vt:lpstr>Evaluacion</vt:lpstr>
      <vt:lpstr>Eva_sinFORMA</vt:lpstr>
      <vt:lpstr>ENTRENAMIENTO_Rendimiento</vt:lpstr>
      <vt:lpstr>Resumen_Rend</vt:lpstr>
      <vt:lpstr>352</vt:lpstr>
      <vt:lpstr>541</vt:lpstr>
      <vt:lpstr>DEF</vt:lpstr>
      <vt:lpstr>JUG</vt:lpstr>
      <vt:lpstr>PAS</vt:lpstr>
      <vt:lpstr>LAT</vt:lpstr>
      <vt:lpstr>Hall_of_Fame</vt:lpstr>
      <vt:lpstr>Estadio</vt:lpstr>
      <vt:lpstr>EconomiaT40</vt:lpstr>
      <vt:lpstr>A-P_T40</vt:lpstr>
      <vt:lpstr>EconomiaT41</vt:lpstr>
      <vt:lpstr>A-P_T41</vt:lpstr>
      <vt:lpstr>EconomiaT42</vt:lpstr>
      <vt:lpstr>A-P_T42</vt:lpstr>
      <vt:lpstr>EconomiaT43</vt:lpstr>
      <vt:lpstr>A-P_T43</vt:lpstr>
      <vt:lpstr>EconomiaT44</vt:lpstr>
      <vt:lpstr>A-P_T44</vt:lpstr>
      <vt:lpstr>EconomiaT45</vt:lpstr>
      <vt:lpstr>A-P_T45</vt:lpstr>
      <vt:lpstr>EconomiaT46</vt:lpstr>
      <vt:lpstr>A-P_T46</vt:lpstr>
      <vt:lpstr>EconomiaT47</vt:lpstr>
      <vt:lpstr>A-P_T47</vt:lpstr>
      <vt:lpstr>EconomiaT48</vt:lpstr>
      <vt:lpstr>A-P_T48</vt:lpstr>
      <vt:lpstr>EconomiaT49</vt:lpstr>
      <vt:lpstr>A-P_T49</vt:lpstr>
      <vt:lpstr>EconomiaT50</vt:lpstr>
      <vt:lpstr>A-P_T50</vt:lpstr>
      <vt:lpstr>TablasEntreno</vt:lpstr>
      <vt:lpstr>TSI-Sueldos</vt:lpstr>
      <vt:lpstr>Entrenamientos</vt:lpstr>
      <vt:lpstr>NUEVOENTRENADOR</vt:lpstr>
      <vt:lpstr>RiscLesió</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2018-07-07T16:06:37Z</dcterms:modified>
</cp:coreProperties>
</file>