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5"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R33" i="49" l="1"/>
  <c r="Y23" i="32" l="1"/>
  <c r="Y24" i="32"/>
  <c r="Y22" i="32"/>
  <c r="Y15" i="32"/>
  <c r="Y18" i="32"/>
  <c r="Y16" i="32"/>
  <c r="Y13" i="32"/>
  <c r="Y14" i="32"/>
  <c r="Y12" i="32"/>
  <c r="Y11" i="32"/>
  <c r="Y17" i="32"/>
  <c r="Y8" i="32"/>
  <c r="Y7" i="32"/>
  <c r="Y10" i="32"/>
  <c r="Y9" i="32"/>
  <c r="Y6" i="32"/>
  <c r="Y5" i="32"/>
  <c r="Y20" i="32" l="1"/>
  <c r="Y19" i="32"/>
  <c r="Z20" i="32" l="1"/>
  <c r="Z23" i="32"/>
  <c r="Z24" i="32"/>
  <c r="Z22" i="32"/>
  <c r="Z19" i="32"/>
  <c r="Z15" i="32"/>
  <c r="Z18" i="32"/>
  <c r="Z16" i="32"/>
  <c r="Z13" i="32"/>
  <c r="Z14" i="32"/>
  <c r="Z12" i="32"/>
  <c r="Z11" i="32"/>
  <c r="Z17" i="32"/>
  <c r="Z8" i="32"/>
  <c r="Z7" i="32"/>
  <c r="Z10" i="32"/>
  <c r="Z9" i="32"/>
  <c r="Z5"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11" i="32"/>
  <c r="AL19" i="32"/>
  <c r="AL20" i="32"/>
  <c r="AK11" i="32"/>
  <c r="AK19" i="32"/>
  <c r="AK20" i="32"/>
  <c r="AJ11" i="32"/>
  <c r="AJ19" i="32"/>
  <c r="AJ20" i="32"/>
  <c r="AH11" i="32"/>
  <c r="AI11" i="32"/>
  <c r="AH19" i="32"/>
  <c r="AI19" i="32"/>
  <c r="AH20" i="32"/>
  <c r="AI20" i="32"/>
  <c r="AF11" i="32"/>
  <c r="AG11" i="32"/>
  <c r="AF19" i="32"/>
  <c r="AG19" i="32"/>
  <c r="AF20" i="32"/>
  <c r="AG20" i="32"/>
  <c r="P23" i="32"/>
  <c r="P21" i="32"/>
  <c r="P7" i="32"/>
  <c r="P5" i="32"/>
  <c r="AN23" i="32" l="1"/>
  <c r="AN7" i="32"/>
  <c r="AM23" i="32"/>
  <c r="AM21" i="32"/>
  <c r="AM7" i="32"/>
  <c r="AN21" i="32"/>
  <c r="AN5" i="32"/>
  <c r="AM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1" i="32" l="1"/>
  <c r="AL21" i="32"/>
  <c r="AI21" i="32"/>
  <c r="AH21" i="32"/>
  <c r="AK21" i="32"/>
  <c r="AG21" i="32"/>
  <c r="AJ21"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K24" i="32" l="1"/>
  <c r="AG24" i="32"/>
  <c r="AL24" i="32"/>
  <c r="AJ24" i="32"/>
  <c r="F6" i="102" s="1"/>
  <c r="AI24" i="32"/>
  <c r="AH24" i="32"/>
  <c r="AF24" i="32"/>
  <c r="AK22" i="32"/>
  <c r="AG22" i="32"/>
  <c r="AJ22" i="32"/>
  <c r="F2" i="102" s="1"/>
  <c r="AH22" i="32"/>
  <c r="AI22" i="32"/>
  <c r="AL22" i="32"/>
  <c r="AF22"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L6" i="32"/>
  <c r="AI6" i="32"/>
  <c r="AK6" i="32"/>
  <c r="AF6" i="32"/>
  <c r="AH6" i="32"/>
  <c r="AJ6" i="32"/>
  <c r="AG6" i="32"/>
  <c r="AF23" i="32"/>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2" i="32" l="1"/>
  <c r="F22" i="32"/>
  <c r="F10" i="32"/>
  <c r="F19" i="32"/>
  <c r="F20" i="32"/>
  <c r="F5" i="32"/>
  <c r="F24" i="32"/>
  <c r="F9" i="32"/>
  <c r="F6" i="32"/>
  <c r="F21" i="32"/>
  <c r="D12" i="111" s="1"/>
  <c r="F7" i="32"/>
  <c r="D15" i="111" s="1"/>
  <c r="F13" i="32"/>
  <c r="F11" i="32"/>
  <c r="F23" i="32"/>
  <c r="F15" i="32"/>
  <c r="F14" i="32"/>
  <c r="F18" i="32"/>
  <c r="F17" i="32"/>
  <c r="F8" i="32"/>
  <c r="F16"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<sst xmlns="http://schemas.openxmlformats.org/spreadsheetml/2006/main" count="4188" uniqueCount="881">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</sst>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9975480"/>
        <c:axId val="289964112"/>
      </c:barChart>
      <c:catAx>
        <c:axId val="289975480"/>
        <c:scaling>
          <c:orientation val="minMax"/>
        </c:scaling>
        <c:delete val="0"/>
        <c:axPos val="b"/>
        <c:numFmt formatCode="General" sourceLinked="1"/>
        <c:majorTickMark val="out"/>
        <c:minorTickMark val="none"/>
        <c:tickLblPos val="nextTo"/>
        <c:crossAx val="289964112"/>
        <c:crosses val="autoZero"/>
        <c:auto val="1"/>
        <c:lblAlgn val="ctr"/>
        <c:lblOffset val="100"/>
        <c:noMultiLvlLbl val="0"/>
      </c:catAx>
      <c:valAx>
        <c:axId val="289964112"/>
        <c:scaling>
          <c:orientation val="minMax"/>
        </c:scaling>
        <c:delete val="0"/>
        <c:axPos val="l"/>
        <c:majorGridlines/>
        <c:numFmt formatCode="_-* #,##0\ [$€-C0A]_-;\-* #,##0\ [$€-C0A]_-;_-* &quot;-&quot;??\ [$€-C0A]_-;_-@_-" sourceLinked="1"/>
        <c:majorTickMark val="out"/>
        <c:minorTickMark val="none"/>
        <c:tickLblPos val="nextTo"/>
        <c:crossAx val="2899754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9976656"/>
        <c:axId val="289977440"/>
      </c:barChart>
      <c:catAx>
        <c:axId val="289976656"/>
        <c:scaling>
          <c:orientation val="minMax"/>
        </c:scaling>
        <c:delete val="0"/>
        <c:axPos val="b"/>
        <c:numFmt formatCode="General" sourceLinked="1"/>
        <c:majorTickMark val="out"/>
        <c:minorTickMark val="none"/>
        <c:tickLblPos val="nextTo"/>
        <c:crossAx val="289977440"/>
        <c:crosses val="autoZero"/>
        <c:auto val="1"/>
        <c:lblAlgn val="ctr"/>
        <c:lblOffset val="100"/>
        <c:noMultiLvlLbl val="0"/>
      </c:catAx>
      <c:valAx>
        <c:axId val="289977440"/>
        <c:scaling>
          <c:orientation val="minMax"/>
        </c:scaling>
        <c:delete val="0"/>
        <c:axPos val="l"/>
        <c:majorGridlines/>
        <c:numFmt formatCode="_-* #,##0\ [$€-C0A]_-;\-* #,##0\ [$€-C0A]_-;_-* &quot;-&quot;??\ [$€-C0A]_-;_-@_-" sourceLinked="1"/>
        <c:majorTickMark val="out"/>
        <c:minorTickMark val="none"/>
        <c:tickLblPos val="nextTo"/>
        <c:crossAx val="28997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89977832"/>
        <c:axId val="399676184"/>
      </c:barChart>
      <c:catAx>
        <c:axId val="289977832"/>
        <c:scaling>
          <c:orientation val="minMax"/>
        </c:scaling>
        <c:delete val="0"/>
        <c:axPos val="b"/>
        <c:numFmt formatCode="General" sourceLinked="1"/>
        <c:majorTickMark val="out"/>
        <c:minorTickMark val="none"/>
        <c:tickLblPos val="nextTo"/>
        <c:crossAx val="399676184"/>
        <c:crosses val="autoZero"/>
        <c:auto val="1"/>
        <c:lblAlgn val="ctr"/>
        <c:lblOffset val="100"/>
        <c:noMultiLvlLbl val="0"/>
      </c:catAx>
      <c:valAx>
        <c:axId val="399676184"/>
        <c:scaling>
          <c:orientation val="minMax"/>
        </c:scaling>
        <c:delete val="0"/>
        <c:axPos val="l"/>
        <c:majorGridlines/>
        <c:numFmt formatCode="_-* #,##0\ [$€-C0A]_-;\-* #,##0\ [$€-C0A]_-;_-* &quot;-&quot;??\ [$€-C0A]_-;_-@_-" sourceLinked="1"/>
        <c:majorTickMark val="out"/>
        <c:minorTickMark val="none"/>
        <c:tickLblPos val="nextTo"/>
        <c:crossAx val="289977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9676968"/>
        <c:axId val="399675792"/>
      </c:barChart>
      <c:catAx>
        <c:axId val="399676968"/>
        <c:scaling>
          <c:orientation val="minMax"/>
        </c:scaling>
        <c:delete val="0"/>
        <c:axPos val="b"/>
        <c:numFmt formatCode="General" sourceLinked="1"/>
        <c:majorTickMark val="out"/>
        <c:minorTickMark val="none"/>
        <c:tickLblPos val="nextTo"/>
        <c:crossAx val="399675792"/>
        <c:crosses val="autoZero"/>
        <c:auto val="1"/>
        <c:lblAlgn val="ctr"/>
        <c:lblOffset val="100"/>
        <c:noMultiLvlLbl val="0"/>
      </c:catAx>
      <c:valAx>
        <c:axId val="399675792"/>
        <c:scaling>
          <c:orientation val="minMax"/>
        </c:scaling>
        <c:delete val="0"/>
        <c:axPos val="l"/>
        <c:majorGridlines/>
        <c:numFmt formatCode="_-* #,##0\ [$€-C0A]_-;\-* #,##0\ [$€-C0A]_-;_-* &quot;-&quot;??\ [$€-C0A]_-;_-@_-" sourceLinked="1"/>
        <c:majorTickMark val="out"/>
        <c:minorTickMark val="none"/>
        <c:tickLblPos val="nextTo"/>
        <c:crossAx val="399676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99677360"/>
        <c:axId val="399677752"/>
      </c:barChart>
      <c:catAx>
        <c:axId val="399677360"/>
        <c:scaling>
          <c:orientation val="minMax"/>
        </c:scaling>
        <c:delete val="0"/>
        <c:axPos val="b"/>
        <c:numFmt formatCode="General" sourceLinked="1"/>
        <c:majorTickMark val="out"/>
        <c:minorTickMark val="none"/>
        <c:tickLblPos val="nextTo"/>
        <c:crossAx val="399677752"/>
        <c:crosses val="autoZero"/>
        <c:auto val="1"/>
        <c:lblAlgn val="ctr"/>
        <c:lblOffset val="100"/>
        <c:noMultiLvlLbl val="0"/>
      </c:catAx>
      <c:valAx>
        <c:axId val="399677752"/>
        <c:scaling>
          <c:orientation val="minMax"/>
        </c:scaling>
        <c:delete val="0"/>
        <c:axPos val="l"/>
        <c:majorGridlines/>
        <c:numFmt formatCode="_-* #,##0\ [$€-C0A]_-;\-* #,##0\ [$€-C0A]_-;_-* &quot;-&quot;??\ [$€-C0A]_-;_-@_-" sourceLinked="1"/>
        <c:majorTickMark val="out"/>
        <c:minorTickMark val="none"/>
        <c:tickLblPos val="nextTo"/>
        <c:crossAx val="399677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99678928"/>
        <c:axId val="399670696"/>
      </c:barChart>
      <c:catAx>
        <c:axId val="399678928"/>
        <c:scaling>
          <c:orientation val="minMax"/>
        </c:scaling>
        <c:delete val="0"/>
        <c:axPos val="b"/>
        <c:numFmt formatCode="General" sourceLinked="1"/>
        <c:majorTickMark val="out"/>
        <c:minorTickMark val="none"/>
        <c:tickLblPos val="nextTo"/>
        <c:crossAx val="399670696"/>
        <c:crosses val="autoZero"/>
        <c:auto val="1"/>
        <c:lblAlgn val="ctr"/>
        <c:lblOffset val="100"/>
        <c:noMultiLvlLbl val="0"/>
      </c:catAx>
      <c:valAx>
        <c:axId val="399670696"/>
        <c:scaling>
          <c:orientation val="minMax"/>
        </c:scaling>
        <c:delete val="0"/>
        <c:axPos val="l"/>
        <c:majorGridlines/>
        <c:numFmt formatCode="_-* #,##0\ [$€-C0A]_-;\-* #,##0\ [$€-C0A]_-;_-* &quot;-&quot;??\ [$€-C0A]_-;_-@_-" sourceLinked="1"/>
        <c:majorTickMark val="out"/>
        <c:minorTickMark val="none"/>
        <c:tickLblPos val="nextTo"/>
        <c:crossAx val="3996789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99664424"/>
        <c:axId val="399670304"/>
      </c:barChart>
      <c:catAx>
        <c:axId val="399664424"/>
        <c:scaling>
          <c:orientation val="minMax"/>
        </c:scaling>
        <c:delete val="0"/>
        <c:axPos val="b"/>
        <c:numFmt formatCode="General" sourceLinked="1"/>
        <c:majorTickMark val="out"/>
        <c:minorTickMark val="none"/>
        <c:tickLblPos val="nextTo"/>
        <c:crossAx val="399670304"/>
        <c:crosses val="autoZero"/>
        <c:auto val="1"/>
        <c:lblAlgn val="ctr"/>
        <c:lblOffset val="100"/>
        <c:noMultiLvlLbl val="0"/>
      </c:catAx>
      <c:valAx>
        <c:axId val="399670304"/>
        <c:scaling>
          <c:orientation val="minMax"/>
        </c:scaling>
        <c:delete val="0"/>
        <c:axPos val="l"/>
        <c:majorGridlines/>
        <c:numFmt formatCode="_-* #,##0\ [$€-C0A]_-;\-* #,##0\ [$€-C0A]_-;_-* &quot;-&quot;??\ [$€-C0A]_-;_-@_-" sourceLinked="1"/>
        <c:majorTickMark val="out"/>
        <c:minorTickMark val="none"/>
        <c:tickLblPos val="nextTo"/>
        <c:crossAx val="399664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9667560"/>
        <c:axId val="399672264"/>
      </c:barChart>
      <c:catAx>
        <c:axId val="399667560"/>
        <c:scaling>
          <c:orientation val="minMax"/>
        </c:scaling>
        <c:delete val="0"/>
        <c:axPos val="b"/>
        <c:numFmt formatCode="General" sourceLinked="1"/>
        <c:majorTickMark val="out"/>
        <c:minorTickMark val="none"/>
        <c:tickLblPos val="nextTo"/>
        <c:crossAx val="399672264"/>
        <c:crosses val="autoZero"/>
        <c:auto val="1"/>
        <c:lblAlgn val="ctr"/>
        <c:lblOffset val="100"/>
        <c:noMultiLvlLbl val="0"/>
      </c:catAx>
      <c:valAx>
        <c:axId val="399672264"/>
        <c:scaling>
          <c:orientation val="minMax"/>
        </c:scaling>
        <c:delete val="0"/>
        <c:axPos val="l"/>
        <c:majorGridlines/>
        <c:numFmt formatCode="_-* #,##0\ [$€-C0A]_-;\-* #,##0\ [$€-C0A]_-;_-* &quot;-&quot;??\ [$€-C0A]_-;_-@_-" sourceLinked="1"/>
        <c:majorTickMark val="out"/>
        <c:minorTickMark val="none"/>
        <c:tickLblPos val="nextTo"/>
        <c:crossAx val="399667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9663248"/>
        <c:axId val="399675008"/>
      </c:barChart>
      <c:catAx>
        <c:axId val="399663248"/>
        <c:scaling>
          <c:orientation val="minMax"/>
        </c:scaling>
        <c:delete val="0"/>
        <c:axPos val="b"/>
        <c:numFmt formatCode="General" sourceLinked="1"/>
        <c:majorTickMark val="out"/>
        <c:minorTickMark val="none"/>
        <c:tickLblPos val="nextTo"/>
        <c:crossAx val="399675008"/>
        <c:crosses val="autoZero"/>
        <c:auto val="1"/>
        <c:lblAlgn val="ctr"/>
        <c:lblOffset val="100"/>
        <c:noMultiLvlLbl val="0"/>
      </c:catAx>
      <c:valAx>
        <c:axId val="399675008"/>
        <c:scaling>
          <c:orientation val="minMax"/>
        </c:scaling>
        <c:delete val="0"/>
        <c:axPos val="l"/>
        <c:majorGridlines/>
        <c:numFmt formatCode="_-* #,##0\ [$€-C0A]_-;\-* #,##0\ [$€-C0A]_-;_-* &quot;-&quot;??\ [$€-C0A]_-;_-@_-" sourceLinked="1"/>
        <c:majorTickMark val="out"/>
        <c:minorTickMark val="none"/>
        <c:tickLblPos val="nextTo"/>
        <c:crossAx val="399663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9672656"/>
        <c:axId val="399667952"/>
      </c:barChart>
      <c:catAx>
        <c:axId val="399672656"/>
        <c:scaling>
          <c:orientation val="minMax"/>
        </c:scaling>
        <c:delete val="0"/>
        <c:axPos val="b"/>
        <c:numFmt formatCode="General" sourceLinked="1"/>
        <c:majorTickMark val="out"/>
        <c:minorTickMark val="none"/>
        <c:tickLblPos val="nextTo"/>
        <c:crossAx val="399667952"/>
        <c:crosses val="autoZero"/>
        <c:auto val="1"/>
        <c:lblAlgn val="ctr"/>
        <c:lblOffset val="100"/>
        <c:noMultiLvlLbl val="0"/>
      </c:catAx>
      <c:valAx>
        <c:axId val="399667952"/>
        <c:scaling>
          <c:orientation val="minMax"/>
        </c:scaling>
        <c:delete val="0"/>
        <c:axPos val="l"/>
        <c:majorGridlines/>
        <c:numFmt formatCode="_-* #,##0\ [$€-C0A]_-;\-* #,##0\ [$€-C0A]_-;_-* &quot;-&quot;??\ [$€-C0A]_-;_-@_-" sourceLinked="1"/>
        <c:majorTickMark val="out"/>
        <c:minorTickMark val="none"/>
        <c:tickLblPos val="nextTo"/>
        <c:crossAx val="399672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99669128"/>
        <c:axId val="399665600"/>
      </c:barChart>
      <c:catAx>
        <c:axId val="399669128"/>
        <c:scaling>
          <c:orientation val="minMax"/>
        </c:scaling>
        <c:delete val="0"/>
        <c:axPos val="b"/>
        <c:numFmt formatCode="General" sourceLinked="1"/>
        <c:majorTickMark val="out"/>
        <c:minorTickMark val="none"/>
        <c:tickLblPos val="nextTo"/>
        <c:crossAx val="399665600"/>
        <c:crosses val="autoZero"/>
        <c:auto val="1"/>
        <c:lblAlgn val="ctr"/>
        <c:lblOffset val="100"/>
        <c:noMultiLvlLbl val="0"/>
      </c:catAx>
      <c:valAx>
        <c:axId val="399665600"/>
        <c:scaling>
          <c:orientation val="minMax"/>
        </c:scaling>
        <c:delete val="0"/>
        <c:axPos val="l"/>
        <c:majorGridlines/>
        <c:numFmt formatCode="_-* #,##0\ [$€-C0A]_-;\-* #,##0\ [$€-C0A]_-;_-* &quot;-&quot;??\ [$€-C0A]_-;_-@_-" sourceLinked="1"/>
        <c:majorTickMark val="out"/>
        <c:minorTickMark val="none"/>
        <c:tickLblPos val="nextTo"/>
        <c:crossAx val="3996691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9971560"/>
        <c:axId val="289969600"/>
      </c:barChart>
      <c:catAx>
        <c:axId val="289971560"/>
        <c:scaling>
          <c:orientation val="minMax"/>
        </c:scaling>
        <c:delete val="0"/>
        <c:axPos val="b"/>
        <c:numFmt formatCode="General" sourceLinked="1"/>
        <c:majorTickMark val="out"/>
        <c:minorTickMark val="none"/>
        <c:tickLblPos val="nextTo"/>
        <c:crossAx val="289969600"/>
        <c:crosses val="autoZero"/>
        <c:auto val="1"/>
        <c:lblAlgn val="ctr"/>
        <c:lblOffset val="100"/>
        <c:noMultiLvlLbl val="0"/>
      </c:catAx>
      <c:valAx>
        <c:axId val="289969600"/>
        <c:scaling>
          <c:orientation val="minMax"/>
        </c:scaling>
        <c:delete val="0"/>
        <c:axPos val="l"/>
        <c:majorGridlines/>
        <c:numFmt formatCode="_-* #,##0\ [$€-C0A]_-;\-* #,##0\ [$€-C0A]_-;_-* &quot;-&quot;??\ [$€-C0A]_-;_-@_-" sourceLinked="1"/>
        <c:majorTickMark val="out"/>
        <c:minorTickMark val="none"/>
        <c:tickLblPos val="nextTo"/>
        <c:crossAx val="289971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9674224"/>
        <c:axId val="399666384"/>
      </c:barChart>
      <c:catAx>
        <c:axId val="399674224"/>
        <c:scaling>
          <c:orientation val="minMax"/>
        </c:scaling>
        <c:delete val="0"/>
        <c:axPos val="b"/>
        <c:numFmt formatCode="General" sourceLinked="1"/>
        <c:majorTickMark val="out"/>
        <c:minorTickMark val="none"/>
        <c:tickLblPos val="nextTo"/>
        <c:crossAx val="399666384"/>
        <c:crosses val="autoZero"/>
        <c:auto val="1"/>
        <c:lblAlgn val="ctr"/>
        <c:lblOffset val="100"/>
        <c:noMultiLvlLbl val="0"/>
      </c:catAx>
      <c:valAx>
        <c:axId val="399666384"/>
        <c:scaling>
          <c:orientation val="minMax"/>
        </c:scaling>
        <c:delete val="0"/>
        <c:axPos val="l"/>
        <c:majorGridlines/>
        <c:numFmt formatCode="_-* #,##0\ [$€-C0A]_-;\-* #,##0\ [$€-C0A]_-;_-* &quot;-&quot;??\ [$€-C0A]_-;_-@_-" sourceLinked="1"/>
        <c:majorTickMark val="out"/>
        <c:minorTickMark val="none"/>
        <c:tickLblPos val="nextTo"/>
        <c:crossAx val="399674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99663640"/>
        <c:axId val="399674616"/>
      </c:barChart>
      <c:catAx>
        <c:axId val="399663640"/>
        <c:scaling>
          <c:orientation val="minMax"/>
        </c:scaling>
        <c:delete val="0"/>
        <c:axPos val="b"/>
        <c:numFmt formatCode="General" sourceLinked="1"/>
        <c:majorTickMark val="out"/>
        <c:minorTickMark val="none"/>
        <c:tickLblPos val="nextTo"/>
        <c:crossAx val="399674616"/>
        <c:crosses val="autoZero"/>
        <c:auto val="1"/>
        <c:lblAlgn val="ctr"/>
        <c:lblOffset val="100"/>
        <c:noMultiLvlLbl val="0"/>
      </c:catAx>
      <c:valAx>
        <c:axId val="399674616"/>
        <c:scaling>
          <c:orientation val="minMax"/>
        </c:scaling>
        <c:delete val="0"/>
        <c:axPos val="l"/>
        <c:majorGridlines/>
        <c:numFmt formatCode="_-* #,##0\ [$€-C0A]_-;\-* #,##0\ [$€-C0A]_-;_-* &quot;-&quot;??\ [$€-C0A]_-;_-@_-" sourceLinked="1"/>
        <c:majorTickMark val="out"/>
        <c:minorTickMark val="none"/>
        <c:tickLblPos val="nextTo"/>
        <c:crossAx val="399663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9673440"/>
        <c:axId val="399669520"/>
      </c:barChart>
      <c:catAx>
        <c:axId val="399673440"/>
        <c:scaling>
          <c:orientation val="minMax"/>
        </c:scaling>
        <c:delete val="0"/>
        <c:axPos val="b"/>
        <c:numFmt formatCode="General" sourceLinked="1"/>
        <c:majorTickMark val="out"/>
        <c:minorTickMark val="none"/>
        <c:tickLblPos val="nextTo"/>
        <c:crossAx val="399669520"/>
        <c:crosses val="autoZero"/>
        <c:auto val="1"/>
        <c:lblAlgn val="ctr"/>
        <c:lblOffset val="100"/>
        <c:noMultiLvlLbl val="0"/>
      </c:catAx>
      <c:valAx>
        <c:axId val="399669520"/>
        <c:scaling>
          <c:orientation val="minMax"/>
        </c:scaling>
        <c:delete val="0"/>
        <c:axPos val="l"/>
        <c:majorGridlines/>
        <c:numFmt formatCode="_-* #,##0\ [$€-C0A]_-;\-* #,##0\ [$€-C0A]_-;_-* &quot;-&quot;??\ [$€-C0A]_-;_-@_-" sourceLinked="1"/>
        <c:majorTickMark val="out"/>
        <c:minorTickMark val="none"/>
        <c:tickLblPos val="nextTo"/>
        <c:crossAx val="399673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99673832"/>
        <c:axId val="399664032"/>
      </c:lineChart>
      <c:catAx>
        <c:axId val="399673832"/>
        <c:scaling>
          <c:orientation val="minMax"/>
        </c:scaling>
        <c:delete val="0"/>
        <c:axPos val="b"/>
        <c:numFmt formatCode="General" sourceLinked="0"/>
        <c:majorTickMark val="out"/>
        <c:minorTickMark val="none"/>
        <c:tickLblPos val="nextTo"/>
        <c:crossAx val="399664032"/>
        <c:crosses val="autoZero"/>
        <c:auto val="1"/>
        <c:lblAlgn val="ctr"/>
        <c:lblOffset val="100"/>
        <c:noMultiLvlLbl val="0"/>
      </c:catAx>
      <c:valAx>
        <c:axId val="399664032"/>
        <c:scaling>
          <c:orientation val="minMax"/>
          <c:min val="0"/>
        </c:scaling>
        <c:delete val="0"/>
        <c:axPos val="l"/>
        <c:majorGridlines/>
        <c:numFmt formatCode="General" sourceLinked="1"/>
        <c:majorTickMark val="out"/>
        <c:minorTickMark val="none"/>
        <c:tickLblPos val="nextTo"/>
        <c:crossAx val="39967383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9965680"/>
        <c:axId val="289966464"/>
      </c:barChart>
      <c:catAx>
        <c:axId val="289965680"/>
        <c:scaling>
          <c:orientation val="minMax"/>
        </c:scaling>
        <c:delete val="0"/>
        <c:axPos val="b"/>
        <c:numFmt formatCode="General" sourceLinked="1"/>
        <c:majorTickMark val="out"/>
        <c:minorTickMark val="none"/>
        <c:tickLblPos val="nextTo"/>
        <c:crossAx val="289966464"/>
        <c:crosses val="autoZero"/>
        <c:auto val="1"/>
        <c:lblAlgn val="ctr"/>
        <c:lblOffset val="100"/>
        <c:noMultiLvlLbl val="0"/>
      </c:catAx>
      <c:valAx>
        <c:axId val="289966464"/>
        <c:scaling>
          <c:orientation val="minMax"/>
        </c:scaling>
        <c:delete val="0"/>
        <c:axPos val="l"/>
        <c:majorGridlines/>
        <c:numFmt formatCode="_-* #,##0\ [$€-C0A]_-;\-* #,##0\ [$€-C0A]_-;_-* &quot;-&quot;??\ [$€-C0A]_-;_-@_-" sourceLinked="1"/>
        <c:majorTickMark val="out"/>
        <c:minorTickMark val="none"/>
        <c:tickLblPos val="nextTo"/>
        <c:crossAx val="289965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9972736"/>
        <c:axId val="289965288"/>
      </c:barChart>
      <c:catAx>
        <c:axId val="289972736"/>
        <c:scaling>
          <c:orientation val="minMax"/>
        </c:scaling>
        <c:delete val="0"/>
        <c:axPos val="b"/>
        <c:numFmt formatCode="General" sourceLinked="1"/>
        <c:majorTickMark val="out"/>
        <c:minorTickMark val="none"/>
        <c:tickLblPos val="nextTo"/>
        <c:crossAx val="289965288"/>
        <c:crosses val="autoZero"/>
        <c:auto val="1"/>
        <c:lblAlgn val="ctr"/>
        <c:lblOffset val="100"/>
        <c:noMultiLvlLbl val="0"/>
      </c:catAx>
      <c:valAx>
        <c:axId val="289965288"/>
        <c:scaling>
          <c:orientation val="minMax"/>
        </c:scaling>
        <c:delete val="0"/>
        <c:axPos val="l"/>
        <c:majorGridlines/>
        <c:numFmt formatCode="_-* #,##0\ [$€-C0A]_-;\-* #,##0\ [$€-C0A]_-;_-* &quot;-&quot;??\ [$€-C0A]_-;_-@_-" sourceLinked="1"/>
        <c:majorTickMark val="out"/>
        <c:minorTickMark val="none"/>
        <c:tickLblPos val="nextTo"/>
        <c:crossAx val="289972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89966072"/>
        <c:axId val="289966856"/>
      </c:barChart>
      <c:catAx>
        <c:axId val="289966072"/>
        <c:scaling>
          <c:orientation val="minMax"/>
        </c:scaling>
        <c:delete val="0"/>
        <c:axPos val="b"/>
        <c:numFmt formatCode="General" sourceLinked="1"/>
        <c:majorTickMark val="out"/>
        <c:minorTickMark val="none"/>
        <c:tickLblPos val="nextTo"/>
        <c:crossAx val="289966856"/>
        <c:crosses val="autoZero"/>
        <c:auto val="1"/>
        <c:lblAlgn val="ctr"/>
        <c:lblOffset val="100"/>
        <c:noMultiLvlLbl val="0"/>
      </c:catAx>
      <c:valAx>
        <c:axId val="289966856"/>
        <c:scaling>
          <c:orientation val="minMax"/>
        </c:scaling>
        <c:delete val="0"/>
        <c:axPos val="l"/>
        <c:majorGridlines/>
        <c:numFmt formatCode="_-* #,##0\ [$€-C0A]_-;\-* #,##0\ [$€-C0A]_-;_-* &quot;-&quot;??\ [$€-C0A]_-;_-@_-" sourceLinked="1"/>
        <c:majorTickMark val="out"/>
        <c:minorTickMark val="none"/>
        <c:tickLblPos val="nextTo"/>
        <c:crossAx val="289966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9973128"/>
        <c:axId val="289967248"/>
      </c:barChart>
      <c:catAx>
        <c:axId val="289973128"/>
        <c:scaling>
          <c:orientation val="minMax"/>
        </c:scaling>
        <c:delete val="0"/>
        <c:axPos val="b"/>
        <c:numFmt formatCode="General" sourceLinked="1"/>
        <c:majorTickMark val="out"/>
        <c:minorTickMark val="none"/>
        <c:tickLblPos val="nextTo"/>
        <c:crossAx val="289967248"/>
        <c:crosses val="autoZero"/>
        <c:auto val="1"/>
        <c:lblAlgn val="ctr"/>
        <c:lblOffset val="100"/>
        <c:noMultiLvlLbl val="0"/>
      </c:catAx>
      <c:valAx>
        <c:axId val="289967248"/>
        <c:scaling>
          <c:orientation val="minMax"/>
        </c:scaling>
        <c:delete val="0"/>
        <c:axPos val="l"/>
        <c:majorGridlines/>
        <c:numFmt formatCode="_-* #,##0\ [$€-C0A]_-;\-* #,##0\ [$€-C0A]_-;_-* &quot;-&quot;??\ [$€-C0A]_-;_-@_-" sourceLinked="1"/>
        <c:majorTickMark val="out"/>
        <c:minorTickMark val="none"/>
        <c:tickLblPos val="nextTo"/>
        <c:crossAx val="2899731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9973912"/>
        <c:axId val="289968816"/>
      </c:barChart>
      <c:catAx>
        <c:axId val="289973912"/>
        <c:scaling>
          <c:orientation val="minMax"/>
        </c:scaling>
        <c:delete val="0"/>
        <c:axPos val="b"/>
        <c:numFmt formatCode="General" sourceLinked="1"/>
        <c:majorTickMark val="out"/>
        <c:minorTickMark val="none"/>
        <c:tickLblPos val="nextTo"/>
        <c:crossAx val="289968816"/>
        <c:crosses val="autoZero"/>
        <c:auto val="1"/>
        <c:lblAlgn val="ctr"/>
        <c:lblOffset val="100"/>
        <c:noMultiLvlLbl val="0"/>
      </c:catAx>
      <c:valAx>
        <c:axId val="289968816"/>
        <c:scaling>
          <c:orientation val="minMax"/>
        </c:scaling>
        <c:delete val="0"/>
        <c:axPos val="l"/>
        <c:majorGridlines/>
        <c:numFmt formatCode="_-* #,##0\ [$€-C0A]_-;\-* #,##0\ [$€-C0A]_-;_-* &quot;-&quot;??\ [$€-C0A]_-;_-@_-" sourceLinked="1"/>
        <c:majorTickMark val="out"/>
        <c:minorTickMark val="none"/>
        <c:tickLblPos val="nextTo"/>
        <c:crossAx val="289973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89974696"/>
        <c:axId val="289975088"/>
      </c:barChart>
      <c:catAx>
        <c:axId val="289974696"/>
        <c:scaling>
          <c:orientation val="minMax"/>
        </c:scaling>
        <c:delete val="0"/>
        <c:axPos val="b"/>
        <c:numFmt formatCode="General" sourceLinked="1"/>
        <c:majorTickMark val="out"/>
        <c:minorTickMark val="none"/>
        <c:tickLblPos val="nextTo"/>
        <c:crossAx val="289975088"/>
        <c:crosses val="autoZero"/>
        <c:auto val="1"/>
        <c:lblAlgn val="ctr"/>
        <c:lblOffset val="100"/>
        <c:noMultiLvlLbl val="0"/>
      </c:catAx>
      <c:valAx>
        <c:axId val="289975088"/>
        <c:scaling>
          <c:orientation val="minMax"/>
        </c:scaling>
        <c:delete val="0"/>
        <c:axPos val="l"/>
        <c:majorGridlines/>
        <c:numFmt formatCode="_-* #,##0\ [$€-C0A]_-;\-* #,##0\ [$€-C0A]_-;_-* &quot;-&quot;??\ [$€-C0A]_-;_-@_-" sourceLinked="1"/>
        <c:majorTickMark val="out"/>
        <c:minorTickMark val="none"/>
        <c:tickLblPos val="nextTo"/>
        <c:crossAx val="28997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89979008"/>
        <c:axId val="289979792"/>
      </c:barChart>
      <c:catAx>
        <c:axId val="289979008"/>
        <c:scaling>
          <c:orientation val="minMax"/>
        </c:scaling>
        <c:delete val="0"/>
        <c:axPos val="b"/>
        <c:numFmt formatCode="General" sourceLinked="1"/>
        <c:majorTickMark val="out"/>
        <c:minorTickMark val="none"/>
        <c:tickLblPos val="nextTo"/>
        <c:crossAx val="289979792"/>
        <c:crosses val="autoZero"/>
        <c:auto val="1"/>
        <c:lblAlgn val="ctr"/>
        <c:lblOffset val="100"/>
        <c:noMultiLvlLbl val="0"/>
      </c:catAx>
      <c:valAx>
        <c:axId val="289979792"/>
        <c:scaling>
          <c:orientation val="minMax"/>
        </c:scaling>
        <c:delete val="0"/>
        <c:axPos val="l"/>
        <c:majorGridlines/>
        <c:numFmt formatCode="_-* #,##0\ [$€-C0A]_-;\-* #,##0\ [$€-C0A]_-;_-* &quot;-&quot;??\ [$€-C0A]_-;_-@_-" sourceLinked="1"/>
        <c:majorTickMark val="out"/>
        <c:minorTickMark val="none"/>
        <c:tickLblPos val="nextTo"/>
        <c:crossAx val="289979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43111</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1711</v>
      </c>
      <c r="G5" s="593">
        <f ca="1">F5/112</f>
        <v>15.276785714285714</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1711</v>
      </c>
      <c r="G6" s="593">
        <f t="shared" ref="G6:G20" ca="1" si="1">F6/112</f>
        <v>15.276785714285714</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1592</v>
      </c>
      <c r="G7" s="593">
        <f t="shared" ca="1" si="1"/>
        <v>14.214285714285714</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1584</v>
      </c>
      <c r="G8" s="593">
        <f t="shared" ca="1" si="1"/>
        <v>14.142857142857142</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1572</v>
      </c>
      <c r="G9" s="593">
        <f t="shared" ca="1" si="1"/>
        <v>14.035714285714286</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1559</v>
      </c>
      <c r="G10" s="593">
        <f t="shared" ca="1" si="1"/>
        <v>13.919642857142858</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1528</v>
      </c>
      <c r="G11" s="593">
        <f t="shared" ca="1" si="1"/>
        <v>13.642857142857142</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1458</v>
      </c>
      <c r="G12" s="593">
        <f t="shared" ca="1" si="1"/>
        <v>13.017857142857142</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1447</v>
      </c>
      <c r="G13" s="593">
        <f t="shared" ca="1" si="1"/>
        <v>12.919642857142858</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1425</v>
      </c>
      <c r="G14" s="593">
        <f t="shared" ca="1" si="1"/>
        <v>12.723214285714286</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1389</v>
      </c>
      <c r="G15" s="593">
        <f t="shared" ca="1" si="1"/>
        <v>12.401785714285714</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1374</v>
      </c>
      <c r="G16" s="593">
        <f t="shared" ca="1" si="1"/>
        <v>12.267857142857142</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1364</v>
      </c>
      <c r="G17" s="593">
        <f t="shared" ca="1" si="1"/>
        <v>12.178571428571429</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1200</v>
      </c>
      <c r="G18" s="593">
        <f t="shared" ca="1" si="1"/>
        <v>10.714285714285714</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1138</v>
      </c>
      <c r="G19" s="593">
        <f t="shared" ca="1" si="1"/>
        <v>10.160714285714286</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1005</v>
      </c>
      <c r="G20" s="593">
        <f t="shared" ca="1" si="1"/>
        <v>8.9732142857142865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43111</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2.7053571428571428</v>
      </c>
      <c r="D4" s="294" t="str">
        <f>PLANTILLA!D5</f>
        <v>D. Gehmacher</v>
      </c>
      <c r="E4" s="387">
        <f>PLANTILLA!E5</f>
        <v>30</v>
      </c>
      <c r="F4" s="395">
        <f ca="1">PLANTILLA!F5</f>
        <v>33</v>
      </c>
      <c r="G4" s="388"/>
      <c r="H4" s="403">
        <v>7</v>
      </c>
      <c r="I4" s="308">
        <f>PLANTILLA!I5</f>
        <v>18.5</v>
      </c>
      <c r="J4" s="486">
        <f>PLANTILLA!X5</f>
        <v>16.666666666666668</v>
      </c>
      <c r="K4" s="486">
        <f>PLANTILLA!Y5</f>
        <v>12.080559440559444</v>
      </c>
      <c r="L4" s="486">
        <f>PLANTILLA!Z5</f>
        <v>2.0499999999999989</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40</v>
      </c>
      <c r="S4" s="180"/>
      <c r="T4" s="180"/>
      <c r="U4" s="180"/>
      <c r="V4" s="180"/>
      <c r="W4" s="180"/>
      <c r="X4" s="180"/>
      <c r="Y4" s="180"/>
      <c r="Z4" s="180"/>
      <c r="AA4" s="296">
        <f t="shared" ref="AA4:AA23" si="6">I4+$AA$2</f>
        <v>18.5</v>
      </c>
      <c r="AB4" s="506">
        <f>J4+(S4*S$2/15)</f>
        <v>16.666666666666668</v>
      </c>
      <c r="AC4" s="506">
        <f>K4+(T$2/11)</f>
        <v>12.080559440559444</v>
      </c>
      <c r="AD4" s="506">
        <f>L4+(U$2/18)</f>
        <v>2.0499999999999989</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-1.375</v>
      </c>
      <c r="D5" s="386" t="s">
        <v>267</v>
      </c>
      <c r="E5" s="387">
        <f>PLANTILLA!E6</f>
        <v>34</v>
      </c>
      <c r="F5" s="387">
        <f ca="1">PLANTILLA!F6</f>
        <v>42</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49</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1.1964285714285714</v>
      </c>
      <c r="D7" s="294" t="s">
        <v>275</v>
      </c>
      <c r="E7" s="387">
        <f>PLANTILLA!E8</f>
        <v>31</v>
      </c>
      <c r="F7" s="387">
        <f ca="1">PLANTILLA!F8</f>
        <v>90</v>
      </c>
      <c r="G7" s="388" t="s">
        <v>502</v>
      </c>
      <c r="H7" s="394">
        <v>5</v>
      </c>
      <c r="I7" s="308">
        <f>PLANTILLA!I8</f>
        <v>7.6</v>
      </c>
      <c r="J7" s="486">
        <f>PLANTILLA!X8</f>
        <v>0</v>
      </c>
      <c r="K7" s="486">
        <f>PLANTILLA!Y8</f>
        <v>11.077333333333334</v>
      </c>
      <c r="L7" s="486">
        <f>PLANTILLA!Z8</f>
        <v>6.199444444444441</v>
      </c>
      <c r="M7" s="486">
        <f>PLANTILLA!AA8</f>
        <v>6.04</v>
      </c>
      <c r="N7" s="486">
        <f>PLANTILLA!AB8</f>
        <v>7.7227777777777789</v>
      </c>
      <c r="O7" s="486">
        <f>PLANTILLA!AC8</f>
        <v>4.383333333333332</v>
      </c>
      <c r="P7" s="486">
        <f>PLANTILLA!AD8</f>
        <v>15.349999999999998</v>
      </c>
      <c r="Q7" s="411">
        <f t="shared" si="4"/>
        <v>31</v>
      </c>
      <c r="R7" s="412">
        <f t="shared" ca="1" si="5"/>
        <v>97</v>
      </c>
      <c r="S7" s="180"/>
      <c r="T7" s="180"/>
      <c r="U7" s="180"/>
      <c r="V7" s="180"/>
      <c r="W7" s="180"/>
      <c r="X7" s="180"/>
      <c r="Y7" s="180"/>
      <c r="Z7" s="180"/>
      <c r="AA7" s="296">
        <f t="shared" si="6"/>
        <v>7.6</v>
      </c>
      <c r="AB7" s="506">
        <f t="shared" si="20"/>
        <v>0</v>
      </c>
      <c r="AC7" s="506">
        <f>K7+(T$2/11)</f>
        <v>11.077333333333334</v>
      </c>
      <c r="AD7" s="506">
        <f>L7+(U$2/6.5)</f>
        <v>6.199444444444441</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1.6071428571428572</v>
      </c>
      <c r="D8" s="386" t="s">
        <v>269</v>
      </c>
      <c r="E8" s="387">
        <f>PLANTILLA!E9</f>
        <v>31</v>
      </c>
      <c r="F8" s="387">
        <f ca="1">PLANTILLA!F9</f>
        <v>44</v>
      </c>
      <c r="G8" s="388"/>
      <c r="H8" s="394">
        <v>5</v>
      </c>
      <c r="I8" s="308">
        <f>PLANTILLA!I9</f>
        <v>12.4</v>
      </c>
      <c r="J8" s="486">
        <f>PLANTILLA!X9</f>
        <v>0</v>
      </c>
      <c r="K8" s="486">
        <f>PLANTILLA!Y9</f>
        <v>12.200000000000005</v>
      </c>
      <c r="L8" s="486">
        <f>PLANTILLA!Z9</f>
        <v>13.156555555555553</v>
      </c>
      <c r="M8" s="486">
        <f>PLANTILLA!AA9</f>
        <v>9.8200000000000056</v>
      </c>
      <c r="N8" s="486">
        <f>PLANTILLA!AB9</f>
        <v>9.6</v>
      </c>
      <c r="O8" s="486">
        <f>PLANTILLA!AC9</f>
        <v>3.6816666666666658</v>
      </c>
      <c r="P8" s="486">
        <f>PLANTILLA!AD9</f>
        <v>16.627777777777773</v>
      </c>
      <c r="Q8" s="411">
        <f t="shared" si="4"/>
        <v>31</v>
      </c>
      <c r="R8" s="412">
        <f t="shared" ca="1" si="5"/>
        <v>51</v>
      </c>
      <c r="S8" s="180"/>
      <c r="T8" s="180"/>
      <c r="U8" s="180"/>
      <c r="V8" s="180"/>
      <c r="W8" s="180"/>
      <c r="X8" s="180"/>
      <c r="Y8" s="180"/>
      <c r="Z8" s="180"/>
      <c r="AA8" s="296">
        <f t="shared" si="6"/>
        <v>12.4</v>
      </c>
      <c r="AB8" s="506">
        <f t="shared" si="20"/>
        <v>0</v>
      </c>
      <c r="AC8" s="506">
        <f>K8+(T$2/11)</f>
        <v>12.200000000000005</v>
      </c>
      <c r="AD8" s="506">
        <f>L8+(U$2/29)</f>
        <v>13.156555555555553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1.7410714285714286</v>
      </c>
      <c r="D9" s="294" t="s">
        <v>273</v>
      </c>
      <c r="E9" s="387">
        <f>PLANTILLA!E10</f>
        <v>31</v>
      </c>
      <c r="F9" s="387">
        <f ca="1">PLANTILLA!F10</f>
        <v>29</v>
      </c>
      <c r="G9" s="388"/>
      <c r="H9" s="371">
        <v>4</v>
      </c>
      <c r="I9" s="308">
        <f>PLANTILLA!I10</f>
        <v>9.5</v>
      </c>
      <c r="J9" s="486">
        <f>PLANTILLA!X10</f>
        <v>0</v>
      </c>
      <c r="K9" s="486">
        <f>PLANTILLA!Y10</f>
        <v>11.999999999999996</v>
      </c>
      <c r="L9" s="486">
        <f>PLANTILLA!Z10</f>
        <v>7.0025000000000022</v>
      </c>
      <c r="M9" s="486">
        <f>PLANTILLA!AA10</f>
        <v>7.4300000000000015</v>
      </c>
      <c r="N9" s="486">
        <f>PLANTILLA!AB10</f>
        <v>9.0199999999999978</v>
      </c>
      <c r="O9" s="486">
        <f>PLANTILLA!AC10</f>
        <v>4.6199999999999966</v>
      </c>
      <c r="P9" s="486">
        <f>PLANTILLA!AD10</f>
        <v>15.6</v>
      </c>
      <c r="Q9" s="411">
        <f t="shared" si="4"/>
        <v>31</v>
      </c>
      <c r="R9" s="412">
        <f t="shared" ca="1" si="5"/>
        <v>36</v>
      </c>
      <c r="S9" s="180"/>
      <c r="T9" s="180"/>
      <c r="U9" s="180"/>
      <c r="V9" s="180"/>
      <c r="W9" s="180"/>
      <c r="X9" s="180"/>
      <c r="Y9" s="180"/>
      <c r="Z9" s="180"/>
      <c r="AA9" s="296">
        <f t="shared" si="6"/>
        <v>9.5</v>
      </c>
      <c r="AB9" s="506">
        <f t="shared" si="20"/>
        <v>0</v>
      </c>
      <c r="AC9" s="506">
        <f>K9+(T$2/10)</f>
        <v>11.999999999999996</v>
      </c>
      <c r="AD9" s="506">
        <f>L9+(U$2/31)</f>
        <v>7.0025000000000022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5.5357142857142856</v>
      </c>
      <c r="D10" s="294" t="s">
        <v>567</v>
      </c>
      <c r="E10" s="387">
        <f>PLANTILLA!E11</f>
        <v>27</v>
      </c>
      <c r="F10" s="387">
        <f ca="1">PLANTILLA!F11</f>
        <v>52</v>
      </c>
      <c r="G10" s="388"/>
      <c r="H10" s="394">
        <v>5</v>
      </c>
      <c r="I10" s="308">
        <f>PLANTILLA!I11</f>
        <v>4.9000000000000004</v>
      </c>
      <c r="J10" s="486">
        <f>PLANTILLA!X11</f>
        <v>0</v>
      </c>
      <c r="K10" s="486">
        <f>PLANTILLA!Y11</f>
        <v>9.6046666666666667</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59</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1.9464285714285714</v>
      </c>
      <c r="D11" s="386" t="s">
        <v>270</v>
      </c>
      <c r="E11" s="387">
        <f>PLANTILLA!E12</f>
        <v>31</v>
      </c>
      <c r="F11" s="387">
        <f ca="1">PLANTILLA!F12</f>
        <v>6</v>
      </c>
      <c r="G11" s="388" t="s">
        <v>271</v>
      </c>
      <c r="H11" s="371">
        <v>1</v>
      </c>
      <c r="I11" s="308">
        <f>PLANTILLA!I12</f>
        <v>12.6</v>
      </c>
      <c r="J11" s="486">
        <f>PLANTILLA!X12</f>
        <v>0</v>
      </c>
      <c r="K11" s="486">
        <f>PLANTILLA!Y12</f>
        <v>12.06111111111111</v>
      </c>
      <c r="L11" s="486">
        <f>PLANTILLA!Z12</f>
        <v>12.534111111111114</v>
      </c>
      <c r="M11" s="486">
        <f>PLANTILLA!AA12</f>
        <v>13.133333333333335</v>
      </c>
      <c r="N11" s="486">
        <f>PLANTILLA!AB12</f>
        <v>10.91</v>
      </c>
      <c r="O11" s="486">
        <f>PLANTILLA!AC12</f>
        <v>7.7700000000000005</v>
      </c>
      <c r="P11" s="486">
        <f>PLANTILLA!AD12</f>
        <v>17.13</v>
      </c>
      <c r="Q11" s="411">
        <f t="shared" si="4"/>
        <v>31</v>
      </c>
      <c r="R11" s="412">
        <f t="shared" ca="1" si="5"/>
        <v>13</v>
      </c>
      <c r="S11" s="180"/>
      <c r="T11" s="180"/>
      <c r="U11" s="180"/>
      <c r="V11" s="180"/>
      <c r="W11" s="180"/>
      <c r="X11" s="180"/>
      <c r="Y11" s="180"/>
      <c r="Z11" s="180"/>
      <c r="AA11" s="296">
        <f t="shared" si="6"/>
        <v>12.6</v>
      </c>
      <c r="AB11" s="506">
        <f t="shared" si="20"/>
        <v>0</v>
      </c>
      <c r="AC11" s="506">
        <f>K11+(T$2/10)</f>
        <v>12.06111111111111</v>
      </c>
      <c r="AD11" s="506">
        <f>L11+(U$2/18)</f>
        <v>12.534111111111114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2.4196428571428572</v>
      </c>
      <c r="D12" s="386" t="s">
        <v>298</v>
      </c>
      <c r="E12" s="387">
        <f>PLANTILLA!E13</f>
        <v>30</v>
      </c>
      <c r="F12" s="387">
        <f ca="1">PLANTILLA!F13</f>
        <v>65</v>
      </c>
      <c r="G12" s="388" t="s">
        <v>268</v>
      </c>
      <c r="H12" s="371">
        <v>3</v>
      </c>
      <c r="I12" s="308">
        <f>PLANTILLA!I13</f>
        <v>10.4</v>
      </c>
      <c r="J12" s="486">
        <f>PLANTILLA!X13</f>
        <v>0</v>
      </c>
      <c r="K12" s="486">
        <f>PLANTILLA!Y13</f>
        <v>7.2503030303030309</v>
      </c>
      <c r="L12" s="486">
        <f>PLANTILLA!Z13</f>
        <v>10.500000000000004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72</v>
      </c>
      <c r="S12" s="180"/>
      <c r="T12" s="180"/>
      <c r="U12" s="180"/>
      <c r="V12" s="180"/>
      <c r="W12" s="180"/>
      <c r="X12" s="180"/>
      <c r="Y12" s="180"/>
      <c r="Z12" s="180"/>
      <c r="AA12" s="296">
        <f t="shared" si="6"/>
        <v>10.4</v>
      </c>
      <c r="AB12" s="506">
        <f t="shared" si="20"/>
        <v>0</v>
      </c>
      <c r="AC12" s="506">
        <f>K12+(T$2/7)</f>
        <v>7.2503030303030309</v>
      </c>
      <c r="AD12" s="506">
        <f>L12+(U$2/7)</f>
        <v>10.500000000000004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5.2857142857142856</v>
      </c>
      <c r="D13" s="386" t="s">
        <v>507</v>
      </c>
      <c r="E13" s="387">
        <f>PLANTILLA!E14</f>
        <v>27</v>
      </c>
      <c r="F13" s="387">
        <f ca="1">PLANTILLA!F14</f>
        <v>80</v>
      </c>
      <c r="G13" s="388" t="s">
        <v>502</v>
      </c>
      <c r="H13" s="371">
        <v>3</v>
      </c>
      <c r="I13" s="308">
        <f>PLANTILLA!I14</f>
        <v>8.9</v>
      </c>
      <c r="J13" s="486">
        <f>PLANTILLA!X14</f>
        <v>0</v>
      </c>
      <c r="K13" s="486">
        <f>PLANTILLA!Y14</f>
        <v>8.3599999999999977</v>
      </c>
      <c r="L13" s="486">
        <f>PLANTILLA!Z14</f>
        <v>12.158412698412699</v>
      </c>
      <c r="M13" s="486">
        <f>PLANTILLA!AA14</f>
        <v>12.25</v>
      </c>
      <c r="N13" s="486">
        <f>PLANTILLA!AB14</f>
        <v>10.24</v>
      </c>
      <c r="O13" s="486">
        <f>PLANTILLA!AC14</f>
        <v>7.4766666666666666</v>
      </c>
      <c r="P13" s="486">
        <f>PLANTILLA!AD14</f>
        <v>15.270000000000001</v>
      </c>
      <c r="Q13" s="411">
        <f t="shared" si="4"/>
        <v>27</v>
      </c>
      <c r="R13" s="412">
        <f t="shared" ca="1" si="5"/>
        <v>87</v>
      </c>
      <c r="S13" s="180"/>
      <c r="T13" s="180"/>
      <c r="U13" s="180"/>
      <c r="V13" s="180"/>
      <c r="W13" s="180"/>
      <c r="X13" s="180"/>
      <c r="Y13" s="180"/>
      <c r="Z13" s="180"/>
      <c r="AA13" s="296">
        <f t="shared" si="6"/>
        <v>8.9</v>
      </c>
      <c r="AB13" s="506">
        <f t="shared" si="20"/>
        <v>0</v>
      </c>
      <c r="AC13" s="506">
        <f>K13+(T$2/6.5)</f>
        <v>8.3599999999999977</v>
      </c>
      <c r="AD13" s="506">
        <f>L13+(U$2/8)</f>
        <v>12.158412698412699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3.3125</v>
      </c>
      <c r="D14" s="294" t="s">
        <v>415</v>
      </c>
      <c r="E14" s="387">
        <f>PLANTILLA!E15</f>
        <v>29</v>
      </c>
      <c r="F14" s="387">
        <f ca="1">PLANTILLA!F15</f>
        <v>77</v>
      </c>
      <c r="G14" s="388" t="s">
        <v>268</v>
      </c>
      <c r="H14" s="371">
        <v>4</v>
      </c>
      <c r="I14" s="308">
        <f>PLANTILLA!I15</f>
        <v>10.8</v>
      </c>
      <c r="J14" s="486">
        <f>PLANTILLA!X15</f>
        <v>0</v>
      </c>
      <c r="K14" s="486">
        <f>PLANTILLA!Y15</f>
        <v>9.3036666666666648</v>
      </c>
      <c r="L14" s="486">
        <f>PLANTILLA!Z15</f>
        <v>13.759999999999998</v>
      </c>
      <c r="M14" s="486">
        <f>PLANTILLA!AA15</f>
        <v>12.835000000000001</v>
      </c>
      <c r="N14" s="486">
        <f>PLANTILLA!AB15</f>
        <v>9.6733333333333356</v>
      </c>
      <c r="O14" s="486">
        <f>PLANTILLA!AC15</f>
        <v>5.0296666666666656</v>
      </c>
      <c r="P14" s="486">
        <f>PLANTILLA!AD15</f>
        <v>15.2</v>
      </c>
      <c r="Q14" s="411">
        <f t="shared" si="4"/>
        <v>29</v>
      </c>
      <c r="R14" s="412">
        <f t="shared" ca="1" si="5"/>
        <v>84</v>
      </c>
      <c r="S14" s="180"/>
      <c r="T14" s="180"/>
      <c r="U14" s="180"/>
      <c r="V14" s="180"/>
      <c r="W14" s="180"/>
      <c r="X14" s="180"/>
      <c r="Y14" s="180"/>
      <c r="Z14" s="180"/>
      <c r="AA14" s="296">
        <f t="shared" si="6"/>
        <v>10.8</v>
      </c>
      <c r="AB14" s="506">
        <f t="shared" si="20"/>
        <v>0</v>
      </c>
      <c r="AC14" s="506">
        <f>K14+(T$2/50)</f>
        <v>9.3036666666666648</v>
      </c>
      <c r="AD14" s="506">
        <f>L14+(U$2/10)</f>
        <v>13.759999999999998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1.0089285714285714</v>
      </c>
      <c r="D15" s="386" t="s">
        <v>285</v>
      </c>
      <c r="E15" s="387">
        <f>PLANTILLA!E16</f>
        <v>31</v>
      </c>
      <c r="F15" s="387">
        <f ca="1">PLANTILLA!F16</f>
        <v>111</v>
      </c>
      <c r="G15" s="388" t="s">
        <v>268</v>
      </c>
      <c r="H15" s="394">
        <v>5</v>
      </c>
      <c r="I15" s="308">
        <f>PLANTILLA!I16</f>
        <v>11.3</v>
      </c>
      <c r="J15" s="486">
        <f>PLANTILLA!X16</f>
        <v>0</v>
      </c>
      <c r="K15" s="486">
        <f>PLANTILLA!Y16</f>
        <v>8.6275555555555581</v>
      </c>
      <c r="L15" s="486">
        <f>PLANTILLA!Z16</f>
        <v>14.238017460317453</v>
      </c>
      <c r="M15" s="486">
        <f>PLANTILLA!AA16</f>
        <v>9.99</v>
      </c>
      <c r="N15" s="486">
        <f>PLANTILLA!AB16</f>
        <v>10.09</v>
      </c>
      <c r="O15" s="486">
        <f>PLANTILLA!AC16</f>
        <v>4.3999999999999995</v>
      </c>
      <c r="P15" s="486">
        <f>PLANTILLA!AD16</f>
        <v>16.544444444444441</v>
      </c>
      <c r="Q15" s="411">
        <f t="shared" si="4"/>
        <v>31</v>
      </c>
      <c r="R15" s="412">
        <f t="shared" ca="1" si="5"/>
        <v>118</v>
      </c>
      <c r="S15" s="180"/>
      <c r="T15" s="180"/>
      <c r="U15" s="180"/>
      <c r="V15" s="180"/>
      <c r="W15" s="180"/>
      <c r="X15" s="180"/>
      <c r="Y15" s="180"/>
      <c r="Z15" s="180"/>
      <c r="AA15" s="296">
        <f t="shared" si="6"/>
        <v>11.3</v>
      </c>
      <c r="AB15" s="506">
        <f t="shared" si="20"/>
        <v>0</v>
      </c>
      <c r="AC15" s="506">
        <f>K15+(T$2/50)</f>
        <v>8.6275555555555581</v>
      </c>
      <c r="AD15" s="506">
        <f>L15+(U$2/11)</f>
        <v>14.238017460317453</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2.0625</v>
      </c>
      <c r="D16" s="386" t="s">
        <v>272</v>
      </c>
      <c r="E16" s="387">
        <f>PLANTILLA!E17</f>
        <v>30</v>
      </c>
      <c r="F16" s="387">
        <f ca="1">PLANTILLA!F17</f>
        <v>105</v>
      </c>
      <c r="G16" s="388"/>
      <c r="H16" s="371">
        <v>4</v>
      </c>
      <c r="I16" s="308">
        <f>PLANTILLA!I17</f>
        <v>9.3000000000000007</v>
      </c>
      <c r="J16" s="486">
        <f>PLANTILLA!X17</f>
        <v>0</v>
      </c>
      <c r="K16" s="486">
        <f>PLANTILLA!Y17</f>
        <v>10.549999999999995</v>
      </c>
      <c r="L16" s="486">
        <f>PLANTILLA!Z17</f>
        <v>12.869777777777777</v>
      </c>
      <c r="M16" s="486">
        <f>PLANTILLA!AA17</f>
        <v>5.1299999999999981</v>
      </c>
      <c r="N16" s="486">
        <f>PLANTILLA!AB17</f>
        <v>9.24</v>
      </c>
      <c r="O16" s="486">
        <f>PLANTILLA!AC17</f>
        <v>2.98</v>
      </c>
      <c r="P16" s="486">
        <f>PLANTILLA!AD17</f>
        <v>16.959999999999997</v>
      </c>
      <c r="Q16" s="411">
        <f t="shared" si="4"/>
        <v>30</v>
      </c>
      <c r="R16" s="412">
        <f t="shared" ca="1" si="5"/>
        <v>112</v>
      </c>
      <c r="S16" s="180"/>
      <c r="T16" s="180"/>
      <c r="U16" s="180"/>
      <c r="V16" s="180"/>
      <c r="W16" s="180"/>
      <c r="X16" s="180"/>
      <c r="Y16" s="180"/>
      <c r="Z16" s="180"/>
      <c r="AA16" s="296">
        <f t="shared" si="6"/>
        <v>9.3000000000000007</v>
      </c>
      <c r="AB16" s="506">
        <f t="shared" si="20"/>
        <v>0</v>
      </c>
      <c r="AC16" s="506">
        <f>K16+(T$2/7)</f>
        <v>10.549999999999995</v>
      </c>
      <c r="AD16" s="506">
        <f>L16+(U$2/11)</f>
        <v>12.869777777777777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2.2857142857142856</v>
      </c>
      <c r="D17" s="294" t="s">
        <v>400</v>
      </c>
      <c r="E17" s="387">
        <f>PLANTILLA!E18</f>
        <v>30</v>
      </c>
      <c r="F17" s="387">
        <f ca="1">PLANTILLA!F18</f>
        <v>80</v>
      </c>
      <c r="G17" s="388"/>
      <c r="H17" s="371">
        <v>1</v>
      </c>
      <c r="I17" s="308">
        <f>PLANTILLA!I18</f>
        <v>8.1999999999999993</v>
      </c>
      <c r="J17" s="486">
        <f>PLANTILLA!X18</f>
        <v>0</v>
      </c>
      <c r="K17" s="486">
        <f>PLANTILLA!Y18</f>
        <v>5.4644444444444451</v>
      </c>
      <c r="L17" s="486">
        <f>PLANTILLA!Z18</f>
        <v>14.331408994708985</v>
      </c>
      <c r="M17" s="486">
        <f>PLANTILLA!AA18</f>
        <v>3.5124999999999993</v>
      </c>
      <c r="N17" s="486">
        <f>PLANTILLA!AB18</f>
        <v>9.1400000000000041</v>
      </c>
      <c r="O17" s="486">
        <f>PLANTILLA!AC18</f>
        <v>7.4318888888888894</v>
      </c>
      <c r="P17" s="486">
        <f>PLANTILLA!AD18</f>
        <v>16.07</v>
      </c>
      <c r="Q17" s="411">
        <f t="shared" si="4"/>
        <v>30</v>
      </c>
      <c r="R17" s="412">
        <f t="shared" ca="1" si="5"/>
        <v>87</v>
      </c>
      <c r="S17" s="180"/>
      <c r="T17" s="180"/>
      <c r="U17" s="180"/>
      <c r="V17" s="180"/>
      <c r="W17" s="180"/>
      <c r="X17" s="180"/>
      <c r="Y17" s="180"/>
      <c r="Z17" s="180"/>
      <c r="AA17" s="296">
        <f t="shared" si="6"/>
        <v>8.1999999999999993</v>
      </c>
      <c r="AB17" s="506">
        <f t="shared" si="20"/>
        <v>0</v>
      </c>
      <c r="AC17" s="506">
        <f>K17+(T$2/6.5)</f>
        <v>5.4644444444444451</v>
      </c>
      <c r="AD17" s="506">
        <f>L17+(U$2/11)</f>
        <v>14.331408994708985</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3.7321428571428572</v>
      </c>
      <c r="D18" s="294" t="s">
        <v>414</v>
      </c>
      <c r="E18" s="387">
        <f>PLANTILLA!E19</f>
        <v>29</v>
      </c>
      <c r="F18" s="387">
        <f ca="1">PLANTILLA!F19</f>
        <v>30</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37</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2.5982142857142856</v>
      </c>
      <c r="D20" s="294" t="str">
        <f>PLANTILLA!D7</f>
        <v>B. Pinczehelyi</v>
      </c>
      <c r="E20" s="387">
        <f>PLANTILLA!E7</f>
        <v>30</v>
      </c>
      <c r="F20" s="395">
        <f ca="1">PLANTILLA!F7</f>
        <v>45</v>
      </c>
      <c r="G20" s="388" t="s">
        <v>502</v>
      </c>
      <c r="H20" s="371">
        <v>2</v>
      </c>
      <c r="I20" s="308">
        <f>PLANTILLA!I7</f>
        <v>14.4</v>
      </c>
      <c r="J20" s="486">
        <f>PLANTILLA!X7</f>
        <v>0</v>
      </c>
      <c r="K20" s="486">
        <f>PLANTILLA!Y7</f>
        <v>14.300000000000004</v>
      </c>
      <c r="L20" s="486">
        <f>PLANTILLA!Z7</f>
        <v>9.3193333333333346</v>
      </c>
      <c r="M20" s="486">
        <f>PLANTILLA!AA7</f>
        <v>14.291666666666663</v>
      </c>
      <c r="N20" s="486">
        <f>PLANTILLA!AB7</f>
        <v>9.4199999999999982</v>
      </c>
      <c r="O20" s="486">
        <f>PLANTILLA!AC7</f>
        <v>1.1428571428571428</v>
      </c>
      <c r="P20" s="486">
        <f>PLANTILLA!AD7</f>
        <v>9.4</v>
      </c>
      <c r="Q20" s="411">
        <f t="shared" si="4"/>
        <v>30</v>
      </c>
      <c r="R20" s="412">
        <f t="shared" ca="1" si="5"/>
        <v>52</v>
      </c>
      <c r="S20" s="180"/>
      <c r="T20" s="180"/>
      <c r="U20" s="180"/>
      <c r="V20" s="180"/>
      <c r="W20" s="180"/>
      <c r="X20" s="180"/>
      <c r="Y20" s="180"/>
      <c r="Z20" s="180"/>
      <c r="AA20" s="296">
        <f t="shared" si="6"/>
        <v>14.4</v>
      </c>
      <c r="AB20" s="506">
        <f t="shared" si="20"/>
        <v>0</v>
      </c>
      <c r="AC20" s="506">
        <f>K20+(T$2/20)</f>
        <v>14.300000000000004</v>
      </c>
      <c r="AD20" s="506">
        <f>L20+(U$2/50)</f>
        <v>9.3193333333333346</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2.9553571428571428</v>
      </c>
      <c r="D21" s="386" t="s">
        <v>287</v>
      </c>
      <c r="E21" s="387">
        <f>PLANTILLA!E22</f>
        <v>30</v>
      </c>
      <c r="F21" s="387">
        <f ca="1">PLANTILLA!F22</f>
        <v>5</v>
      </c>
      <c r="G21" s="388" t="s">
        <v>296</v>
      </c>
      <c r="H21" s="371">
        <v>4</v>
      </c>
      <c r="I21" s="308">
        <f>PLANTILLA!I22</f>
        <v>10.3</v>
      </c>
      <c r="J21" s="486">
        <f>PLANTILLA!X22</f>
        <v>0</v>
      </c>
      <c r="K21" s="486">
        <f>PLANTILLA!Y22</f>
        <v>6.8376190476190493</v>
      </c>
      <c r="L21" s="486">
        <f>PLANTILLA!Z22</f>
        <v>8.625</v>
      </c>
      <c r="M21" s="486">
        <f>PLANTILLA!AA22</f>
        <v>8.7299999999999969</v>
      </c>
      <c r="N21" s="486">
        <f>PLANTILLA!AB22</f>
        <v>9.6900000000000013</v>
      </c>
      <c r="O21" s="486">
        <f>PLANTILLA!AC22</f>
        <v>8.5625000000000018</v>
      </c>
      <c r="P21" s="486">
        <f>PLANTILLA!AD22</f>
        <v>18.639999999999993</v>
      </c>
      <c r="Q21" s="411">
        <f t="shared" si="4"/>
        <v>30</v>
      </c>
      <c r="R21" s="412">
        <f t="shared" ca="1" si="5"/>
        <v>12</v>
      </c>
      <c r="S21" s="180"/>
      <c r="T21" s="180"/>
      <c r="U21" s="180"/>
      <c r="V21" s="180"/>
      <c r="W21" s="180"/>
      <c r="X21" s="180"/>
      <c r="Y21" s="180"/>
      <c r="Z21" s="180"/>
      <c r="AA21" s="296">
        <f t="shared" si="6"/>
        <v>10.3</v>
      </c>
      <c r="AB21" s="506">
        <f t="shared" si="20"/>
        <v>0</v>
      </c>
      <c r="AC21" s="506">
        <f>K21+(T$2/32)</f>
        <v>6.8376190476190493</v>
      </c>
      <c r="AD21" s="506">
        <f>L21+(U$2/7)</f>
        <v>8.625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2.3392857142857144</v>
      </c>
      <c r="D22" s="386" t="str">
        <f>PLANTILLA!D23</f>
        <v>L. Calosso</v>
      </c>
      <c r="E22" s="387">
        <f>PLANTILLA!E23</f>
        <v>30</v>
      </c>
      <c r="F22" s="387">
        <f ca="1">PLANTILLA!F23</f>
        <v>74</v>
      </c>
      <c r="G22" s="388"/>
      <c r="H22" s="371">
        <v>4</v>
      </c>
      <c r="I22" s="308">
        <f>PLANTILLA!I23</f>
        <v>10.5</v>
      </c>
      <c r="J22" s="486">
        <f>PLANTILLA!X23</f>
        <v>0</v>
      </c>
      <c r="K22" s="486">
        <f>PLANTILLA!Y23</f>
        <v>3.02</v>
      </c>
      <c r="L22" s="486">
        <f>PLANTILLA!Z23</f>
        <v>14.137609523809523</v>
      </c>
      <c r="M22" s="486">
        <f>PLANTILLA!AA23</f>
        <v>3.02</v>
      </c>
      <c r="N22" s="486">
        <f>PLANTILLA!AB23</f>
        <v>15.02</v>
      </c>
      <c r="O22" s="486">
        <f>PLANTILLA!AC23</f>
        <v>10</v>
      </c>
      <c r="P22" s="486">
        <f>PLANTILLA!AD23</f>
        <v>9.3000000000000007</v>
      </c>
      <c r="Q22" s="411">
        <f t="shared" si="4"/>
        <v>30</v>
      </c>
      <c r="R22" s="412">
        <f t="shared" ca="1" si="5"/>
        <v>81</v>
      </c>
      <c r="S22" s="180"/>
      <c r="T22" s="180"/>
      <c r="U22" s="180"/>
      <c r="V22" s="180"/>
      <c r="W22" s="180"/>
      <c r="X22" s="180"/>
      <c r="Y22" s="180"/>
      <c r="Z22" s="180"/>
      <c r="AA22" s="296">
        <f t="shared" si="6"/>
        <v>10.5</v>
      </c>
      <c r="AB22" s="506">
        <f t="shared" si="20"/>
        <v>0</v>
      </c>
      <c r="AC22" s="506">
        <f>K22+(T$2/21)</f>
        <v>3.02</v>
      </c>
      <c r="AD22" s="506">
        <f>L22+(U$2/21)</f>
        <v>14.137609523809523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5.6785714285714288</v>
      </c>
      <c r="D23" s="294" t="s">
        <v>541</v>
      </c>
      <c r="E23" s="387">
        <f>PLANTILLA!E24</f>
        <v>27</v>
      </c>
      <c r="F23" s="387">
        <f ca="1">PLANTILLA!F24</f>
        <v>36</v>
      </c>
      <c r="G23" s="388"/>
      <c r="H23" s="396">
        <v>6</v>
      </c>
      <c r="I23" s="308">
        <f>PLANTILLA!I24</f>
        <v>5.5</v>
      </c>
      <c r="J23" s="486">
        <f>PLANTILLA!X24</f>
        <v>0</v>
      </c>
      <c r="K23" s="486">
        <f>PLANTILLA!Y24</f>
        <v>4.0199999999999996</v>
      </c>
      <c r="L23" s="486">
        <f>PLANTILLA!Z24</f>
        <v>5.5538722222222203</v>
      </c>
      <c r="M23" s="486">
        <f>PLANTILLA!AA24</f>
        <v>5.4899999999999993</v>
      </c>
      <c r="N23" s="486">
        <f>PLANTILLA!AB24</f>
        <v>10.799999999999999</v>
      </c>
      <c r="O23" s="486">
        <f>PLANTILLA!AC24</f>
        <v>8.384500000000001</v>
      </c>
      <c r="P23" s="486">
        <f>PLANTILLA!AD24</f>
        <v>13.566666666666668</v>
      </c>
      <c r="Q23" s="411">
        <f t="shared" si="4"/>
        <v>27</v>
      </c>
      <c r="R23" s="412">
        <f t="shared" ca="1" si="5"/>
        <v>43</v>
      </c>
      <c r="S23" s="180"/>
      <c r="T23" s="180"/>
      <c r="U23" s="180"/>
      <c r="V23" s="180"/>
      <c r="W23" s="180"/>
      <c r="X23" s="180"/>
      <c r="Y23" s="180"/>
      <c r="Z23" s="180"/>
      <c r="AA23" s="296">
        <f t="shared" si="6"/>
        <v>5.5</v>
      </c>
      <c r="AB23" s="506">
        <f t="shared" si="20"/>
        <v>0</v>
      </c>
      <c r="AC23" s="506">
        <f>K23+(T$2/20)</f>
        <v>4.0199999999999996</v>
      </c>
      <c r="AD23" s="506">
        <f>L23+(U$2/27)</f>
        <v>5.5538722222222203</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2.0499999999999989</v>
      </c>
      <c r="H3" s="265">
        <f>Evaluacion!N3</f>
        <v>2.1399999999999992</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13.156555555555553</v>
      </c>
      <c r="H4" s="265">
        <f>Evaluacion!N6</f>
        <v>9.8200000000000056</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2.6911133396739015</v>
      </c>
      <c r="S4" s="597">
        <f>Evaluacion!AL6</f>
        <v>7.5134026011671953</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12.869777777777777</v>
      </c>
      <c r="H5" s="265">
        <f>Evaluacion!N15</f>
        <v>5.1299999999999981</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3.7273390334522261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9.3193333333333346</v>
      </c>
      <c r="H6" s="265">
        <f>Evaluacion!N9</f>
        <v>14.291666666666663</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1.9812573815732093</v>
      </c>
      <c r="S6" s="597">
        <v>0</v>
      </c>
      <c r="T6" s="597">
        <f>0</f>
        <v>0</v>
      </c>
      <c r="U6" s="597">
        <f>Evaluacion!AL9</f>
        <v>9.8996561938026719</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13.759999999999998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12.092840461442401</v>
      </c>
      <c r="S7" s="597">
        <f>Evaluacion!BH13*N7</f>
        <v>10.702594340490689</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14.331408994708985</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14.066107658257001</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14.238017460317453</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12.459322860175014</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12.534111111111114</v>
      </c>
      <c r="H10" s="265">
        <f>Evaluacion!N10</f>
        <v>13.133333333333335</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7.0530786862602124</v>
      </c>
      <c r="S10" s="597">
        <f>Evaluacion!BW10</f>
        <v>17.296854085320348</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10.500000000000004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6.0770002258412621</v>
      </c>
      <c r="S11" s="597">
        <v>0</v>
      </c>
      <c r="T11" s="597">
        <f>Evaluacion!BX11</f>
        <v>1.5991413787402029</v>
      </c>
      <c r="U11" s="597">
        <f>Evaluacion!BW11</f>
        <v>17.259857253257398</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8.625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2.7110749757821289</v>
      </c>
      <c r="S12" s="597">
        <f>N12*Evaluacion!CH19</f>
        <v>6.7826336646490653</v>
      </c>
      <c r="T12" s="597">
        <f>N12*Evaluacion!CI19</f>
        <v>15.158154892382942</v>
      </c>
      <c r="U12" s="597">
        <f>S12</f>
        <v>6.7826336646490653</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14.137609523809523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6.5220812438322175</v>
      </c>
      <c r="S13" s="597">
        <f>N13*Evaluacion!CE20</f>
        <v>7.8522819086137012</v>
      </c>
      <c r="T13" s="597">
        <f>N13*Evaluacion!CF20</f>
        <v>16.261565229948463</v>
      </c>
      <c r="U13" s="597">
        <f>S13</f>
        <v>7.8522819086137012</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69.38121586628958</v>
      </c>
      <c r="S14" s="598">
        <f t="shared" si="0"/>
        <v>52.004127896579803</v>
      </c>
      <c r="T14" s="598">
        <f t="shared" si="0"/>
        <v>44.871659757894058</v>
      </c>
      <c r="U14" s="598">
        <f t="shared" si="0"/>
        <v>53.133636476544069</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8.6726519832861975</v>
      </c>
      <c r="S15" s="600">
        <f>S14*0.25</f>
        <v>13.001031974144951</v>
      </c>
      <c r="T15" s="600">
        <f>T14*0.19</f>
        <v>8.5256153539998714</v>
      </c>
      <c r="U15" s="600">
        <f>U14*0.25</f>
        <v>13.283409119136017</v>
      </c>
    </row>
    <row r="16" spans="2:25" ht="15.75" x14ac:dyDescent="0.25">
      <c r="M16" s="263"/>
      <c r="N16" s="263" t="s">
        <v>813</v>
      </c>
      <c r="O16" s="610">
        <f>O15*1.2/1.05</f>
        <v>16.665838879741326</v>
      </c>
      <c r="P16" s="610">
        <f t="shared" ref="P16:Q16" si="1">P15*1.2/1.05</f>
        <v>18.275978087461741</v>
      </c>
      <c r="Q16" s="610">
        <f t="shared" si="1"/>
        <v>16.664987246541664</v>
      </c>
      <c r="R16" s="610">
        <f>R15</f>
        <v>8.6726519832861975</v>
      </c>
      <c r="S16" s="610">
        <f>S15*0.925/1.05</f>
        <v>11.453290072461028</v>
      </c>
      <c r="T16" s="610">
        <f t="shared" ref="T16:U16" si="2">T15*0.925/1.05</f>
        <v>7.5106611451903627</v>
      </c>
      <c r="U16" s="610">
        <f t="shared" si="2"/>
        <v>11.702050890667444</v>
      </c>
    </row>
    <row r="17" spans="13:21" ht="15.75" x14ac:dyDescent="0.25">
      <c r="M17" s="263"/>
      <c r="N17" s="263" t="s">
        <v>814</v>
      </c>
      <c r="O17" s="610">
        <f>O15*0.925/1.05</f>
        <v>12.846584136467273</v>
      </c>
      <c r="P17" s="610">
        <f t="shared" ref="P17:Q17" si="3">P15*0.925/1.05</f>
        <v>14.087733109085093</v>
      </c>
      <c r="Q17" s="610">
        <f t="shared" si="3"/>
        <v>12.8459276692092</v>
      </c>
      <c r="R17" s="610">
        <f>R16</f>
        <v>8.6726519832861975</v>
      </c>
      <c r="S17" s="610">
        <f>S15*1.135/1.05</f>
        <v>14.053496467290017</v>
      </c>
      <c r="T17" s="610">
        <f t="shared" ref="T17:U17" si="4">T15*1.135/1.05</f>
        <v>9.2157842159903378</v>
      </c>
      <c r="U17" s="610">
        <f t="shared" si="4"/>
        <v>14.358732714494646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2.0499999999999989</v>
      </c>
      <c r="G2" s="265">
        <f>Evaluacion!N3</f>
        <v>2.1399999999999992</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9.3193333333333346</v>
      </c>
      <c r="G3" s="265">
        <f>Evaluacion!N9</f>
        <v>14.291666666666663</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1.9812573815732093</v>
      </c>
      <c r="R3" s="597">
        <f>Evaluacion!AL9</f>
        <v>9.8996561938026719</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7.0025000000000022</v>
      </c>
      <c r="G4" s="265">
        <f>Evaluacion!N7</f>
        <v>7.4300000000000015</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13.156555555555553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3.4517154332823337</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6.199444444444441</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12.534111111111114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2.5887123969350667</v>
      </c>
      <c r="R7" s="597">
        <v>0</v>
      </c>
      <c r="S7" s="597">
        <v>0</v>
      </c>
      <c r="T7" s="597">
        <f>Evaluacion!AL10</f>
        <v>9.4670905073721698</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14.238017460317453</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14.120565908198351</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13.759999999999998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13.705219189634724</v>
      </c>
      <c r="R9" s="597">
        <v>0</v>
      </c>
      <c r="S9" s="597">
        <f>Evaluacion!BI13*M9</f>
        <v>2.8282317892568698</v>
      </c>
      <c r="T9" s="597">
        <f>Evaluacion!BH13*M9</f>
        <v>12.129606919222782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10.500000000000004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6.0770002258412621</v>
      </c>
      <c r="R10" s="597">
        <f>Evaluacion!BW11</f>
        <v>17.259857253257398</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12.158412698412699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2.7147082154951443</v>
      </c>
      <c r="P11" s="597">
        <f>Evaluacion!BT12</f>
        <v>3.1597423491828729</v>
      </c>
      <c r="Q11" s="597">
        <f>Evaluacion!BV12</f>
        <v>6.7905410484756921</v>
      </c>
      <c r="R11" s="597">
        <v>0</v>
      </c>
      <c r="S11" s="597">
        <f>Evaluacion!BX12</f>
        <v>1.5737082544053793</v>
      </c>
      <c r="T11" s="597">
        <f>Evaluacion!BW12</f>
        <v>16.147125503150086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14.137609523809523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6.9016732738965265</v>
      </c>
      <c r="R12" s="597">
        <f>M12*Evaluacion!CE20</f>
        <v>8.3092930249880439</v>
      </c>
      <c r="S12" s="597">
        <f>M12*Evaluacion!CF20</f>
        <v>17.208005534336998</v>
      </c>
      <c r="T12" s="597">
        <f>R12</f>
        <v>8.3092930249880439</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80.969178894462416</v>
      </c>
      <c r="P13" s="598">
        <f t="shared" si="1"/>
        <v>50.543829421438708</v>
      </c>
      <c r="Q13" s="598">
        <f t="shared" si="1"/>
        <v>61.091820712230124</v>
      </c>
      <c r="R13" s="598">
        <f t="shared" si="1"/>
        <v>48.013229397902698</v>
      </c>
      <c r="S13" s="598">
        <f t="shared" si="1"/>
        <v>26.137113514822566</v>
      </c>
      <c r="T13" s="598">
        <f t="shared" si="1"/>
        <v>47.702866732225324</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19.837448829143291</v>
      </c>
      <c r="P14" s="600">
        <f>P13*0.34</f>
        <v>17.184902003289164</v>
      </c>
      <c r="Q14" s="600">
        <f>Q13*0.125</f>
        <v>7.6364775890287655</v>
      </c>
      <c r="R14" s="600">
        <f>R13*0.25</f>
        <v>12.003307349475675</v>
      </c>
      <c r="S14" s="600">
        <f>S13*0.19</f>
        <v>4.9660515678162875</v>
      </c>
      <c r="T14" s="600">
        <f>T13*0.25</f>
        <v>11.925716683056331</v>
      </c>
    </row>
    <row r="15" spans="1:27" ht="15.75" x14ac:dyDescent="0.25">
      <c r="L15" s="263"/>
      <c r="M15" s="263" t="s">
        <v>813</v>
      </c>
      <c r="N15" s="610">
        <f>N14*1.2/1.05</f>
        <v>20.385304515814244</v>
      </c>
      <c r="O15" s="610">
        <f t="shared" ref="O15:P15" si="2">O14*1.2/1.05</f>
        <v>22.671370090449471</v>
      </c>
      <c r="P15" s="610">
        <f t="shared" si="2"/>
        <v>19.63988800375904</v>
      </c>
      <c r="Q15" s="610">
        <f>Q14</f>
        <v>7.6364775890287655</v>
      </c>
      <c r="R15" s="610">
        <f>R14*0.925/1.05</f>
        <v>10.57434218882381</v>
      </c>
      <c r="S15" s="610">
        <f t="shared" ref="S15:T15" si="3">S14*0.925/1.05</f>
        <v>4.3748549526000629</v>
      </c>
      <c r="T15" s="610">
        <f t="shared" si="3"/>
        <v>10.505988506502007</v>
      </c>
    </row>
    <row r="16" spans="1:27" ht="15.75" x14ac:dyDescent="0.25">
      <c r="L16" s="263"/>
      <c r="M16" s="263" t="s">
        <v>814</v>
      </c>
      <c r="N16" s="610">
        <f>N14*0.925/1.05</f>
        <v>15.713672230940148</v>
      </c>
      <c r="O16" s="610">
        <f t="shared" ref="O16:P16" si="4">O14*0.925/1.05</f>
        <v>17.475847778054806</v>
      </c>
      <c r="P16" s="610">
        <f t="shared" si="4"/>
        <v>15.139080336230929</v>
      </c>
      <c r="Q16" s="610">
        <f>Q15</f>
        <v>7.6364775890287655</v>
      </c>
      <c r="R16" s="610">
        <f>R14*1.135/1.05</f>
        <v>12.975003658718943</v>
      </c>
      <c r="S16" s="610">
        <f t="shared" ref="S16:T16" si="5">S14*1.135/1.05</f>
        <v>5.3680652661633195</v>
      </c>
      <c r="T16" s="610">
        <f t="shared" si="5"/>
        <v>12.891131843113271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105</v>
      </c>
      <c r="E4" s="163">
        <f>PLANTILLA!X17</f>
        <v>0</v>
      </c>
      <c r="F4" s="163">
        <f>PLANTILLA!Y17</f>
        <v>10.549999999999995</v>
      </c>
      <c r="G4" s="163">
        <f>PLANTILLA!Z17</f>
        <v>12.869777777777777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29</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90</v>
      </c>
      <c r="E6" s="163">
        <f>PLANTILLA!X8</f>
        <v>0</v>
      </c>
      <c r="F6" s="163">
        <f>PLANTILLA!Y8</f>
        <v>11.077333333333334</v>
      </c>
      <c r="G6" s="163">
        <f>PLANTILLA!Z8</f>
        <v>6.199444444444441</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44</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6</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107</v>
      </c>
      <c r="E9" s="163">
        <f>PLANTILLA!X21</f>
        <v>0</v>
      </c>
      <c r="F9" s="163">
        <f>PLANTILLA!Y21</f>
        <v>3</v>
      </c>
      <c r="G9" s="163">
        <f>PLANTILLA!Z21</f>
        <v>15</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45</v>
      </c>
      <c r="E10" s="163">
        <f>PLANTILLA!X7</f>
        <v>0</v>
      </c>
      <c r="F10" s="163">
        <f>PLANTILLA!Y7</f>
        <v>14.300000000000004</v>
      </c>
      <c r="G10" s="163">
        <f>PLANTILLA!Z7</f>
        <v>9.3193333333333346</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33</v>
      </c>
      <c r="E11" s="163">
        <f>PLANTILLA!X5</f>
        <v>16.666666666666668</v>
      </c>
      <c r="F11" s="163">
        <f>PLANTILLA!Y5</f>
        <v>12.080559440559444</v>
      </c>
      <c r="G11" s="163">
        <f>PLANTILLA!Z5</f>
        <v>2.0499999999999989</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80</v>
      </c>
      <c r="E12" s="163">
        <f>PLANTILLA!X18</f>
        <v>0</v>
      </c>
      <c r="F12" s="163">
        <f>PLANTILLA!Y18</f>
        <v>5.4644444444444451</v>
      </c>
      <c r="G12" s="163">
        <f>PLANTILLA!Z18</f>
        <v>14.331408994708985</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65</v>
      </c>
      <c r="E13" s="163">
        <f>PLANTILLA!X13</f>
        <v>0</v>
      </c>
      <c r="F13" s="163">
        <f>PLANTILLA!Y13</f>
        <v>7.2503030303030309</v>
      </c>
      <c r="G13" s="163">
        <f>PLANTILLA!Z13</f>
        <v>10.500000000000004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80</v>
      </c>
      <c r="E14" s="163">
        <f>PLANTILLA!X14</f>
        <v>0</v>
      </c>
      <c r="F14" s="163">
        <f>PLANTILLA!Y14</f>
        <v>8.3599999999999977</v>
      </c>
      <c r="G14" s="163">
        <f>PLANTILLA!Z14</f>
        <v>12.158412698412699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77</v>
      </c>
      <c r="E15" s="163">
        <f>PLANTILLA!X15</f>
        <v>0</v>
      </c>
      <c r="F15" s="163">
        <f>PLANTILLA!Y15</f>
        <v>9.3036666666666648</v>
      </c>
      <c r="G15" s="163">
        <f>PLANTILLA!Z15</f>
        <v>13.759999999999998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111</v>
      </c>
      <c r="E16" s="163">
        <f>PLANTILLA!X16</f>
        <v>0</v>
      </c>
      <c r="F16" s="163">
        <f>PLANTILLA!Y16</f>
        <v>8.6275555555555581</v>
      </c>
      <c r="G16" s="163">
        <f>PLANTILLA!Z16</f>
        <v>14.238017460317453</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30</v>
      </c>
      <c r="D17" s="5">
        <f ca="1">PLANTILLA!F22</f>
        <v>5</v>
      </c>
      <c r="E17" s="163">
        <f>PLANTILLA!X22</f>
        <v>0</v>
      </c>
      <c r="F17" s="163">
        <f>PLANTILLA!Y22</f>
        <v>6.8376190476190493</v>
      </c>
      <c r="G17" s="163">
        <f>PLANTILLA!Z22</f>
        <v>8.625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36</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74</v>
      </c>
      <c r="E19" s="163">
        <f>PLANTILLA!X23</f>
        <v>0</v>
      </c>
      <c r="F19" s="163">
        <f>PLANTILLA!Y23</f>
        <v>3.02</v>
      </c>
      <c r="G19" s="163">
        <f>PLANTILLA!Z23</f>
        <v>14.137609523809523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52</v>
      </c>
      <c r="E20" s="163">
        <f>PLANTILLA!X11</f>
        <v>0</v>
      </c>
      <c r="F20" s="163">
        <f>PLANTILLA!Y11</f>
        <v>9.6046666666666667</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30</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42</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37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77</v>
      </c>
      <c r="E4" s="163">
        <f>PLANTILLA!X15</f>
        <v>0</v>
      </c>
      <c r="F4" s="163">
        <f>PLANTILLA!Y15</f>
        <v>9.3036666666666648</v>
      </c>
      <c r="G4" s="163">
        <f>PLANTILLA!Z15</f>
        <v>13.759999999999998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80</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30</v>
      </c>
      <c r="D6" s="287">
        <f ca="1">PLANTILLA!F22</f>
        <v>5</v>
      </c>
      <c r="E6" s="163">
        <f>PLANTILLA!X22</f>
        <v>0</v>
      </c>
      <c r="F6" s="163">
        <f>PLANTILLA!Y22</f>
        <v>6.8376190476190493</v>
      </c>
      <c r="G6" s="163">
        <f>PLANTILLA!Z22</f>
        <v>8.625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107</v>
      </c>
      <c r="E7" s="163">
        <f>PLANTILLA!X21</f>
        <v>0</v>
      </c>
      <c r="F7" s="163">
        <f>PLANTILLA!Y21</f>
        <v>3</v>
      </c>
      <c r="G7" s="163">
        <f>PLANTILLA!Z21</f>
        <v>15</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65</v>
      </c>
      <c r="E8" s="163">
        <f>PLANTILLA!X13</f>
        <v>0</v>
      </c>
      <c r="F8" s="163">
        <f>PLANTILLA!Y13</f>
        <v>7.2503030303030309</v>
      </c>
      <c r="G8" s="163">
        <f>PLANTILLA!Z13</f>
        <v>10.500000000000004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111</v>
      </c>
      <c r="E9" s="163">
        <f>PLANTILLA!X16</f>
        <v>0</v>
      </c>
      <c r="F9" s="163">
        <f>PLANTILLA!Y16</f>
        <v>8.6275555555555581</v>
      </c>
      <c r="G9" s="163">
        <f>PLANTILLA!Z16</f>
        <v>14.238017460317453</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80</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6</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90</v>
      </c>
      <c r="E12" s="163">
        <f>PLANTILLA!X8</f>
        <v>0</v>
      </c>
      <c r="F12" s="163">
        <f>PLANTILLA!Y8</f>
        <v>11.077333333333334</v>
      </c>
      <c r="G12" s="163">
        <f>PLANTILLA!Z8</f>
        <v>6.199444444444441</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29</v>
      </c>
      <c r="E13" s="163">
        <f>PLANTILLA!X10</f>
        <v>0</v>
      </c>
      <c r="F13" s="163">
        <f>PLANTILLA!Y10</f>
        <v>11.999999999999996</v>
      </c>
      <c r="G13" s="163">
        <f>PLANTILLA!Z10</f>
        <v>7.0025000000000022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44</v>
      </c>
      <c r="E14" s="163">
        <f>PLANTILLA!X9</f>
        <v>0</v>
      </c>
      <c r="F14" s="163">
        <f>PLANTILLA!Y9</f>
        <v>12.200000000000005</v>
      </c>
      <c r="G14" s="163">
        <f>PLANTILLA!Z9</f>
        <v>13.156555555555553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74</v>
      </c>
      <c r="E15" s="163">
        <f>PLANTILLA!X23</f>
        <v>0</v>
      </c>
      <c r="F15" s="163">
        <f>PLANTILLA!Y23</f>
        <v>3.02</v>
      </c>
      <c r="G15" s="163">
        <f>PLANTILLA!Z23</f>
        <v>14.137609523809523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105</v>
      </c>
      <c r="E16" s="163">
        <f>PLANTILLA!X17</f>
        <v>0</v>
      </c>
      <c r="F16" s="163">
        <f>PLANTILLA!Y17</f>
        <v>10.549999999999995</v>
      </c>
      <c r="G16" s="163">
        <f>PLANTILLA!Z17</f>
        <v>12.869777777777777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45</v>
      </c>
      <c r="E17" s="163">
        <f>PLANTILLA!X7</f>
        <v>0</v>
      </c>
      <c r="F17" s="163">
        <f>PLANTILLA!Y7</f>
        <v>14.300000000000004</v>
      </c>
      <c r="G17" s="163">
        <f>PLANTILLA!Z7</f>
        <v>9.3193333333333346</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36</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33</v>
      </c>
      <c r="E19" s="163">
        <f>PLANTILLA!X5</f>
        <v>16.666666666666668</v>
      </c>
      <c r="F19" s="163">
        <f>PLANTILLA!Y5</f>
        <v>12.080559440559444</v>
      </c>
      <c r="G19" s="163">
        <f>PLANTILLA!Z5</f>
        <v>2.0499999999999989</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42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52</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30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37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30</v>
      </c>
      <c r="D4" s="287">
        <f ca="1">PLANTILLA!F22</f>
        <v>5</v>
      </c>
      <c r="E4" s="163">
        <f>PLANTILLA!X22</f>
        <v>0</v>
      </c>
      <c r="F4" s="163">
        <f>PLANTILLA!Y22</f>
        <v>6.8376190476190493</v>
      </c>
      <c r="G4" s="163">
        <f>PLANTILLA!Z22</f>
        <v>8.625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80</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77</v>
      </c>
      <c r="E6" s="163">
        <f>PLANTILLA!X15</f>
        <v>0</v>
      </c>
      <c r="F6" s="163">
        <f>PLANTILLA!Y15</f>
        <v>9.3036666666666648</v>
      </c>
      <c r="G6" s="163">
        <f>PLANTILLA!Z15</f>
        <v>13.759999999999998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107</v>
      </c>
      <c r="E7" s="163">
        <f>PLANTILLA!X21</f>
        <v>0</v>
      </c>
      <c r="F7" s="163">
        <f>PLANTILLA!Y21</f>
        <v>3</v>
      </c>
      <c r="G7" s="163">
        <f>PLANTILLA!Z21</f>
        <v>15</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111</v>
      </c>
      <c r="E8" s="163">
        <f>PLANTILLA!X16</f>
        <v>0</v>
      </c>
      <c r="F8" s="163">
        <f>PLANTILLA!Y16</f>
        <v>8.6275555555555581</v>
      </c>
      <c r="G8" s="163">
        <f>PLANTILLA!Z16</f>
        <v>14.238017460317453</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65</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80</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6</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74</v>
      </c>
      <c r="E12" s="163">
        <f>PLANTILLA!X23</f>
        <v>0</v>
      </c>
      <c r="F12" s="163">
        <f>PLANTILLA!Y23</f>
        <v>3.02</v>
      </c>
      <c r="G12" s="163">
        <f>PLANTILLA!Z23</f>
        <v>14.137609523809523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36</v>
      </c>
      <c r="E13" s="163">
        <f>PLANTILLA!X24</f>
        <v>0</v>
      </c>
      <c r="F13" s="163">
        <f>PLANTILLA!Y24</f>
        <v>4.0199999999999996</v>
      </c>
      <c r="G13" s="163">
        <f>PLANTILLA!Z24</f>
        <v>5.5538722222222203</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33</v>
      </c>
      <c r="E14" s="163">
        <f>PLANTILLA!X5</f>
        <v>16.666666666666668</v>
      </c>
      <c r="F14" s="163">
        <f>PLANTILLA!Y5</f>
        <v>12.080559440559444</v>
      </c>
      <c r="G14" s="163">
        <f>PLANTILLA!Z5</f>
        <v>2.0499999999999989</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45</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90</v>
      </c>
      <c r="E16" s="163">
        <f>PLANTILLA!X8</f>
        <v>0</v>
      </c>
      <c r="F16" s="163">
        <f>PLANTILLA!Y8</f>
        <v>11.077333333333334</v>
      </c>
      <c r="G16" s="163">
        <f>PLANTILLA!Z8</f>
        <v>6.199444444444441</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44</v>
      </c>
      <c r="E17" s="163">
        <f>PLANTILLA!X9</f>
        <v>0</v>
      </c>
      <c r="F17" s="163">
        <f>PLANTILLA!Y9</f>
        <v>12.200000000000005</v>
      </c>
      <c r="G17" s="163">
        <f>PLANTILLA!Z9</f>
        <v>13.156555555555553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105</v>
      </c>
      <c r="E18" s="163">
        <f>PLANTILLA!X17</f>
        <v>0</v>
      </c>
      <c r="F18" s="163">
        <f>PLANTILLA!Y17</f>
        <v>10.549999999999995</v>
      </c>
      <c r="G18" s="163">
        <f>PLANTILLA!Z17</f>
        <v>12.869777777777777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29</v>
      </c>
      <c r="E19" s="163">
        <f>PLANTILLA!X10</f>
        <v>0</v>
      </c>
      <c r="F19" s="163">
        <f>PLANTILLA!Y10</f>
        <v>11.999999999999996</v>
      </c>
      <c r="G19" s="163">
        <f>PLANTILLA!Z10</f>
        <v>7.0025000000000022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42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52</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30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37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90</v>
      </c>
      <c r="E4" s="163">
        <f>PLANTILLA!X8</f>
        <v>0</v>
      </c>
      <c r="F4" s="163">
        <f>PLANTILLA!Y8</f>
        <v>11.077333333333334</v>
      </c>
      <c r="G4" s="163">
        <f>PLANTILLA!Z8</f>
        <v>6.199444444444441</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29</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80</v>
      </c>
      <c r="E6" s="163">
        <f>PLANTILLA!X14</f>
        <v>0</v>
      </c>
      <c r="F6" s="163">
        <f>PLANTILLA!Y14</f>
        <v>8.3599999999999977</v>
      </c>
      <c r="G6" s="163">
        <f>PLANTILLA!Z14</f>
        <v>12.158412698412699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44</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6</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65</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111</v>
      </c>
      <c r="E10" s="163">
        <f>PLANTILLA!X16</f>
        <v>0</v>
      </c>
      <c r="F10" s="163">
        <f>PLANTILLA!Y16</f>
        <v>8.6275555555555581</v>
      </c>
      <c r="G10" s="163">
        <f>PLANTILLA!Z16</f>
        <v>14.238017460317453</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77</v>
      </c>
      <c r="E11" s="163">
        <f>PLANTILLA!X15</f>
        <v>0</v>
      </c>
      <c r="F11" s="163">
        <f>PLANTILLA!Y15</f>
        <v>9.3036666666666648</v>
      </c>
      <c r="G11" s="163">
        <f>PLANTILLA!Z15</f>
        <v>13.759999999999998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107</v>
      </c>
      <c r="E12" s="163">
        <f>PLANTILLA!X21</f>
        <v>0</v>
      </c>
      <c r="F12" s="163">
        <f>PLANTILLA!Y21</f>
        <v>3</v>
      </c>
      <c r="G12" s="163">
        <f>PLANTILLA!Z21</f>
        <v>15</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74</v>
      </c>
      <c r="E13" s="163">
        <f>PLANTILLA!X23</f>
        <v>0</v>
      </c>
      <c r="F13" s="163">
        <f>PLANTILLA!Y23</f>
        <v>3.02</v>
      </c>
      <c r="G13" s="163">
        <f>PLANTILLA!Z23</f>
        <v>14.137609523809523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80</v>
      </c>
      <c r="E14" s="163">
        <f>PLANTILLA!X18</f>
        <v>0</v>
      </c>
      <c r="F14" s="163">
        <f>PLANTILLA!Y18</f>
        <v>5.4644444444444451</v>
      </c>
      <c r="G14" s="163">
        <f>PLANTILLA!Z18</f>
        <v>14.331408994708985</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45</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30</v>
      </c>
      <c r="D16" s="287">
        <f ca="1">PLANTILLA!F22</f>
        <v>5</v>
      </c>
      <c r="E16" s="163">
        <f>PLANTILLA!X22</f>
        <v>0</v>
      </c>
      <c r="F16" s="163">
        <f>PLANTILLA!Y22</f>
        <v>6.8376190476190493</v>
      </c>
      <c r="G16" s="163">
        <f>PLANTILLA!Z22</f>
        <v>8.625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36</v>
      </c>
      <c r="E17" s="163">
        <f>PLANTILLA!X24</f>
        <v>0</v>
      </c>
      <c r="F17" s="163">
        <f>PLANTILLA!Y24</f>
        <v>4.0199999999999996</v>
      </c>
      <c r="G17" s="163">
        <f>PLANTILLA!Z24</f>
        <v>5.5538722222222203</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33</v>
      </c>
      <c r="E18" s="163">
        <f>PLANTILLA!X5</f>
        <v>16.666666666666668</v>
      </c>
      <c r="F18" s="163">
        <f>PLANTILLA!Y5</f>
        <v>12.080559440559444</v>
      </c>
      <c r="G18" s="163">
        <f>PLANTILLA!Z5</f>
        <v>2.0499999999999989</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105</v>
      </c>
      <c r="E19" s="163">
        <f>PLANTILLA!X17</f>
        <v>0</v>
      </c>
      <c r="F19" s="163">
        <f>PLANTILLA!Y17</f>
        <v>10.549999999999995</v>
      </c>
      <c r="G19" s="163">
        <f>PLANTILLA!Z17</f>
        <v>12.869777777777777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42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52</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30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37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6"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7"/>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8">
        <f>C13</f>
        <v>1504841</v>
      </c>
      <c r="AA14" s="709"/>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0" t="s">
        <v>93</v>
      </c>
      <c r="B26" s="710"/>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1" t="s">
        <v>94</v>
      </c>
      <c r="B27" s="711"/>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2" t="s">
        <v>95</v>
      </c>
      <c r="B28" s="712"/>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0" t="s">
        <v>96</v>
      </c>
      <c r="B29" s="710"/>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1" t="s">
        <v>97</v>
      </c>
      <c r="B30" s="711"/>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2" t="s">
        <v>98</v>
      </c>
      <c r="B31" s="712"/>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3">
        <f>C23</f>
        <v>1482625</v>
      </c>
      <c r="AA33" s="704"/>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5"/>
      <c r="I40" s="705"/>
      <c r="J40" s="705"/>
      <c r="K40" s="705"/>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4"/>
      <c r="I49" s="714"/>
      <c r="J49" s="714"/>
      <c r="K49" s="714"/>
    </row>
    <row r="50" spans="8:11" x14ac:dyDescent="0.25">
      <c r="H50" s="103"/>
      <c r="I50" s="103"/>
      <c r="J50" s="103"/>
      <c r="K50" s="103"/>
    </row>
    <row r="51" spans="8:11" x14ac:dyDescent="0.25">
      <c r="H51" s="714"/>
      <c r="I51" s="714"/>
      <c r="J51" s="714"/>
      <c r="K51" s="714"/>
    </row>
    <row r="52" spans="8:11" ht="15" customHeight="1" x14ac:dyDescent="0.25">
      <c r="H52" s="714"/>
      <c r="I52" s="714"/>
      <c r="J52" s="714"/>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8">
        <f>C13</f>
        <v>2257672</v>
      </c>
      <c r="Z14" s="709"/>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0" t="s">
        <v>93</v>
      </c>
      <c r="B26" s="710"/>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1" t="s">
        <v>94</v>
      </c>
      <c r="B27" s="711"/>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2" t="s">
        <v>95</v>
      </c>
      <c r="B28" s="712"/>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0" t="s">
        <v>96</v>
      </c>
      <c r="B29" s="710"/>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1" t="s">
        <v>97</v>
      </c>
      <c r="B30" s="711"/>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2" t="s">
        <v>98</v>
      </c>
      <c r="B31" s="712"/>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3">
        <f>C23</f>
        <v>2470257</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5"/>
      <c r="H40" s="705"/>
      <c r="I40" s="705"/>
      <c r="J40" s="705"/>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4"/>
      <c r="H49" s="714"/>
      <c r="I49" s="714"/>
      <c r="J49" s="714"/>
    </row>
    <row r="50" spans="7:10" x14ac:dyDescent="0.25">
      <c r="G50" s="216"/>
      <c r="H50" s="216"/>
      <c r="I50" s="216"/>
      <c r="J50" s="216"/>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7"/>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8">
        <f>C13</f>
        <v>3165941</v>
      </c>
      <c r="Z14" s="709"/>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0" t="s">
        <v>93</v>
      </c>
      <c r="B26" s="710"/>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1" t="s">
        <v>94</v>
      </c>
      <c r="B27" s="711"/>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2" t="s">
        <v>95</v>
      </c>
      <c r="B28" s="712"/>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0" t="s">
        <v>96</v>
      </c>
      <c r="B29" s="710"/>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1" t="s">
        <v>97</v>
      </c>
      <c r="B30" s="711"/>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2" t="s">
        <v>98</v>
      </c>
      <c r="B31" s="712"/>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3">
        <f>C23</f>
        <v>1505104</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5"/>
      <c r="H40" s="705"/>
      <c r="I40" s="705"/>
      <c r="J40" s="705"/>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4"/>
      <c r="H49" s="714"/>
      <c r="I49" s="714"/>
      <c r="J49" s="714"/>
    </row>
    <row r="50" spans="7:10" x14ac:dyDescent="0.25">
      <c r="G50" s="243"/>
      <c r="H50" s="243"/>
      <c r="I50" s="243"/>
      <c r="J50" s="243"/>
    </row>
    <row r="51" spans="7:10" x14ac:dyDescent="0.25">
      <c r="G51" s="714"/>
      <c r="H51" s="714"/>
      <c r="I51" s="714"/>
      <c r="J51" s="714"/>
    </row>
    <row r="52" spans="7:10" ht="15" customHeight="1" x14ac:dyDescent="0.25">
      <c r="G52" s="714"/>
      <c r="H52" s="714"/>
      <c r="I52" s="71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6"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8">
        <f>C13</f>
        <v>3470401</v>
      </c>
      <c r="Z14" s="709"/>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0" t="s">
        <v>93</v>
      </c>
      <c r="B26" s="710"/>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1" t="s">
        <v>94</v>
      </c>
      <c r="B27" s="711"/>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2" t="s">
        <v>95</v>
      </c>
      <c r="B28" s="712"/>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0" t="s">
        <v>96</v>
      </c>
      <c r="B29" s="710"/>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1" t="s">
        <v>97</v>
      </c>
      <c r="B30" s="711"/>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2" t="s">
        <v>98</v>
      </c>
      <c r="B31" s="712"/>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3">
        <f>C23</f>
        <v>4347517</v>
      </c>
      <c r="Z33" s="704"/>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5"/>
      <c r="H40" s="705"/>
      <c r="I40" s="705"/>
      <c r="J40" s="705"/>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4"/>
      <c r="H49" s="714"/>
      <c r="I49" s="714"/>
      <c r="J49" s="714"/>
    </row>
    <row r="50" spans="7:10" x14ac:dyDescent="0.25">
      <c r="G50" s="258"/>
      <c r="H50" s="258"/>
      <c r="I50" s="258"/>
      <c r="J50" s="258"/>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6"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7"/>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8">
        <f>C13</f>
        <v>3901063</v>
      </c>
      <c r="Z14" s="709"/>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0" t="s">
        <v>93</v>
      </c>
      <c r="B26" s="710"/>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1" t="s">
        <v>94</v>
      </c>
      <c r="B27" s="711"/>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2" t="s">
        <v>95</v>
      </c>
      <c r="B28" s="712"/>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0" t="s">
        <v>96</v>
      </c>
      <c r="B29" s="710"/>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1" t="s">
        <v>97</v>
      </c>
      <c r="B30" s="711"/>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2" t="s">
        <v>98</v>
      </c>
      <c r="B31" s="712"/>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3">
        <f>C23</f>
        <v>2535782</v>
      </c>
      <c r="Z34" s="704"/>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5"/>
      <c r="H41" s="705"/>
      <c r="I41" s="705"/>
      <c r="J41" s="705"/>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4"/>
      <c r="H46" s="714"/>
      <c r="I46" s="714"/>
      <c r="J46" s="714"/>
    </row>
    <row r="47" spans="1:26" x14ac:dyDescent="0.25">
      <c r="G47" s="329"/>
      <c r="H47" s="329"/>
      <c r="I47" s="329"/>
      <c r="J47" s="329"/>
    </row>
    <row r="48" spans="1:26" x14ac:dyDescent="0.25">
      <c r="G48" s="714"/>
      <c r="H48" s="714"/>
      <c r="I48" s="714"/>
      <c r="J48" s="714"/>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3.9793217576397102</v>
      </c>
      <c r="F3" s="159">
        <f>E3*PLANTILLA!S16</f>
        <v>3.6810646730151415</v>
      </c>
      <c r="H3" s="159" t="str">
        <f>A7</f>
        <v>E. Toney</v>
      </c>
      <c r="I3" s="159">
        <f>D7</f>
        <v>5.0510523991824039</v>
      </c>
      <c r="J3" s="159">
        <f t="shared" ref="J3:K3" si="3">E7</f>
        <v>4.2689184260256905</v>
      </c>
      <c r="K3" s="159">
        <f t="shared" si="3"/>
        <v>3.9489555675807555</v>
      </c>
      <c r="M3" t="str">
        <f>A7</f>
        <v>E. Toney</v>
      </c>
      <c r="N3" s="159">
        <f>D7</f>
        <v>5.0510523991824039</v>
      </c>
      <c r="O3" s="159">
        <f t="shared" ref="O3:P3" si="4">E7</f>
        <v>4.2689184260256905</v>
      </c>
      <c r="P3" s="159">
        <f t="shared" si="4"/>
        <v>3.9489555675807555</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4.0551115447925303</v>
      </c>
      <c r="F4" s="159">
        <f>E4*PLANTILLA!S12</f>
        <v>3.4237658653915246</v>
      </c>
      <c r="H4" t="str">
        <f t="shared" ref="H4:H6" si="5">A4</f>
        <v>E. Romweber</v>
      </c>
      <c r="I4" s="159">
        <f t="shared" ref="I4:I6" si="6">D4</f>
        <v>5.3644083430739977</v>
      </c>
      <c r="J4" s="159">
        <f t="shared" ref="J4" si="7">E4</f>
        <v>4.0551115447925303</v>
      </c>
      <c r="K4" s="159">
        <f t="shared" ref="K4" si="8">F4</f>
        <v>3.4237658653915246</v>
      </c>
      <c r="M4" t="str">
        <f t="shared" ref="M4" si="9">A4</f>
        <v>E. Romweber</v>
      </c>
      <c r="N4" s="159">
        <f t="shared" ref="N4" si="10">D4</f>
        <v>5.3644083430739977</v>
      </c>
      <c r="O4" s="159">
        <f t="shared" ref="O4" si="11">E4</f>
        <v>4.0551115447925303</v>
      </c>
      <c r="P4" s="159">
        <f t="shared" ref="P4" si="12">F4</f>
        <v>3.4237658653915246</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4.2689184260256905</v>
      </c>
      <c r="F7" s="159">
        <f>E7*PLANTILLA!S9</f>
        <v>3.9489555675807555</v>
      </c>
      <c r="I7" s="423">
        <f>SUM(I2:I6)</f>
        <v>25.239984364562186</v>
      </c>
      <c r="J7" s="423">
        <f t="shared" ref="J7:K7" si="17">SUM(J2:J6)</f>
        <v>22.755492078259024</v>
      </c>
      <c r="K7" s="423">
        <f t="shared" si="17"/>
        <v>21.800678217460636</v>
      </c>
      <c r="L7" s="423"/>
      <c r="M7" s="423"/>
      <c r="N7" s="423">
        <f>SUM(N2:N6)</f>
        <v>20.5423157522096</v>
      </c>
      <c r="O7" s="423">
        <f t="shared" ref="O7:P7" si="18">SUM(O2:O6)</f>
        <v>18.057823465906438</v>
      </c>
      <c r="P7" s="423">
        <f t="shared" si="18"/>
        <v>17.103009605108049</v>
      </c>
    </row>
    <row r="8" spans="1:16" x14ac:dyDescent="0.25">
      <c r="A8" t="str">
        <f>PLANTILLA!D24</f>
        <v>P .Trivadi</v>
      </c>
      <c r="B8" s="159">
        <f>PLANTILLA!Y24+1.5+PLANTILLA!J24</f>
        <v>6.6038844755238069</v>
      </c>
      <c r="C8" s="159">
        <f>PLANTILLA!AB24+1.5+PLANTILLA!J24</f>
        <v>13.383884475523807</v>
      </c>
      <c r="D8" s="357">
        <f t="shared" si="0"/>
        <v>4.1714566783214275</v>
      </c>
      <c r="E8" s="159">
        <f>D8*PLANTILLA!R24</f>
        <v>3.8620184381204199</v>
      </c>
      <c r="F8" s="159">
        <f>E8*PLANTILLA!S24</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4.2469592763522295</v>
      </c>
      <c r="F9" s="159">
        <f>E9*PLANTILLA!S13</f>
        <v>4.2439246498294443</v>
      </c>
    </row>
    <row r="10" spans="1:16" x14ac:dyDescent="0.25">
      <c r="A10" t="str">
        <f>PLANTILLA!D22</f>
        <v>J. Limon</v>
      </c>
      <c r="B10" s="159">
        <f>PLANTILLA!Y22+1.5+PLANTILLA!J22</f>
        <v>9.7417236389302762</v>
      </c>
      <c r="C10" s="159">
        <f>PLANTILLA!AB22+1.5+PLANTILLA!J22</f>
        <v>12.594104591311227</v>
      </c>
      <c r="D10" s="357">
        <f t="shared" si="0"/>
        <v>4.3662416026940916</v>
      </c>
      <c r="E10" s="159">
        <f>D10*PLANTILLA!R22</f>
        <v>4.3662416026940916</v>
      </c>
      <c r="F10" s="159">
        <f>E10*PLANTILLA!S22</f>
        <v>4.3662416026940916</v>
      </c>
      <c r="H10" s="159"/>
    </row>
    <row r="11" spans="1:16" x14ac:dyDescent="0.25">
      <c r="A11" t="str">
        <f>PLANTILLA!D23</f>
        <v>L. Calosso</v>
      </c>
      <c r="B11" s="159">
        <f>PLANTILLA!Y23+1.5+PLANTILLA!J23</f>
        <v>5.9342637871381481</v>
      </c>
      <c r="C11" s="159">
        <f>PLANTILLA!AB23+1.5+PLANTILLA!J23</f>
        <v>17.93426378713815</v>
      </c>
      <c r="D11" s="357">
        <f t="shared" si="0"/>
        <v>5.2253489201768062</v>
      </c>
      <c r="E11" s="159">
        <f>D11*PLANTILLA!R23</f>
        <v>4.4162258723284875</v>
      </c>
      <c r="F11" s="159">
        <f>E11*PLANTILLA!S23</f>
        <v>4.0852220646581188</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11.18751359279673</v>
      </c>
      <c r="C13" s="159">
        <f>PLANTILLA!AB14+1.5+PLANTILLA!J14</f>
        <v>13.067513592796733</v>
      </c>
      <c r="D13" s="357">
        <f t="shared" si="0"/>
        <v>4.6653175972987739</v>
      </c>
      <c r="E13" s="159">
        <f>D13*PLANTILLA!R14</f>
        <v>3.52664861416741</v>
      </c>
      <c r="F13" s="159">
        <f>E13*PLANTILLA!S14</f>
        <v>2.9775800273416304</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3.9550959773127623</v>
      </c>
      <c r="F14" s="159">
        <f>E14*PLANTILLA!S15</f>
        <v>3.6586546570453229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3.3257632229034964</v>
      </c>
      <c r="F18" s="159">
        <f>E18*PLANTILLA!S19</f>
        <v>3.0764914868066495</v>
      </c>
    </row>
    <row r="19" spans="1:6" x14ac:dyDescent="0.25">
      <c r="A19" t="str">
        <f>PLANTILLA!D20</f>
        <v>M. Amico</v>
      </c>
      <c r="B19" s="159">
        <f>PLANTILLA!Y20+1.5+PLANTILLA!J20</f>
        <v>4.4526746855407184</v>
      </c>
      <c r="C19" s="159">
        <f>PLANTILLA!AB20+1.5+PLANTILLA!J20</f>
        <v>9.2215635744296076</v>
      </c>
      <c r="D19" s="357">
        <f t="shared" si="0"/>
        <v>2.8619752292999916</v>
      </c>
      <c r="E19" s="159">
        <f>D19*PLANTILLA!R20</f>
        <v>2.4188105419705099</v>
      </c>
      <c r="F19" s="159">
        <f>E19*PLANTILLA!S20</f>
        <v>2.2375164862379564</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6"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7"/>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8">
        <f>C13</f>
        <v>5218072</v>
      </c>
      <c r="Z14" s="709"/>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0" t="s">
        <v>93</v>
      </c>
      <c r="B26" s="710"/>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1" t="s">
        <v>94</v>
      </c>
      <c r="B27" s="711"/>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2" t="s">
        <v>95</v>
      </c>
      <c r="B28" s="712"/>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0" t="s">
        <v>96</v>
      </c>
      <c r="B29" s="710"/>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1" t="s">
        <v>97</v>
      </c>
      <c r="B30" s="711"/>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2" t="s">
        <v>98</v>
      </c>
      <c r="B31" s="712"/>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3">
        <f>C23</f>
        <v>4415274</v>
      </c>
      <c r="Z34" s="704"/>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5"/>
      <c r="H41" s="705"/>
      <c r="I41" s="705"/>
      <c r="J41" s="705"/>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63"/>
      <c r="H47" s="363"/>
      <c r="I47" s="363"/>
      <c r="J47" s="363"/>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6"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7"/>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8">
        <f>C13</f>
        <v>6564204.3711659508</v>
      </c>
      <c r="Z14" s="709"/>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0" t="s">
        <v>93</v>
      </c>
      <c r="B26" s="710"/>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1" t="s">
        <v>94</v>
      </c>
      <c r="B27" s="711"/>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2" t="s">
        <v>95</v>
      </c>
      <c r="B28" s="712"/>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0" t="s">
        <v>96</v>
      </c>
      <c r="B29" s="710"/>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1" t="s">
        <v>97</v>
      </c>
      <c r="B30" s="711"/>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2" t="s">
        <v>98</v>
      </c>
      <c r="B31" s="712"/>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3">
        <f>C23</f>
        <v>4502296</v>
      </c>
      <c r="Z34" s="704"/>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5"/>
      <c r="H41" s="705"/>
      <c r="I41" s="705"/>
      <c r="J41" s="705"/>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92"/>
      <c r="H47" s="392"/>
      <c r="I47" s="392"/>
      <c r="J47" s="392"/>
    </row>
    <row r="48" spans="1:26" x14ac:dyDescent="0.25">
      <c r="G48" s="714"/>
      <c r="H48" s="714"/>
      <c r="I48" s="714"/>
      <c r="J48" s="714"/>
      <c r="P48" s="383"/>
    </row>
    <row r="49" spans="7:10" ht="15" customHeight="1" x14ac:dyDescent="0.25">
      <c r="G49" s="714"/>
      <c r="H49" s="714"/>
      <c r="I49" s="71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6"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7"/>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8">
        <f>C13</f>
        <v>6907309.643589247</v>
      </c>
      <c r="Z14" s="709"/>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0" t="s">
        <v>93</v>
      </c>
      <c r="B26" s="710"/>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1" t="s">
        <v>94</v>
      </c>
      <c r="B27" s="711"/>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2" t="s">
        <v>95</v>
      </c>
      <c r="B28" s="712"/>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0" t="s">
        <v>96</v>
      </c>
      <c r="B29" s="710"/>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1" t="s">
        <v>97</v>
      </c>
      <c r="B30" s="711"/>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2" t="s">
        <v>98</v>
      </c>
      <c r="B31" s="712"/>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3">
        <f>C23</f>
        <v>4106107</v>
      </c>
      <c r="Z34" s="704"/>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5"/>
      <c r="H41" s="705"/>
      <c r="I41" s="705"/>
      <c r="J41" s="705"/>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451"/>
      <c r="H47" s="451"/>
      <c r="I47" s="451"/>
      <c r="J47" s="451"/>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6"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7"/>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8">
        <f>C13</f>
        <v>7216225</v>
      </c>
      <c r="Z14" s="709"/>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0" t="s">
        <v>93</v>
      </c>
      <c r="B26" s="710"/>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1" t="s">
        <v>94</v>
      </c>
      <c r="B27" s="711"/>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2" t="s">
        <v>95</v>
      </c>
      <c r="B28" s="712"/>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0" t="s">
        <v>96</v>
      </c>
      <c r="B29" s="710"/>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1" t="s">
        <v>97</v>
      </c>
      <c r="B30" s="711"/>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2" t="s">
        <v>98</v>
      </c>
      <c r="B31" s="712"/>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3">
        <f>C23</f>
        <v>5755973</v>
      </c>
      <c r="Z34" s="704"/>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5"/>
      <c r="H43" s="705"/>
      <c r="I43" s="705"/>
      <c r="J43" s="705"/>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4"/>
      <c r="H48" s="714"/>
      <c r="I48" s="714"/>
      <c r="J48" s="714"/>
      <c r="M48" s="383"/>
    </row>
    <row r="49" spans="5:16" x14ac:dyDescent="0.25">
      <c r="E49" s="106"/>
      <c r="G49" s="466"/>
      <c r="H49" s="466"/>
      <c r="I49" s="466"/>
      <c r="J49" s="466"/>
    </row>
    <row r="50" spans="5:16" x14ac:dyDescent="0.25">
      <c r="G50" s="714"/>
      <c r="H50" s="714"/>
      <c r="I50" s="714"/>
      <c r="J50" s="714"/>
      <c r="P50" s="383"/>
    </row>
    <row r="51" spans="5:16" ht="15" customHeight="1" x14ac:dyDescent="0.25">
      <c r="G51" s="714"/>
      <c r="H51" s="714"/>
      <c r="I51" s="714"/>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6"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7"/>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8">
        <f>C13</f>
        <v>9688435</v>
      </c>
      <c r="Z14" s="709"/>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0" t="s">
        <v>93</v>
      </c>
      <c r="B26" s="710"/>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1" t="s">
        <v>94</v>
      </c>
      <c r="B27" s="711"/>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2" t="s">
        <v>95</v>
      </c>
      <c r="B28" s="712"/>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0" t="s">
        <v>96</v>
      </c>
      <c r="B29" s="710"/>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1" t="s">
        <v>97</v>
      </c>
      <c r="B30" s="711"/>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2" t="s">
        <v>98</v>
      </c>
      <c r="B31" s="712"/>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3">
        <f>C23</f>
        <v>16032490</v>
      </c>
      <c r="Z34" s="704"/>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61"/>
      <c r="H47" s="561"/>
      <c r="I47" s="561"/>
      <c r="J47" s="561"/>
    </row>
    <row r="48" spans="1:26" x14ac:dyDescent="0.25">
      <c r="G48" s="714"/>
      <c r="H48" s="714"/>
      <c r="I48" s="714"/>
      <c r="J48" s="714"/>
      <c r="P48" s="383"/>
    </row>
    <row r="49" spans="7:10" ht="15" customHeight="1" x14ac:dyDescent="0.25">
      <c r="G49" s="714"/>
      <c r="H49" s="714"/>
      <c r="I49" s="71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1.4041045913112262</v>
      </c>
      <c r="C2" s="265">
        <f>PLANTILLA!AC22</f>
        <v>8.5625000000000018</v>
      </c>
      <c r="D2" s="265">
        <f>PLANTILLA!AD22</f>
        <v>18.639999999999993</v>
      </c>
      <c r="E2" s="159">
        <f>PLANTILLA!AI22</f>
        <v>23.283821146797813</v>
      </c>
      <c r="F2" s="159">
        <f>PLANTILLA!AJ22</f>
        <v>18.520854591311224</v>
      </c>
      <c r="G2" s="159">
        <f>PLANTILLA!AK22</f>
        <v>1.2196533673048979</v>
      </c>
      <c r="H2" s="159">
        <f>PLANTILLA!AL22</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16.157876386396634</v>
      </c>
      <c r="F3" s="159">
        <f>PLANTILLA!AJ12</f>
        <v>13.102807613604263</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PLANTILLA!D23</f>
        <v>L. Calosso</v>
      </c>
      <c r="B4" s="159">
        <f>PLANTILLA!J23</f>
        <v>1.4142637871381487</v>
      </c>
      <c r="C4" s="265">
        <f>PLANTILLA!AC23</f>
        <v>10</v>
      </c>
      <c r="D4" s="265">
        <f>PLANTILLA!AD23</f>
        <v>9.3000000000000007</v>
      </c>
      <c r="E4" s="159">
        <f ca="1">PLANTILLA!AI23</f>
        <v>16.084856292426906</v>
      </c>
      <c r="F4" s="159">
        <f ca="1">PLANTILLA!AJ23</f>
        <v>9.917735508592127</v>
      </c>
      <c r="G4" s="159">
        <f ca="1">PLANTILLA!AK23</f>
        <v>0.95698583258417713</v>
      </c>
      <c r="H4" s="159">
        <f ca="1">PLANTILLA!AL23</f>
        <v>0.55553760351115511</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PLANTILLA!D24</f>
        <v>P .Trivadi</v>
      </c>
      <c r="B6" s="159">
        <f>PLANTILLA!J24</f>
        <v>1.0838844755238075</v>
      </c>
      <c r="C6" s="265">
        <f>PLANTILLA!AC24</f>
        <v>8.384500000000001</v>
      </c>
      <c r="D6" s="265">
        <f>PLANTILLA!AD24</f>
        <v>13.566666666666668</v>
      </c>
      <c r="E6" s="159">
        <f>PLANTILLA!AI24</f>
        <v>18.044531263868517</v>
      </c>
      <c r="F6" s="159">
        <f>PLANTILLA!AJ24</f>
        <v>13.513178651733083</v>
      </c>
      <c r="G6" s="159">
        <f>PLANTILLA!AK24</f>
        <v>1.0329357580419045</v>
      </c>
      <c r="H6" s="159">
        <f>PLANTILLA!AL24</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1.3275135927967332</v>
      </c>
      <c r="C7" s="265">
        <f>PLANTILLA!AC14</f>
        <v>7.4766666666666666</v>
      </c>
      <c r="D7" s="265">
        <f>PLANTILLA!AD14</f>
        <v>15.270000000000001</v>
      </c>
      <c r="E7" s="159">
        <f>PLANTILLA!AI14</f>
        <v>14.709297601306117</v>
      </c>
      <c r="F7" s="159">
        <f>PLANTILLA!AJ14</f>
        <v>11.91307249996634</v>
      </c>
      <c r="G7" s="159">
        <f>PLANTILLA!AK14</f>
        <v>1.0581344207570722</v>
      </c>
      <c r="H7" s="159">
        <f>PLANTILLA!AL14</f>
        <v>0.99042595149577117</v>
      </c>
      <c r="K7" t="str">
        <f>A13</f>
        <v>E. Toney</v>
      </c>
      <c r="L7" s="406">
        <f t="shared" si="1"/>
        <v>1.3275135927967332</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16.032099200814219</v>
      </c>
      <c r="F8" s="159">
        <f>PLANTILLA!AJ13</f>
        <v>15.406300522904857</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13.169806881839508</v>
      </c>
      <c r="F9" s="159">
        <f>PLANTILLA!AJ15</f>
        <v>12.743300092753</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12.956241352547025</v>
      </c>
      <c r="F10" s="159">
        <f>PLANTILLA!AJ16</f>
        <v>13.399344251284823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12.079829133184464</v>
      </c>
      <c r="F13" s="159">
        <f>PLANTILLA!AJ9</f>
        <v>13.308433472489428</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8.8753728050518816</v>
      </c>
      <c r="F17" s="159">
        <f>PLANTILLA!AJ19</f>
        <v>10.318905243632264</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str">
        <f>PLANTILLA!D20</f>
        <v>M. Amico</v>
      </c>
      <c r="B19" s="159">
        <f>PLANTILLA!J20</f>
        <v>0.45656357442960838</v>
      </c>
      <c r="C19" s="265">
        <f>PLANTILLA!AC20</f>
        <v>4.3299999999999983</v>
      </c>
      <c r="D19" s="265">
        <f>PLANTILLA!AD20</f>
        <v>9.5</v>
      </c>
      <c r="E19" s="159">
        <f>PLANTILLA!AI20</f>
        <v>7.7220100425204024</v>
      </c>
      <c r="F19" s="159">
        <f>PLANTILLA!AJ20</f>
        <v>8.3717292004129948</v>
      </c>
      <c r="G19" s="159">
        <f>PLANTILLA!AK20</f>
        <v>0.65802508595436859</v>
      </c>
      <c r="H19" s="159">
        <f>PLANTILLA!AL20</f>
        <v>0.52180389465451693</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6"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7"/>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8">
        <f>C13</f>
        <v>10943703</v>
      </c>
      <c r="Z14" s="709"/>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0" t="s">
        <v>93</v>
      </c>
      <c r="B26" s="710"/>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1" t="s">
        <v>94</v>
      </c>
      <c r="B27" s="711"/>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2" t="s">
        <v>95</v>
      </c>
      <c r="B28" s="712"/>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0" t="s">
        <v>96</v>
      </c>
      <c r="B29" s="710"/>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1" t="s">
        <v>97</v>
      </c>
      <c r="B30" s="711"/>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2" t="s">
        <v>98</v>
      </c>
      <c r="B31" s="712"/>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3">
        <f>C23</f>
        <v>7143175</v>
      </c>
      <c r="Z34" s="704"/>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90"/>
      <c r="H47" s="590"/>
      <c r="I47" s="590"/>
      <c r="J47" s="590"/>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8.9</v>
      </c>
      <c r="E12" s="354">
        <f t="shared" si="4"/>
        <v>8.9</v>
      </c>
      <c r="F12" s="354">
        <f t="shared" si="5"/>
        <v>9</v>
      </c>
      <c r="G12" s="354">
        <f t="shared" si="6"/>
        <v>2</v>
      </c>
      <c r="H12" s="354">
        <f t="shared" si="7"/>
        <v>2.99</v>
      </c>
      <c r="I12" s="358">
        <f t="shared" si="8"/>
        <v>35.6</v>
      </c>
      <c r="J12" s="358">
        <f t="shared" si="9"/>
        <v>80.460900000000009</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31</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30</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PLANTILLA!D22</f>
        <v>J. Limon</v>
      </c>
      <c r="B20" s="165">
        <f>PLANTILLA!E22</f>
        <v>30</v>
      </c>
      <c r="C20" s="165">
        <f>PLANTILLA!H22</f>
        <v>3</v>
      </c>
      <c r="D20" s="361">
        <f>PLANTILLA!I22</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PLANTILLA!D23</f>
        <v>L. Calosso</v>
      </c>
      <c r="B21" s="165">
        <f>PLANTILLA!E23</f>
        <v>30</v>
      </c>
      <c r="C21" s="165">
        <f>PLANTILLA!H23</f>
        <v>3</v>
      </c>
      <c r="D21" s="361">
        <f>PLANTILLA!I23</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PLANTILLA!D24</f>
        <v>P .Trivadi</v>
      </c>
      <c r="B22" s="165">
        <f>PLANTILLA!E24</f>
        <v>27</v>
      </c>
      <c r="C22" s="165">
        <f>PLANTILLA!H24</f>
        <v>5</v>
      </c>
      <c r="D22" s="361">
        <f>PLANTILLA!I24</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59142.857142857145</v>
      </c>
      <c r="S2" s="228">
        <v>2068800</v>
      </c>
      <c r="T2" s="228">
        <f ca="1">S2+Q2+P2+R2</f>
        <v>2906585.7142857146</v>
      </c>
      <c r="U2" s="233">
        <f ca="1">T2/((O2-N2)/112)</f>
        <v>567138.67595818825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34542.857142857145</v>
      </c>
      <c r="S4" s="228">
        <v>2059800</v>
      </c>
      <c r="T4" s="228">
        <f>S4+Q4+P4</f>
        <v>3126540</v>
      </c>
      <c r="U4" s="233">
        <f>T4/((O4-N4)/112)</f>
        <v>580717.21393034828</v>
      </c>
      <c r="V4" s="163">
        <f ca="1">(A7-N4)/112</f>
        <v>7.1964285714285712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43111</v>
      </c>
    </row>
    <row r="8" spans="1:22" x14ac:dyDescent="0.25">
      <c r="A8" s="177">
        <v>41757</v>
      </c>
    </row>
    <row r="9" spans="1:22" x14ac:dyDescent="0.25">
      <c r="A9" s="179">
        <f ca="1">A7-A8</f>
        <v>1354</v>
      </c>
    </row>
    <row r="10" spans="1:22" x14ac:dyDescent="0.25">
      <c r="A10" s="417">
        <f ca="1">A9/112</f>
        <v>12.089285714285714</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43111</v>
      </c>
      <c r="P13" s="623">
        <v>1800000</v>
      </c>
      <c r="Q13" s="228">
        <v>372</v>
      </c>
      <c r="R13" s="228">
        <f t="shared" ref="R13" ca="1" si="4">((TODAY()-N13)/7)*L13</f>
        <v>25056</v>
      </c>
      <c r="S13" s="623">
        <v>2553000</v>
      </c>
      <c r="T13" s="228">
        <f t="shared" ref="T13" si="5">S13+Q13+P13</f>
        <v>4353372</v>
      </c>
      <c r="U13" s="233">
        <f t="shared" ref="U13" ca="1" si="6">T13/((O13-N13)/112)</f>
        <v>2401860.4137931033</v>
      </c>
      <c r="V13" s="163">
        <v>7</v>
      </c>
    </row>
    <row r="17" spans="1:22" ht="18" x14ac:dyDescent="0.25">
      <c r="A17" s="608">
        <v>42908</v>
      </c>
      <c r="B17" s="290"/>
      <c r="C17">
        <v>112</v>
      </c>
      <c r="D17">
        <v>0</v>
      </c>
    </row>
    <row r="18" spans="1:22" x14ac:dyDescent="0.25">
      <c r="A18" s="290">
        <f ca="1">TODAY()</f>
        <v>43111</v>
      </c>
      <c r="B18" s="290"/>
      <c r="C18">
        <v>400</v>
      </c>
      <c r="D18">
        <v>1</v>
      </c>
    </row>
    <row r="19" spans="1:22" x14ac:dyDescent="0.25">
      <c r="A19">
        <f ca="1">A18-A17</f>
        <v>203</v>
      </c>
      <c r="C19">
        <f>C18-C17</f>
        <v>288</v>
      </c>
      <c r="D19" s="609">
        <f ca="1">(A19-C17)/C19</f>
        <v>0.31597222222222221</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E16" sqref="E16"/>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3.8982142857142859</v>
      </c>
      <c r="D1" s="345">
        <f ca="1">TODAY()</f>
        <v>43111</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9.3550000000000004</v>
      </c>
      <c r="J2" s="297"/>
      <c r="K2" s="297"/>
      <c r="M2" s="347">
        <f>AVERAGE(M5:M24)</f>
        <v>7.3199999999999985</v>
      </c>
      <c r="N2" s="297"/>
      <c r="O2" s="297"/>
      <c r="P2" s="297"/>
      <c r="Q2" s="347">
        <f>AVERAGE(Q5:Q24)</f>
        <v>5.55</v>
      </c>
      <c r="R2" s="502">
        <f>AVERAGE(R5:R24)</f>
        <v>0.88693936098951431</v>
      </c>
      <c r="S2" s="502">
        <f>AVERAGE(S5:S24)</f>
        <v>0.95019883077266309</v>
      </c>
      <c r="T2" s="348">
        <f>AVERAGE(T5:T24)</f>
        <v>108803</v>
      </c>
      <c r="U2" s="348"/>
      <c r="V2" s="348">
        <f>AVERAGE(V5:V24)</f>
        <v>14586.2</v>
      </c>
      <c r="W2" s="293"/>
      <c r="X2" s="346">
        <f>(X5+X6)/2</f>
        <v>13.483333333333334</v>
      </c>
      <c r="Y2" s="346">
        <f>AVERAGE(Y5:Y11)</f>
        <v>11.725365634365634</v>
      </c>
      <c r="Z2" s="346">
        <f>AVERAGE(Z12:Z20)</f>
        <v>11.953785214579655</v>
      </c>
      <c r="AA2" s="346">
        <f>AVERAGE(AA12:AA14)</f>
        <v>12.923888888888889</v>
      </c>
      <c r="AB2" s="346">
        <f>AVERAGE(AB6:AB24)</f>
        <v>9.7005847953216371</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3.7053571428571428</v>
      </c>
      <c r="D5" s="658" t="s">
        <v>782</v>
      </c>
      <c r="E5" s="387">
        <v>30</v>
      </c>
      <c r="F5" s="395">
        <f ca="1">-42406+$D$1-112-112-112-112-112-112</f>
        <v>33</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100160</v>
      </c>
      <c r="U5" s="627">
        <f t="shared" ref="U5:U24" si="2">T5-AR5</f>
        <v>-10</v>
      </c>
      <c r="V5" s="324">
        <v>39696</v>
      </c>
      <c r="W5" s="316">
        <f t="shared" ref="W5:W25" si="3">T5/V5</f>
        <v>2.5231761386537688</v>
      </c>
      <c r="X5" s="486">
        <f>16+12/18</f>
        <v>16.666666666666668</v>
      </c>
      <c r="Y5" s="487">
        <f>10.53+0.11+0.11+0.11+0.11+0.11+1/11+1/11*0.16+1/11+1/11+1/11+1/11+1/11+1/11+1/11+1/11+1/11+1/13</f>
        <v>12.080559440559444</v>
      </c>
      <c r="Z5" s="486">
        <f>2+0.01+0.01+0.01+0.01+0.01</f>
        <v>2.0499999999999989</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4.7700461484833561</v>
      </c>
      <c r="AG5" s="604">
        <f ca="1">(Z5+P5+J5)*(IF(Q5=7, (Q5/7)^0.5, ((Q5+1)/7)^0.5))</f>
        <v>4.7700461484833561</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100170</v>
      </c>
      <c r="AS5">
        <f>AR5</f>
        <v>100170</v>
      </c>
      <c r="AT5" s="390">
        <f>AS5-T5</f>
        <v>10</v>
      </c>
    </row>
    <row r="6" spans="1:46" s="263" customFormat="1" x14ac:dyDescent="0.25">
      <c r="A6" s="384" t="s">
        <v>484</v>
      </c>
      <c r="B6" s="384" t="s">
        <v>1</v>
      </c>
      <c r="C6" s="385">
        <f t="shared" ref="C6:C24" ca="1" si="4">((34*112)-(E6*112)-(F6))/112</f>
        <v>-0.375</v>
      </c>
      <c r="D6" s="658" t="s">
        <v>267</v>
      </c>
      <c r="E6" s="387">
        <v>34</v>
      </c>
      <c r="F6" s="395">
        <f ca="1">82-41471+$D$1-112-112-112-112-112-112-112-112-112-112-112-112-112-112-112</f>
        <v>42</v>
      </c>
      <c r="G6" s="388" t="s">
        <v>502</v>
      </c>
      <c r="H6" s="371">
        <v>3</v>
      </c>
      <c r="I6" s="308">
        <v>7.9</v>
      </c>
      <c r="J6" s="487">
        <f t="shared" ref="J6:J24" si="5">LOG(I6+1)*4/3</f>
        <v>1.265853342193217</v>
      </c>
      <c r="K6" s="303">
        <f t="shared" ref="K6:K24" si="6">(H6)*(H6)*(I6)</f>
        <v>71.100000000000009</v>
      </c>
      <c r="L6" s="303">
        <f t="shared" ref="L6:L24" si="7">(H6+1)*(H6+1)*I6</f>
        <v>126.4</v>
      </c>
      <c r="M6" s="389">
        <v>5.7</v>
      </c>
      <c r="N6" s="446">
        <f t="shared" ref="N6:N24" si="8">M6*10+19</f>
        <v>76</v>
      </c>
      <c r="O6" s="446" t="s">
        <v>557</v>
      </c>
      <c r="P6" s="679">
        <v>1.5</v>
      </c>
      <c r="Q6" s="446">
        <v>6</v>
      </c>
      <c r="R6" s="501">
        <f t="shared" ref="R6:R24" si="9">(Q6/7)^0.5</f>
        <v>0.92582009977255142</v>
      </c>
      <c r="S6" s="501">
        <f t="shared" ref="S6:S24" si="10">IF(Q6=7,1,((Q6+0.99)/7)^0.5)</f>
        <v>0.99928545900129484</v>
      </c>
      <c r="T6" s="324">
        <v>1840</v>
      </c>
      <c r="U6" s="627">
        <f t="shared" si="2"/>
        <v>0</v>
      </c>
      <c r="V6" s="324">
        <v>2770</v>
      </c>
      <c r="W6" s="316">
        <f t="shared" si="3"/>
        <v>0.66425992779783394</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4" si="11">(Z6+P6+J6)*(Q6/7)^0.5</f>
        <v>6.2547048153180489</v>
      </c>
      <c r="AG6" s="604">
        <f t="shared" ref="AG6:AG24" si="12">(Z6+P6+J6)*(IF(Q6=7, (Q6/7)^0.5, ((Q6+1)/7)^0.5))</f>
        <v>6.755853342193217</v>
      </c>
      <c r="AH6" s="316">
        <f t="shared" ref="AH6:AH24" si="13">(((Y6+P6+J6)+(AB6+P6+J6)*2)/8)*(Q6/7)^0.5</f>
        <v>3.5982646282490021</v>
      </c>
      <c r="AI6" s="316">
        <f t="shared" ref="AI6:AI24" si="14">(1.66*(AC6+J6+P6)+0.55*(AD6+J6+P6)-7.6)*(Q6/7)^0.5</f>
        <v>12.789579541606743</v>
      </c>
      <c r="AJ6" s="316">
        <f t="shared" ref="AJ6:AJ24" si="15">((AD6+J6+P6)*0.7+(AC6+J6+P6)*0.3)*(Q6/7)^0.5</f>
        <v>13.894778016441091</v>
      </c>
      <c r="AK6" s="316">
        <f t="shared" ref="AK6:AK24" si="16">(0.5*(AC6+P6+J6)+ 0.3*(AD6+P6+J6))/10</f>
        <v>0.89413493404212407</v>
      </c>
      <c r="AL6" s="316">
        <f t="shared" ref="AL6:AL24" si="17">(0.4*(Y6+P6+J6)+0.3*(AD6+P6+J6))/10</f>
        <v>1.0995764006201916</v>
      </c>
      <c r="AM6" s="311">
        <f t="shared" ref="AM6:AM24" si="18">(AD6+P6+(LOG(I6)*4/3))*(Q6/7)^0.5</f>
        <v>17.105197572692688</v>
      </c>
      <c r="AN6" s="311">
        <f t="shared" ref="AN6:AN24" si="19">(AD6+P6+(LOG(I6)*4/3))*(IF(Q6=7, (Q6/7)^0.5, ((Q6+1)/7)^0.5))</f>
        <v>18.475725010609477</v>
      </c>
      <c r="AO6" s="446">
        <v>4</v>
      </c>
      <c r="AP6" s="446">
        <v>3</v>
      </c>
      <c r="AQ6" s="591">
        <f t="shared" ref="AQ6:AQ24" si="20">IF(AO6=4,IF(AP6=0,0.137+0.0697,0.137+0.02),IF(AO6=3,IF(AP6=0,0.0958+0.0697,0.0958+0.02),IF(AO6=2,IF(AP6=0,0.0415+0.0697,0.0415+0.02),IF(AO6=1,IF(AP6=0,0.0294+0.0697,0.0294+0.02),IF(AO6=0,IF(AP6=0,0.0063+0.0697,0.0063+0.02))))))</f>
        <v>0.157</v>
      </c>
      <c r="AR6" s="263">
        <v>1840</v>
      </c>
      <c r="AS6">
        <f t="shared" ref="AS6:AS24" si="21">AR6</f>
        <v>1840</v>
      </c>
      <c r="AT6" s="390">
        <f t="shared" ref="AT6:AT23" si="22">AS6-T6</f>
        <v>0</v>
      </c>
    </row>
    <row r="7" spans="1:46" s="248" customFormat="1" x14ac:dyDescent="0.25">
      <c r="A7" s="384" t="s">
        <v>582</v>
      </c>
      <c r="B7" s="384" t="s">
        <v>2</v>
      </c>
      <c r="C7" s="385">
        <f t="shared" ca="1" si="4"/>
        <v>3.5982142857142856</v>
      </c>
      <c r="D7" s="658" t="s">
        <v>857</v>
      </c>
      <c r="E7" s="387">
        <v>30</v>
      </c>
      <c r="F7" s="395">
        <f ca="1">82-41471+$D$1-112-112-112-112-112-112-112-112-112-112-112+3-112-112-112-112</f>
        <v>45</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246550</v>
      </c>
      <c r="U7" s="627">
        <f t="shared" si="2"/>
        <v>12790</v>
      </c>
      <c r="V7" s="324">
        <v>29520</v>
      </c>
      <c r="W7" s="316">
        <f>T7/V7</f>
        <v>8.3519647696476973</v>
      </c>
      <c r="X7" s="486">
        <v>0</v>
      </c>
      <c r="Y7" s="487">
        <f>14+1/20+1/20+1/20+1/20+1/20+1/20</f>
        <v>14.300000000000004</v>
      </c>
      <c r="Z7" s="486">
        <f>9+1/9*0.5+1/9*0.16+0.1*0.5+0.1*0.5+0.1*0.5+0.01+0.1*0.5+0.1*0.16+0.01+0.01</f>
        <v>9.3193333333333346</v>
      </c>
      <c r="AA7" s="487">
        <f>14+1/12*0.5+1/12*0.5+1/12*0.5+1/12*0.5+1/12*0.5+1/12*0.5+1/12*0.5</f>
        <v>14.291666666666663</v>
      </c>
      <c r="AB7" s="486">
        <f>8.45+0.15+0.15+0.02+0.12+0.12+0.11+0.01+0.08+0.07+0.07+0.07</f>
        <v>9.4199999999999982</v>
      </c>
      <c r="AC7" s="487">
        <f>1+1/7</f>
        <v>1.1428571428571428</v>
      </c>
      <c r="AD7" s="486">
        <f>9+0.4</f>
        <v>9.4</v>
      </c>
      <c r="AE7" s="324">
        <v>1902</v>
      </c>
      <c r="AF7" s="604">
        <f t="shared" ca="1" si="11"/>
        <v>11.019753619248599</v>
      </c>
      <c r="AG7" s="604">
        <f t="shared" ca="1" si="12"/>
        <v>11.902694294448619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233760</v>
      </c>
      <c r="AS7">
        <f t="shared" si="21"/>
        <v>233760</v>
      </c>
      <c r="AT7" s="390">
        <f t="shared" si="22"/>
        <v>-12790</v>
      </c>
    </row>
    <row r="8" spans="1:46" s="254" customFormat="1" x14ac:dyDescent="0.25">
      <c r="A8" s="305" t="s">
        <v>412</v>
      </c>
      <c r="B8" s="260" t="s">
        <v>2</v>
      </c>
      <c r="C8" s="385">
        <f t="shared" ca="1" si="4"/>
        <v>2.1964285714285716</v>
      </c>
      <c r="D8" s="659" t="s">
        <v>275</v>
      </c>
      <c r="E8" s="210">
        <v>31</v>
      </c>
      <c r="F8" s="211">
        <f ca="1">18-41471+$D$1-112-112-112-112-112-112-112-112-112-112-112-112-112-112</f>
        <v>90</v>
      </c>
      <c r="G8" s="262" t="s">
        <v>502</v>
      </c>
      <c r="H8" s="394">
        <v>4</v>
      </c>
      <c r="I8" s="214">
        <v>7.6</v>
      </c>
      <c r="J8" s="487">
        <f t="shared" si="5"/>
        <v>1.2459979349914236</v>
      </c>
      <c r="K8" s="303">
        <f t="shared" si="6"/>
        <v>121.6</v>
      </c>
      <c r="L8" s="303">
        <f t="shared" si="7"/>
        <v>190</v>
      </c>
      <c r="M8" s="296">
        <v>6.7</v>
      </c>
      <c r="N8" s="446">
        <f t="shared" si="8"/>
        <v>86</v>
      </c>
      <c r="O8" s="446" t="s">
        <v>557</v>
      </c>
      <c r="P8" s="679">
        <v>1.5</v>
      </c>
      <c r="Q8" s="447">
        <v>6</v>
      </c>
      <c r="R8" s="501">
        <f t="shared" si="9"/>
        <v>0.92582009977255142</v>
      </c>
      <c r="S8" s="501">
        <f t="shared" si="10"/>
        <v>0.99928545900129484</v>
      </c>
      <c r="T8" s="628">
        <v>19520</v>
      </c>
      <c r="U8" s="627">
        <f t="shared" si="2"/>
        <v>4630</v>
      </c>
      <c r="V8" s="628">
        <v>3510</v>
      </c>
      <c r="W8" s="316">
        <f t="shared" si="3"/>
        <v>5.5612535612535616</v>
      </c>
      <c r="X8" s="486">
        <v>0</v>
      </c>
      <c r="Y8" s="487">
        <f>11+1/15*0.16+1/15</f>
        <v>11.077333333333334</v>
      </c>
      <c r="Z8" s="486">
        <f>4.61+0.04+0.04+0.04+0.04+0.25+0.14+0.13+0.13+0.12+0.12+0.12+0.04*55/90+0.025+0.13+0.02+0.02+0.02+0.02+0.02+0.01+0.01+0.01+0.12*0.5+0.01+0.02+0.01+0.01</f>
        <v>6.199444444444441</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8.2818703562389206</v>
      </c>
      <c r="AG8" s="604">
        <f t="shared" si="12"/>
        <v>8.945442379435864</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14890</v>
      </c>
      <c r="AS8">
        <f t="shared" si="21"/>
        <v>14890</v>
      </c>
      <c r="AT8" s="390">
        <f t="shared" si="22"/>
        <v>-4630</v>
      </c>
    </row>
    <row r="9" spans="1:46" s="246" customFormat="1" x14ac:dyDescent="0.25">
      <c r="A9" s="384" t="s">
        <v>504</v>
      </c>
      <c r="B9" s="384" t="s">
        <v>2</v>
      </c>
      <c r="C9" s="385">
        <f t="shared" ca="1" si="4"/>
        <v>2.6071428571428572</v>
      </c>
      <c r="D9" s="658" t="s">
        <v>269</v>
      </c>
      <c r="E9" s="387">
        <v>31</v>
      </c>
      <c r="F9" s="395">
        <f ca="1">84-41471+$D$1-112-112-112-112-112-112-112-112-112-112-112-112-112-112-112</f>
        <v>44</v>
      </c>
      <c r="G9" s="388"/>
      <c r="H9" s="394">
        <v>4</v>
      </c>
      <c r="I9" s="308">
        <v>12.4</v>
      </c>
      <c r="J9" s="487">
        <f t="shared" si="5"/>
        <v>1.5028063978197437</v>
      </c>
      <c r="K9" s="303">
        <f t="shared" si="6"/>
        <v>198.4</v>
      </c>
      <c r="L9" s="303">
        <f t="shared" si="7"/>
        <v>310</v>
      </c>
      <c r="M9" s="389">
        <v>7.3</v>
      </c>
      <c r="N9" s="446">
        <f t="shared" si="8"/>
        <v>92</v>
      </c>
      <c r="O9" s="446" t="s">
        <v>557</v>
      </c>
      <c r="P9" s="679">
        <v>1.5</v>
      </c>
      <c r="Q9" s="446">
        <v>5</v>
      </c>
      <c r="R9" s="501">
        <f t="shared" si="9"/>
        <v>0.84515425472851657</v>
      </c>
      <c r="S9" s="501">
        <f t="shared" si="10"/>
        <v>0.92504826128926143</v>
      </c>
      <c r="T9" s="324">
        <v>116950</v>
      </c>
      <c r="U9" s="627">
        <f t="shared" si="2"/>
        <v>60</v>
      </c>
      <c r="V9" s="324">
        <v>14670</v>
      </c>
      <c r="W9" s="316">
        <f t="shared" si="3"/>
        <v>7.9720518064076344</v>
      </c>
      <c r="X9" s="486">
        <v>0</v>
      </c>
      <c r="Y9" s="487">
        <f>9.9+0.14+0.14+0.14+0.14+0.13+0.13+0.13+0.12+0.12+0.09+0.09+0.09+0.09+0.08+0.08+0.08+0.08+0.08+0.07+0.07+0.07+0.07+0.07</f>
        <v>12.200000000000005</v>
      </c>
      <c r="Z9" s="486">
        <f>10.72+0.15+0.15+0.15+0.14+0.14+0.11+0.11+0.11+0.11+0.11+0.11+0.11+0.11*0.5+0.11*0.5+0.11*0.5+0.1+0.1*0.5+0.1*0.5+0.1*0.5+0.1*0.16+0.09+0.08+0.08+0.08*0.5+0.08+1/18+0.08*0.5+0.08*0.5</f>
        <v>13.156555555555553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13.657153508593243</v>
      </c>
      <c r="AG9" s="604">
        <f t="shared" si="12"/>
        <v>14.960662095934687</v>
      </c>
      <c r="AH9" s="316">
        <f t="shared" si="13"/>
        <v>4.2689184260256905</v>
      </c>
      <c r="AI9" s="316">
        <f t="shared" si="14"/>
        <v>12.079829133184464</v>
      </c>
      <c r="AJ9" s="316">
        <f t="shared" si="15"/>
        <v>13.308433472489428</v>
      </c>
      <c r="AK9" s="316">
        <f t="shared" si="16"/>
        <v>0.92314117849224586</v>
      </c>
      <c r="AL9" s="316">
        <f t="shared" si="17"/>
        <v>1.1970297811807153</v>
      </c>
      <c r="AM9" s="311">
        <f t="shared" si="18"/>
        <v>16.552915170231653</v>
      </c>
      <c r="AN9" s="311">
        <f t="shared" si="19"/>
        <v>18.132810062410687</v>
      </c>
      <c r="AO9" s="446">
        <v>2</v>
      </c>
      <c r="AP9" s="446">
        <v>3</v>
      </c>
      <c r="AQ9" s="591">
        <f t="shared" si="20"/>
        <v>6.1499999999999999E-2</v>
      </c>
      <c r="AR9" s="246">
        <v>116890</v>
      </c>
      <c r="AS9">
        <f t="shared" si="21"/>
        <v>116890</v>
      </c>
      <c r="AT9" s="390">
        <f t="shared" si="22"/>
        <v>-60</v>
      </c>
    </row>
    <row r="10" spans="1:46" s="247" customFormat="1" x14ac:dyDescent="0.25">
      <c r="A10" s="384" t="s">
        <v>405</v>
      </c>
      <c r="B10" s="260" t="s">
        <v>2</v>
      </c>
      <c r="C10" s="385">
        <f t="shared" ca="1" si="4"/>
        <v>2.7410714285714284</v>
      </c>
      <c r="D10" s="659" t="s">
        <v>273</v>
      </c>
      <c r="E10" s="210">
        <v>31</v>
      </c>
      <c r="F10" s="211">
        <f ca="1">69-41471+$D$1-112-112-112-112-112-112-112-112-112-112-112-112-112-112-112</f>
        <v>29</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40140</v>
      </c>
      <c r="U10" s="627">
        <f t="shared" si="2"/>
        <v>600</v>
      </c>
      <c r="V10" s="628">
        <v>5350</v>
      </c>
      <c r="W10" s="316">
        <f t="shared" si="3"/>
        <v>7.5028037383177573</v>
      </c>
      <c r="X10" s="486">
        <v>0</v>
      </c>
      <c r="Y10" s="487">
        <f>9.15+0.15+0.15+0.15+0.15+0.15+0.15+0.15+0.15+0.15+0.12+0.12+0.12+0.12+0.12+0.1+0.1+0.1+0.1+0.1+0.1+0.1+0.1+0.1</f>
        <v>11.999999999999996</v>
      </c>
      <c r="Z10" s="486">
        <f>5.99+0.04+0.04+(0.04/90*75)+(0.25*15/90)+0.03+0.03+(0.03*20/90)+0.03+0.03+(0.22*0.5*30/90)+(0.22/16*60/90)+0.03+0.03+0.22*0.5+0.2*0.5+0.03+0.22*0.5+0.03+0.03+0.03+0.01+0.01+0.01+0.01+0.01+1/8*0.5+0.01+1/8*0.5</f>
        <v>7.0025000000000022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9.8640857320932511</v>
      </c>
      <c r="AG10" s="604">
        <f t="shared" si="12"/>
        <v>9.8640857320932511</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39540</v>
      </c>
      <c r="AS10">
        <f t="shared" si="21"/>
        <v>39540</v>
      </c>
      <c r="AT10" s="390">
        <f t="shared" si="22"/>
        <v>-600</v>
      </c>
    </row>
    <row r="11" spans="1:46" s="264" customFormat="1" x14ac:dyDescent="0.25">
      <c r="A11" s="304" t="s">
        <v>495</v>
      </c>
      <c r="B11" s="260" t="s">
        <v>2</v>
      </c>
      <c r="C11" s="385">
        <f t="shared" ca="1" si="4"/>
        <v>6.5357142857142856</v>
      </c>
      <c r="D11" s="659" t="s">
        <v>567</v>
      </c>
      <c r="E11" s="210">
        <v>27</v>
      </c>
      <c r="F11" s="211">
        <f ca="1">75-41471+$D$1-24-112-10-112-112+6-112-112-112+45-112-112-112-112-112-112-112-112-112</f>
        <v>52</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37770</v>
      </c>
      <c r="U11" s="627">
        <f t="shared" si="2"/>
        <v>-1460</v>
      </c>
      <c r="V11" s="628">
        <v>2510</v>
      </c>
      <c r="W11" s="316">
        <f t="shared" si="3"/>
        <v>15.047808764940239</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4.0405961684842016</v>
      </c>
      <c r="AI11" s="316">
        <f t="shared" si="14"/>
        <v>9.8821106844932327</v>
      </c>
      <c r="AJ11" s="316">
        <f t="shared" si="15"/>
        <v>11.824597371299996</v>
      </c>
      <c r="AK11" s="316">
        <f t="shared" si="16"/>
        <v>0.7622242145751621</v>
      </c>
      <c r="AL11" s="316">
        <f t="shared" si="17"/>
        <v>0.95829952108660021</v>
      </c>
      <c r="AM11" s="311">
        <f t="shared" si="18"/>
        <v>14.497556119880491</v>
      </c>
      <c r="AN11" s="311">
        <f t="shared" si="19"/>
        <v>15.659150328926907</v>
      </c>
      <c r="AO11" s="447">
        <v>3</v>
      </c>
      <c r="AP11" s="447">
        <v>2</v>
      </c>
      <c r="AQ11" s="591">
        <f t="shared" si="20"/>
        <v>0.1158</v>
      </c>
      <c r="AR11" s="264">
        <v>39230</v>
      </c>
      <c r="AS11">
        <f t="shared" si="21"/>
        <v>39230</v>
      </c>
      <c r="AT11" s="390">
        <f t="shared" si="22"/>
        <v>1460</v>
      </c>
    </row>
    <row r="12" spans="1:46" s="264" customFormat="1" x14ac:dyDescent="0.25">
      <c r="A12" s="384" t="s">
        <v>408</v>
      </c>
      <c r="B12" s="384" t="s">
        <v>65</v>
      </c>
      <c r="C12" s="385">
        <f t="shared" ca="1" si="4"/>
        <v>2.9464285714285716</v>
      </c>
      <c r="D12" s="658" t="s">
        <v>817</v>
      </c>
      <c r="E12" s="387">
        <v>31</v>
      </c>
      <c r="F12" s="211">
        <f ca="1">46-41471+$D$1-112-112-112-112-112-112-112-112-112-112-112-112-112-112-112</f>
        <v>6</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4</v>
      </c>
      <c r="R12" s="501">
        <f t="shared" si="9"/>
        <v>0.7559289460184544</v>
      </c>
      <c r="S12" s="501">
        <f t="shared" si="10"/>
        <v>0.84430867747355465</v>
      </c>
      <c r="T12" s="324">
        <v>169900</v>
      </c>
      <c r="U12" s="627">
        <f t="shared" si="2"/>
        <v>-13880</v>
      </c>
      <c r="V12" s="324">
        <v>14850</v>
      </c>
      <c r="W12" s="316">
        <f t="shared" si="3"/>
        <v>11.441077441077441</v>
      </c>
      <c r="X12" s="486">
        <v>0</v>
      </c>
      <c r="Y12" s="487">
        <f>11.95+1/18+1/18</f>
        <v>12.06111111111111</v>
      </c>
      <c r="Z12" s="486">
        <f>9.9+0.17+(0.17/90*26)+0.17+0.15+0.15+0.15+0.13+0.13+(1/8)+0.13+0.13+0.13*0.5+0.11+0.11+0.11*0.5+0.11*0.5+0.1*0.5+0.1*0.5+0.1+0.1+0.1*0.5+0.09+0.09*0.5+0.09*0.5+0.09*0.5+0.09*0.5+0.09*0.5+0.09*0.5+0.09*0.5</f>
        <v>12.534111111111114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11.751290650228382</v>
      </c>
      <c r="AG12" s="604">
        <f t="shared" si="12"/>
        <v>13.138342358634183</v>
      </c>
      <c r="AH12" s="316">
        <f t="shared" si="13"/>
        <v>4.0551115447925303</v>
      </c>
      <c r="AI12" s="316">
        <f t="shared" si="14"/>
        <v>16.157876386396634</v>
      </c>
      <c r="AJ12" s="316">
        <f t="shared" si="15"/>
        <v>13.102807613604263</v>
      </c>
      <c r="AK12" s="316">
        <f t="shared" si="16"/>
        <v>1.1433108168928232</v>
      </c>
      <c r="AL12" s="316">
        <f t="shared" si="17"/>
        <v>1.2071414092256647</v>
      </c>
      <c r="AM12" s="311">
        <f t="shared" si="18"/>
        <v>15.192025526191101</v>
      </c>
      <c r="AN12" s="311">
        <f t="shared" si="19"/>
        <v>16.985200896237657</v>
      </c>
      <c r="AO12" s="446">
        <v>1</v>
      </c>
      <c r="AP12" s="446">
        <v>2</v>
      </c>
      <c r="AQ12" s="591">
        <f t="shared" si="20"/>
        <v>4.9399999999999999E-2</v>
      </c>
      <c r="AR12" s="264">
        <v>183780</v>
      </c>
      <c r="AS12">
        <f t="shared" si="21"/>
        <v>183780</v>
      </c>
      <c r="AT12" s="390">
        <f t="shared" si="22"/>
        <v>13880</v>
      </c>
    </row>
    <row r="13" spans="1:46" s="254" customFormat="1" x14ac:dyDescent="0.25">
      <c r="A13" s="384" t="s">
        <v>410</v>
      </c>
      <c r="B13" s="384" t="s">
        <v>65</v>
      </c>
      <c r="C13" s="385">
        <f t="shared" ca="1" si="4"/>
        <v>3.4196428571428572</v>
      </c>
      <c r="D13" s="658" t="s">
        <v>298</v>
      </c>
      <c r="E13" s="387">
        <v>30</v>
      </c>
      <c r="F13" s="395">
        <f ca="1">75-41471+$D$1-24-112-10-112-40-8-112-112-112-112-112-112-112-112-112-112-112-112</f>
        <v>65</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6</v>
      </c>
      <c r="R13" s="501">
        <f t="shared" si="9"/>
        <v>0.92582009977255142</v>
      </c>
      <c r="S13" s="501">
        <f t="shared" si="10"/>
        <v>0.99928545900129484</v>
      </c>
      <c r="T13" s="324">
        <v>109500</v>
      </c>
      <c r="U13" s="627">
        <f t="shared" si="2"/>
        <v>12000</v>
      </c>
      <c r="V13" s="324">
        <v>10060</v>
      </c>
      <c r="W13" s="316">
        <f t="shared" si="3"/>
        <v>10.884691848906561</v>
      </c>
      <c r="X13" s="486">
        <v>0</v>
      </c>
      <c r="Y13" s="487">
        <f>7+0.11+0.11+1/33</f>
        <v>7.2503030303030309</v>
      </c>
      <c r="Z13" s="486">
        <f>10+0.1*0.5+0.1*0.5+0.1*0.5+0.1*0.5+0.1*0.5+0.1+0.1+0.1*0.5</f>
        <v>10.500000000000004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12.414512870489856</v>
      </c>
      <c r="AG13" s="604">
        <f t="shared" si="12"/>
        <v>13.409206468448634</v>
      </c>
      <c r="AH13" s="316">
        <f t="shared" si="13"/>
        <v>4.2469592763522295</v>
      </c>
      <c r="AI13" s="316">
        <f t="shared" si="14"/>
        <v>16.032099200814219</v>
      </c>
      <c r="AJ13" s="316">
        <f t="shared" si="15"/>
        <v>15.406300522904857</v>
      </c>
      <c r="AK13" s="316">
        <f t="shared" si="16"/>
        <v>1.0219865174758904</v>
      </c>
      <c r="AL13" s="316">
        <f t="shared" si="17"/>
        <v>1.0126565740035254</v>
      </c>
      <c r="AM13" s="311">
        <f t="shared" si="18"/>
        <v>18.660871085939448</v>
      </c>
      <c r="AN13" s="311">
        <f t="shared" si="19"/>
        <v>20.156044452398376</v>
      </c>
      <c r="AO13" s="446">
        <v>4</v>
      </c>
      <c r="AP13" s="446">
        <v>4</v>
      </c>
      <c r="AQ13" s="591">
        <f t="shared" si="20"/>
        <v>0.157</v>
      </c>
      <c r="AR13" s="254">
        <v>97500</v>
      </c>
      <c r="AS13">
        <f t="shared" si="21"/>
        <v>97500</v>
      </c>
      <c r="AT13" s="390">
        <f t="shared" si="22"/>
        <v>-12000</v>
      </c>
    </row>
    <row r="14" spans="1:46" s="263" customFormat="1" x14ac:dyDescent="0.25">
      <c r="A14" s="384" t="s">
        <v>409</v>
      </c>
      <c r="B14" s="384" t="s">
        <v>65</v>
      </c>
      <c r="C14" s="385">
        <f t="shared" ca="1" si="4"/>
        <v>6.2857142857142856</v>
      </c>
      <c r="D14" s="658" t="s">
        <v>507</v>
      </c>
      <c r="E14" s="387">
        <v>27</v>
      </c>
      <c r="F14" s="211">
        <f ca="1">7-41471+$D$1-112-111-112+4-112-116-112-112-112-112-112-112-112-112-112</f>
        <v>80</v>
      </c>
      <c r="G14" s="388" t="s">
        <v>502</v>
      </c>
      <c r="H14" s="371">
        <v>2</v>
      </c>
      <c r="I14" s="308">
        <v>8.9</v>
      </c>
      <c r="J14" s="487">
        <f t="shared" si="5"/>
        <v>1.3275135927967332</v>
      </c>
      <c r="K14" s="303">
        <f t="shared" si="6"/>
        <v>35.6</v>
      </c>
      <c r="L14" s="303">
        <f t="shared" si="7"/>
        <v>80.100000000000009</v>
      </c>
      <c r="M14" s="389">
        <v>8.1</v>
      </c>
      <c r="N14" s="446">
        <f t="shared" si="8"/>
        <v>100</v>
      </c>
      <c r="O14" s="446" t="s">
        <v>557</v>
      </c>
      <c r="P14" s="679">
        <v>1.5</v>
      </c>
      <c r="Q14" s="446">
        <v>4</v>
      </c>
      <c r="R14" s="501">
        <f t="shared" si="9"/>
        <v>0.7559289460184544</v>
      </c>
      <c r="S14" s="501">
        <f t="shared" si="10"/>
        <v>0.84430867747355465</v>
      </c>
      <c r="T14" s="324">
        <v>186010</v>
      </c>
      <c r="U14" s="627">
        <f t="shared" si="2"/>
        <v>-4040</v>
      </c>
      <c r="V14" s="324">
        <v>12550</v>
      </c>
      <c r="W14" s="316">
        <f t="shared" si="3"/>
        <v>14.821513944223108</v>
      </c>
      <c r="X14" s="486">
        <v>0</v>
      </c>
      <c r="Y14" s="487">
        <f>8+0.12+0.12+0.12</f>
        <v>8.3599999999999977</v>
      </c>
      <c r="Z14" s="486">
        <f>8.4+0.22+0.22+(0.22*75/90)+(0.05*15/90)+0.17+0.17+0.17+0.17+0.17+1/7+0.16+0.16+0.16+0.125+0.16+0.16+0.14+0.14+0.05*61/90+0.11+0.11*0.5+0.11+0.11+0.11+0.1+0.1+0.1*0.5+0.1*0.5+0.1</f>
        <v>12.158412698412699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11.328295466424191</v>
      </c>
      <c r="AG14" s="604">
        <f t="shared" si="12"/>
        <v>12.665419366063588</v>
      </c>
      <c r="AH14" s="316">
        <f t="shared" si="13"/>
        <v>3.52664861416741</v>
      </c>
      <c r="AI14" s="316">
        <f t="shared" si="14"/>
        <v>14.709297601306117</v>
      </c>
      <c r="AJ14" s="316">
        <f t="shared" si="15"/>
        <v>11.91307249996634</v>
      </c>
      <c r="AK14" s="316">
        <f t="shared" si="16"/>
        <v>1.0581344207570722</v>
      </c>
      <c r="AL14" s="316">
        <f t="shared" si="17"/>
        <v>0.99042595149577117</v>
      </c>
      <c r="AM14" s="311">
        <f t="shared" si="18"/>
        <v>13.633823607507539</v>
      </c>
      <c r="AN14" s="311">
        <f t="shared" si="19"/>
        <v>15.243078189814137</v>
      </c>
      <c r="AO14" s="446">
        <v>3</v>
      </c>
      <c r="AP14" s="446">
        <v>2</v>
      </c>
      <c r="AQ14" s="591">
        <f t="shared" si="20"/>
        <v>0.1158</v>
      </c>
      <c r="AR14" s="263">
        <v>190050</v>
      </c>
      <c r="AS14">
        <f t="shared" si="21"/>
        <v>190050</v>
      </c>
      <c r="AT14" s="390">
        <f t="shared" si="22"/>
        <v>4040</v>
      </c>
    </row>
    <row r="15" spans="1:46" s="264" customFormat="1" x14ac:dyDescent="0.25">
      <c r="A15" s="384" t="s">
        <v>406</v>
      </c>
      <c r="B15" s="260" t="s">
        <v>64</v>
      </c>
      <c r="C15" s="385">
        <f t="shared" ca="1" si="4"/>
        <v>4.3125</v>
      </c>
      <c r="D15" s="659" t="s">
        <v>618</v>
      </c>
      <c r="E15" s="210">
        <v>29</v>
      </c>
      <c r="F15" s="211">
        <f ca="1">7-41471+$D$1-112-111-3-112-112-112-112-112-112-112-112-112-112-112-112</f>
        <v>77</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5</v>
      </c>
      <c r="R15" s="501">
        <f t="shared" si="9"/>
        <v>0.84515425472851657</v>
      </c>
      <c r="S15" s="501">
        <f t="shared" si="10"/>
        <v>0.92504826128926143</v>
      </c>
      <c r="T15" s="324">
        <v>212530</v>
      </c>
      <c r="U15" s="627">
        <f t="shared" si="2"/>
        <v>5840</v>
      </c>
      <c r="V15" s="628">
        <v>21080</v>
      </c>
      <c r="W15" s="316">
        <f t="shared" si="3"/>
        <v>10.082068311195446</v>
      </c>
      <c r="X15" s="486">
        <v>0</v>
      </c>
      <c r="Y15" s="487">
        <f>5.6+0.26+0.26+0.26+(0.26*23/90)+(0.05*(90-23)/90)+0.26+0.26+0.23+0.23+0.22+0.15+0.15+0.14+0.13+0.13+0.13+0.12+0.12+0.12+0.02+0.1+0.1+0.1+0.01+0.1</f>
        <v>9.3036666666666648</v>
      </c>
      <c r="Z15" s="486">
        <f>13+0.1+0.1+0.1+0.1+0.1+0.1+0.08+0.08</f>
        <v>13.759999999999998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14.104928112546114</v>
      </c>
      <c r="AG15" s="604">
        <f t="shared" si="12"/>
        <v>15.451174598460545</v>
      </c>
      <c r="AH15" s="316">
        <f t="shared" si="13"/>
        <v>3.9550959773127623</v>
      </c>
      <c r="AI15" s="316">
        <f t="shared" si="14"/>
        <v>13.169806881839508</v>
      </c>
      <c r="AJ15" s="316">
        <f t="shared" si="15"/>
        <v>12.743300092753</v>
      </c>
      <c r="AK15" s="316">
        <f t="shared" si="16"/>
        <v>0.94181741411265329</v>
      </c>
      <c r="AL15" s="316">
        <f t="shared" si="17"/>
        <v>1.0331889873485716</v>
      </c>
      <c r="AM15" s="311">
        <f t="shared" si="18"/>
        <v>15.278612699149317</v>
      </c>
      <c r="AN15" s="311">
        <f t="shared" si="19"/>
        <v>16.736881645417945</v>
      </c>
      <c r="AO15" s="447">
        <v>3</v>
      </c>
      <c r="AP15" s="447">
        <v>3</v>
      </c>
      <c r="AQ15" s="591">
        <f t="shared" si="20"/>
        <v>0.1158</v>
      </c>
      <c r="AR15" s="264">
        <v>206690</v>
      </c>
      <c r="AS15">
        <f t="shared" si="21"/>
        <v>206690</v>
      </c>
      <c r="AT15" s="390">
        <f t="shared" si="22"/>
        <v>-5840</v>
      </c>
    </row>
    <row r="16" spans="1:46" x14ac:dyDescent="0.25">
      <c r="A16" s="305" t="s">
        <v>407</v>
      </c>
      <c r="B16" s="384" t="s">
        <v>64</v>
      </c>
      <c r="C16" s="385">
        <f t="shared" ca="1" si="4"/>
        <v>2.0089285714285716</v>
      </c>
      <c r="D16" s="658" t="s">
        <v>285</v>
      </c>
      <c r="E16" s="387">
        <v>31</v>
      </c>
      <c r="F16" s="395">
        <f ca="1">33-41471+$D$1-112+6-112-112-112-112-112-112-112-112-112-112-112-112-112</f>
        <v>111</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5</v>
      </c>
      <c r="R16" s="501">
        <f t="shared" si="9"/>
        <v>0.84515425472851657</v>
      </c>
      <c r="S16" s="501">
        <f t="shared" si="10"/>
        <v>0.92504826128926143</v>
      </c>
      <c r="T16" s="324">
        <v>99790</v>
      </c>
      <c r="U16" s="627">
        <f t="shared" si="2"/>
        <v>1340</v>
      </c>
      <c r="V16" s="324">
        <v>16970</v>
      </c>
      <c r="W16" s="316">
        <f t="shared" si="3"/>
        <v>5.8803771361225694</v>
      </c>
      <c r="X16" s="486">
        <v>0</v>
      </c>
      <c r="Y16" s="487">
        <f>5.25+0.25+0.25+0.25+0.24+0.24+0.24+0.24+0.23+0.22+0.17+(0.17*25/90)+0.16+0.16+0.03+0.15+0.14+0.14+0.13+0.02+0.11*33/90+0.01+0.01+0.01</f>
        <v>8.6275555555555581</v>
      </c>
      <c r="Z16" s="486">
        <f>11.65+0.13+0.13+0.13+0.11+0.11+0.11+0.1+0.1+0.1+0.1+0.1+0.1+0.1+0.1+0.1+0.1+0.091*83/90+0.091+0.091+0.091+0.091+0.091+0.091+1/21+1/21+1/21+1/21+1/21</f>
        <v>14.238017460317453</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14.529236340490131</v>
      </c>
      <c r="AG16" s="604">
        <f t="shared" si="12"/>
        <v>15.91598097402051</v>
      </c>
      <c r="AH16" s="316">
        <f t="shared" si="13"/>
        <v>3.9793217576397102</v>
      </c>
      <c r="AI16" s="316">
        <f t="shared" si="14"/>
        <v>12.956241352547025</v>
      </c>
      <c r="AJ16" s="316">
        <f t="shared" si="15"/>
        <v>13.399344251284823</v>
      </c>
      <c r="AK16" s="316">
        <f t="shared" si="16"/>
        <v>0.95258987855353572</v>
      </c>
      <c r="AL16" s="316">
        <f t="shared" si="17"/>
        <v>1.0481600326232328</v>
      </c>
      <c r="AM16" s="311">
        <f t="shared" si="18"/>
        <v>16.437023965865091</v>
      </c>
      <c r="AN16" s="311">
        <f t="shared" si="19"/>
        <v>18.00585760871467</v>
      </c>
      <c r="AO16" s="446">
        <v>2</v>
      </c>
      <c r="AP16" s="446">
        <v>2</v>
      </c>
      <c r="AQ16" s="591">
        <f t="shared" si="20"/>
        <v>6.1499999999999999E-2</v>
      </c>
      <c r="AR16">
        <v>98450</v>
      </c>
      <c r="AS16">
        <f t="shared" si="21"/>
        <v>98450</v>
      </c>
      <c r="AT16" s="390">
        <f t="shared" si="22"/>
        <v>-1340</v>
      </c>
    </row>
    <row r="17" spans="1:46" s="4" customFormat="1" x14ac:dyDescent="0.25">
      <c r="A17" s="384" t="s">
        <v>404</v>
      </c>
      <c r="B17" s="384" t="s">
        <v>64</v>
      </c>
      <c r="C17" s="385">
        <f t="shared" ca="1" si="4"/>
        <v>3.0625</v>
      </c>
      <c r="D17" s="658" t="s">
        <v>272</v>
      </c>
      <c r="E17" s="387">
        <v>30</v>
      </c>
      <c r="F17" s="395">
        <f ca="1">33-41471+$D$1-112-112-112-112-112-112-112-112-112-112-112-112-112-112</f>
        <v>105</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88160</v>
      </c>
      <c r="U17" s="627">
        <f t="shared" si="2"/>
        <v>950</v>
      </c>
      <c r="V17" s="324">
        <v>11270</v>
      </c>
      <c r="W17" s="316">
        <f t="shared" si="3"/>
        <v>7.8225377107364684</v>
      </c>
      <c r="X17" s="486">
        <v>0</v>
      </c>
      <c r="Y17" s="487">
        <f>7.5+0.2+0.2+0.2+0.2+0.2+0.16+0.16+0.14+0.14+0.13+0.13+0.12+0.12+0.12+0.12+0.11+0.1+0.1+0.1+0.1+0.1+0.1</f>
        <v>10.549999999999995</v>
      </c>
      <c r="Z17" s="486">
        <f>10.8+0.08+(0.16*77/90)+0.08+0.07+((0.07*37/90)+0.14*53/90)+(0.07*23/90)+0.06+0.06+0.06+0.06+0.06+0.12+0.1+0.1+0.1*0.5*32/90+0.1*0.5+0.1+0.1+0.1+0.1*0.16+0.1*0.5+0.1+0.1+0.1+0.1+0.1+0.01+0.01</f>
        <v>12.869777777777777</v>
      </c>
      <c r="AA17" s="487">
        <f>4.85+0.05+0.05+0.05+0.03+0.03+0.02+0.02+0.02+0.01</f>
        <v>5.1299999999999981</v>
      </c>
      <c r="AB17" s="486">
        <f>8.95+0.08+0.07+0.07+0.07</f>
        <v>9.24</v>
      </c>
      <c r="AC17" s="487">
        <v>2.98</v>
      </c>
      <c r="AD17" s="486">
        <f>11+0.5+0.5+0.5+0.45+0.45+0.45+0.4+0.35+0.33+0.33+0.3+0.3+0.3+0.2+0.2+0.2+0.2</f>
        <v>16.959999999999997</v>
      </c>
      <c r="AE17" s="324">
        <v>1451</v>
      </c>
      <c r="AF17" s="604">
        <f t="shared" si="11"/>
        <v>15.720227410718007</v>
      </c>
      <c r="AG17" s="604">
        <f t="shared" si="12"/>
        <v>15.720227410718007</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87210</v>
      </c>
      <c r="AS17">
        <f t="shared" si="21"/>
        <v>87210</v>
      </c>
      <c r="AT17" s="390">
        <f t="shared" si="22"/>
        <v>-950</v>
      </c>
    </row>
    <row r="18" spans="1:46" s="263" customFormat="1" x14ac:dyDescent="0.25">
      <c r="A18" s="305" t="s">
        <v>411</v>
      </c>
      <c r="B18" s="260" t="s">
        <v>64</v>
      </c>
      <c r="C18" s="385">
        <f t="shared" ca="1" si="4"/>
        <v>3.2857142857142856</v>
      </c>
      <c r="D18" s="659" t="s">
        <v>400</v>
      </c>
      <c r="E18" s="210">
        <v>30</v>
      </c>
      <c r="F18" s="211">
        <f ca="1">7-41471+$D$1-112-111-112-112-112-112-112-112-112-112-112-112-112-112</f>
        <v>80</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81490</v>
      </c>
      <c r="U18" s="627">
        <f t="shared" si="2"/>
        <v>-4050</v>
      </c>
      <c r="V18" s="628">
        <v>20790</v>
      </c>
      <c r="W18" s="316">
        <f t="shared" si="3"/>
        <v>3.9196729196729199</v>
      </c>
      <c r="X18" s="486">
        <v>0</v>
      </c>
      <c r="Y18" s="487">
        <f>3.4+0.06+0.06+0.06+0.06+0.06+0.06+0.06+0.06+(0.06*40/90)+(0.25*35/90)+0.06+(0.25*35/90)+0.05+0.25+0.05+0.05+0.22+0.2+0.15+0.15+0.15+1/30</f>
        <v>5.4644444444444451</v>
      </c>
      <c r="Z18" s="486">
        <f>11.7+0.13+0.13+0.13+0.12+0.12+0.12+0.1+0.1+0.1+0.1+0.1+0.1+0.091+0.091*33/90+0.1+0.091+0.091+0.091+0.091+0.091+0.091+0.091+0.092+1/21+1/21+1/21+1/21+1/21*80/90+1/21+1/21</f>
        <v>14.331408994708985</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14.466048514141139</v>
      </c>
      <c r="AG18" s="604">
        <f t="shared" si="12"/>
        <v>15.846762178318384</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85540</v>
      </c>
      <c r="AS18">
        <f t="shared" si="21"/>
        <v>85540</v>
      </c>
      <c r="AT18" s="390">
        <f t="shared" si="22"/>
        <v>4050</v>
      </c>
    </row>
    <row r="19" spans="1:46" s="264" customFormat="1" ht="14.25" customHeight="1" x14ac:dyDescent="0.25">
      <c r="A19" s="305" t="s">
        <v>505</v>
      </c>
      <c r="B19" s="260" t="s">
        <v>64</v>
      </c>
      <c r="C19" s="385">
        <f t="shared" ca="1" si="4"/>
        <v>4.7321428571428568</v>
      </c>
      <c r="D19" s="659" t="s">
        <v>414</v>
      </c>
      <c r="E19" s="210">
        <v>29</v>
      </c>
      <c r="F19" s="211">
        <f ca="1">59-41471+$D$1-325-112-112-112-112-112-112-112-112-112-112-112-112</f>
        <v>30</v>
      </c>
      <c r="G19" s="262"/>
      <c r="H19" s="371">
        <v>2</v>
      </c>
      <c r="I19" s="214">
        <v>4</v>
      </c>
      <c r="J19" s="487">
        <f t="shared" si="5"/>
        <v>0.93196000578135851</v>
      </c>
      <c r="K19" s="303">
        <f t="shared" si="6"/>
        <v>16</v>
      </c>
      <c r="L19" s="303">
        <f t="shared" si="7"/>
        <v>36</v>
      </c>
      <c r="M19" s="296">
        <v>6.8</v>
      </c>
      <c r="N19" s="446">
        <f t="shared" si="8"/>
        <v>87</v>
      </c>
      <c r="O19" s="446" t="s">
        <v>557</v>
      </c>
      <c r="P19" s="679">
        <v>1.5</v>
      </c>
      <c r="Q19" s="447">
        <v>5</v>
      </c>
      <c r="R19" s="501">
        <f t="shared" si="9"/>
        <v>0.84515425472851657</v>
      </c>
      <c r="S19" s="501">
        <f t="shared" si="10"/>
        <v>0.92504826128926143</v>
      </c>
      <c r="T19" s="324">
        <v>27220</v>
      </c>
      <c r="U19" s="627">
        <f t="shared" si="2"/>
        <v>-380</v>
      </c>
      <c r="V19" s="628">
        <v>3310</v>
      </c>
      <c r="W19" s="316">
        <f t="shared" si="3"/>
        <v>8.2235649546827787</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10.390579019734655</v>
      </c>
      <c r="AG19" s="604">
        <f t="shared" si="12"/>
        <v>11.382309029297176</v>
      </c>
      <c r="AH19" s="316">
        <f t="shared" si="13"/>
        <v>3.3257632229034964</v>
      </c>
      <c r="AI19" s="316">
        <f t="shared" si="14"/>
        <v>8.8753728050518816</v>
      </c>
      <c r="AJ19" s="316">
        <f t="shared" si="15"/>
        <v>10.318905243632264</v>
      </c>
      <c r="AK19" s="316">
        <f t="shared" si="16"/>
        <v>0.74514568935139747</v>
      </c>
      <c r="AL19" s="316">
        <f t="shared" si="17"/>
        <v>0.76979942262691714</v>
      </c>
      <c r="AM19" s="311">
        <f t="shared" si="18"/>
        <v>12.468346604492996</v>
      </c>
      <c r="AN19" s="311">
        <f t="shared" si="19"/>
        <v>13.658389380147515</v>
      </c>
      <c r="AO19" s="447">
        <v>1</v>
      </c>
      <c r="AP19" s="447">
        <v>2</v>
      </c>
      <c r="AQ19" s="591">
        <f t="shared" si="20"/>
        <v>4.9399999999999999E-2</v>
      </c>
      <c r="AR19" s="264">
        <v>27600</v>
      </c>
      <c r="AS19">
        <f t="shared" si="21"/>
        <v>27600</v>
      </c>
      <c r="AT19" s="390">
        <f t="shared" si="22"/>
        <v>380</v>
      </c>
    </row>
    <row r="20" spans="1:46" s="263" customFormat="1" x14ac:dyDescent="0.25">
      <c r="A20" s="304" t="s">
        <v>584</v>
      </c>
      <c r="B20" s="260" t="s">
        <v>64</v>
      </c>
      <c r="C20" s="385">
        <f t="shared" ca="1" si="4"/>
        <v>4.6696428571428568</v>
      </c>
      <c r="D20" s="659" t="s">
        <v>401</v>
      </c>
      <c r="E20" s="210">
        <v>29</v>
      </c>
      <c r="F20" s="211">
        <f ca="1">7-41471+$D$1-112-111-43-112-112-112-112-112-112-112-112-112-112-112-112</f>
        <v>37</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5</v>
      </c>
      <c r="R20" s="501">
        <f t="shared" si="9"/>
        <v>0.84515425472851657</v>
      </c>
      <c r="S20" s="501">
        <f t="shared" si="10"/>
        <v>0.92504826128926143</v>
      </c>
      <c r="T20" s="628">
        <v>4680</v>
      </c>
      <c r="U20" s="627">
        <f t="shared" si="2"/>
        <v>-640</v>
      </c>
      <c r="V20" s="628">
        <v>690</v>
      </c>
      <c r="W20" s="316">
        <f t="shared" si="3"/>
        <v>6.7826086956521738</v>
      </c>
      <c r="X20" s="486">
        <v>0</v>
      </c>
      <c r="Y20" s="487">
        <f>2+0.05+0.05+0.05+0.05+0.05+(0.25*31/90)+0.05+0.04+0.03+0.02+0.02</f>
        <v>2.4961111111111101</v>
      </c>
      <c r="Z20" s="486">
        <f>7.1+0.01+0.02+0.04+0.04+0.04+0.02+0.02+0.02+0.01+0.01</f>
        <v>7.3299999999999974</v>
      </c>
      <c r="AA20" s="487">
        <f>4.16+0.01</f>
        <v>4.17</v>
      </c>
      <c r="AB20" s="486">
        <f>6+(0.35/3)+(0.35/3)+0.32+(0.3*60/90)+0.3*61/90+0.04+0.04+0.06+0.15*29/90+0.12</f>
        <v>7.2649999999999988</v>
      </c>
      <c r="AC20" s="487">
        <f>4+0.06+0.06+0.06+0.06+0.06+0.03</f>
        <v>4.3299999999999983</v>
      </c>
      <c r="AD20" s="486">
        <f>9+0.5</f>
        <v>9.5</v>
      </c>
      <c r="AE20" s="324">
        <v>634</v>
      </c>
      <c r="AF20" s="604">
        <f t="shared" si="11"/>
        <v>7.8485787167360437</v>
      </c>
      <c r="AG20" s="604">
        <f t="shared" si="12"/>
        <v>8.5976872150225603</v>
      </c>
      <c r="AH20" s="316">
        <f t="shared" si="13"/>
        <v>2.4188105419705099</v>
      </c>
      <c r="AI20" s="316">
        <f t="shared" si="14"/>
        <v>7.7220100425204024</v>
      </c>
      <c r="AJ20" s="316">
        <f t="shared" si="15"/>
        <v>8.3717292004129948</v>
      </c>
      <c r="AK20" s="316">
        <f t="shared" si="16"/>
        <v>0.65802508595436859</v>
      </c>
      <c r="AL20" s="316">
        <f t="shared" si="17"/>
        <v>0.52180389465451693</v>
      </c>
      <c r="AM20" s="311">
        <f t="shared" si="18"/>
        <v>9.385923958002822</v>
      </c>
      <c r="AN20" s="311">
        <f t="shared" si="19"/>
        <v>10.281764549652634</v>
      </c>
      <c r="AO20" s="447">
        <v>0</v>
      </c>
      <c r="AP20" s="447">
        <v>2</v>
      </c>
      <c r="AQ20" s="591">
        <f t="shared" si="20"/>
        <v>2.63E-2</v>
      </c>
      <c r="AR20" s="263">
        <v>5320</v>
      </c>
      <c r="AS20">
        <f t="shared" si="21"/>
        <v>5320</v>
      </c>
      <c r="AT20" s="390">
        <f t="shared" si="22"/>
        <v>640</v>
      </c>
    </row>
    <row r="21" spans="1:46" s="263" customFormat="1" x14ac:dyDescent="0.25">
      <c r="A21" s="304" t="s">
        <v>623</v>
      </c>
      <c r="B21" s="384" t="s">
        <v>66</v>
      </c>
      <c r="C21" s="385">
        <f t="shared" ca="1" si="4"/>
        <v>5.0446428571428568</v>
      </c>
      <c r="D21" s="659" t="s">
        <v>873</v>
      </c>
      <c r="E21" s="210">
        <v>28</v>
      </c>
      <c r="F21" s="211">
        <f ca="1">64-41471+$D$1-112-112-29-112-112-112-112-112-112-112-112-112-112-112-112</f>
        <v>107</v>
      </c>
      <c r="G21" s="262" t="s">
        <v>502</v>
      </c>
      <c r="H21" s="394">
        <v>1</v>
      </c>
      <c r="I21" s="214">
        <v>8.9</v>
      </c>
      <c r="J21" s="487">
        <f t="shared" si="5"/>
        <v>1.3275135927967332</v>
      </c>
      <c r="K21" s="303">
        <f t="shared" si="6"/>
        <v>8.9</v>
      </c>
      <c r="L21" s="303">
        <f t="shared" si="7"/>
        <v>35.6</v>
      </c>
      <c r="M21" s="296">
        <v>7.4</v>
      </c>
      <c r="N21" s="446">
        <f t="shared" si="8"/>
        <v>93</v>
      </c>
      <c r="O21" s="678">
        <v>43060</v>
      </c>
      <c r="P21" s="679">
        <f ca="1">IF((TODAY()-O21)&gt;335,1,((TODAY()-O21)^0.64)/(336^0.64))</f>
        <v>0.2992180409422085</v>
      </c>
      <c r="Q21" s="447">
        <v>4</v>
      </c>
      <c r="R21" s="501">
        <f t="shared" si="9"/>
        <v>0.7559289460184544</v>
      </c>
      <c r="S21" s="501">
        <f t="shared" si="10"/>
        <v>0.84430867747355465</v>
      </c>
      <c r="T21" s="628">
        <v>293180</v>
      </c>
      <c r="U21" s="627">
        <f t="shared" si="2"/>
        <v>129380</v>
      </c>
      <c r="V21" s="628">
        <f>42600</f>
        <v>42600</v>
      </c>
      <c r="W21" s="316">
        <f t="shared" si="3"/>
        <v>6.8821596244131458</v>
      </c>
      <c r="X21" s="486">
        <v>0</v>
      </c>
      <c r="Y21" s="487">
        <v>3</v>
      </c>
      <c r="Z21" s="486">
        <v>15</v>
      </c>
      <c r="AA21" s="487">
        <f>12+0.01</f>
        <v>12.01</v>
      </c>
      <c r="AB21" s="486">
        <v>12</v>
      </c>
      <c r="AC21" s="487">
        <v>8</v>
      </c>
      <c r="AD21" s="486">
        <v>2</v>
      </c>
      <c r="AE21" s="324">
        <v>1921</v>
      </c>
      <c r="AF21" s="604">
        <f t="shared" ca="1" si="11"/>
        <v>12.568627719623972</v>
      </c>
      <c r="AG21" s="604">
        <f t="shared" ca="1" si="12"/>
        <v>14.052152982483687</v>
      </c>
      <c r="AH21" s="316">
        <f t="shared" ca="1" si="13"/>
        <v>3.0123952663174673</v>
      </c>
      <c r="AI21" s="316">
        <f t="shared" ca="1" si="14"/>
        <v>7.8428209538623372</v>
      </c>
      <c r="AJ21" s="316">
        <f t="shared" ca="1" si="15"/>
        <v>4.1022235242172824</v>
      </c>
      <c r="AK21" s="316">
        <f t="shared" ca="1" si="16"/>
        <v>0.59013853069911537</v>
      </c>
      <c r="AL21" s="316">
        <f t="shared" ca="1" si="17"/>
        <v>0.29387121436172592</v>
      </c>
      <c r="AM21" s="311">
        <f t="shared" ca="1" si="18"/>
        <v>2.6949406531341156</v>
      </c>
      <c r="AN21" s="311">
        <f t="shared" ca="1" si="19"/>
        <v>3.0130352478677822</v>
      </c>
      <c r="AO21" s="447">
        <v>3</v>
      </c>
      <c r="AP21" s="447">
        <v>3</v>
      </c>
      <c r="AQ21" s="591">
        <f t="shared" si="20"/>
        <v>0.1158</v>
      </c>
      <c r="AR21" s="263">
        <v>163800</v>
      </c>
      <c r="AS21">
        <f t="shared" si="21"/>
        <v>163800</v>
      </c>
      <c r="AT21" s="390">
        <f t="shared" si="22"/>
        <v>-129380</v>
      </c>
    </row>
    <row r="22" spans="1:46" s="254" customFormat="1" x14ac:dyDescent="0.25">
      <c r="A22" s="384" t="s">
        <v>506</v>
      </c>
      <c r="B22" s="384" t="s">
        <v>66</v>
      </c>
      <c r="C22" s="385">
        <f t="shared" ca="1" si="4"/>
        <v>3.9553571428571428</v>
      </c>
      <c r="D22" s="658" t="s">
        <v>287</v>
      </c>
      <c r="E22" s="387">
        <v>30</v>
      </c>
      <c r="F22" s="395">
        <f ca="1">74-41471+$D$1-112-112-29-112-112-112-112-112-112-112-112-112-112-112-112-112</f>
        <v>5</v>
      </c>
      <c r="G22" s="388" t="s">
        <v>296</v>
      </c>
      <c r="H22" s="371">
        <v>3</v>
      </c>
      <c r="I22" s="308">
        <v>10.3</v>
      </c>
      <c r="J22" s="487">
        <f t="shared" si="5"/>
        <v>1.4041045913112262</v>
      </c>
      <c r="K22" s="303">
        <f t="shared" si="6"/>
        <v>92.7</v>
      </c>
      <c r="L22" s="303">
        <f t="shared" si="7"/>
        <v>164.8</v>
      </c>
      <c r="M22" s="389">
        <v>7.7</v>
      </c>
      <c r="N22" s="446">
        <f t="shared" si="8"/>
        <v>96</v>
      </c>
      <c r="O22" s="446" t="s">
        <v>557</v>
      </c>
      <c r="P22" s="679">
        <v>1.5</v>
      </c>
      <c r="Q22" s="446">
        <v>7</v>
      </c>
      <c r="R22" s="501">
        <f t="shared" si="9"/>
        <v>1</v>
      </c>
      <c r="S22" s="501">
        <f t="shared" si="10"/>
        <v>1</v>
      </c>
      <c r="T22" s="324">
        <v>44920</v>
      </c>
      <c r="U22" s="627">
        <f t="shared" si="2"/>
        <v>-8610</v>
      </c>
      <c r="V22" s="324">
        <v>2310</v>
      </c>
      <c r="W22" s="316">
        <f t="shared" si="3"/>
        <v>19.445887445887447</v>
      </c>
      <c r="X22" s="486">
        <v>0</v>
      </c>
      <c r="Y22" s="487">
        <f>5+(5/7)+0.07+0.21+0.07+0.07+0.07+0.07+0.07+0.07+0.06+0.03+0.03+0.03+0.03+0.03+0.2*33/90+0.03+0.03+0.02+0.02+0.01+0.01+0.01+0.01</f>
        <v>6.8376190476190493</v>
      </c>
      <c r="Z22" s="486">
        <f>8+1/8*0.5+1/8*0.5+1/8+1/8*0.5+1/8*0.5+1/8+1/8</f>
        <v>8.625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11.529104591311226</v>
      </c>
      <c r="AG22" s="604">
        <f t="shared" si="12"/>
        <v>11.529104591311226</v>
      </c>
      <c r="AH22" s="316">
        <f t="shared" si="13"/>
        <v>4.3662416026940916</v>
      </c>
      <c r="AI22" s="316">
        <f t="shared" si="14"/>
        <v>23.283821146797813</v>
      </c>
      <c r="AJ22" s="316">
        <f t="shared" si="15"/>
        <v>18.520854591311224</v>
      </c>
      <c r="AK22" s="316">
        <f t="shared" si="16"/>
        <v>1.2196533673048979</v>
      </c>
      <c r="AL22" s="316">
        <f t="shared" si="17"/>
        <v>1.0359920832965477</v>
      </c>
      <c r="AM22" s="311">
        <f t="shared" si="18"/>
        <v>21.490449632940223</v>
      </c>
      <c r="AN22" s="311">
        <f t="shared" si="19"/>
        <v>21.490449632940223</v>
      </c>
      <c r="AO22" s="446">
        <v>4</v>
      </c>
      <c r="AP22" s="446">
        <v>2</v>
      </c>
      <c r="AQ22" s="591">
        <f t="shared" si="20"/>
        <v>0.157</v>
      </c>
      <c r="AR22" s="254">
        <v>53530</v>
      </c>
      <c r="AS22">
        <f t="shared" si="21"/>
        <v>53530</v>
      </c>
      <c r="AT22" s="390">
        <f t="shared" si="22"/>
        <v>8610</v>
      </c>
    </row>
    <row r="23" spans="1:46" s="259" customFormat="1" x14ac:dyDescent="0.25">
      <c r="A23" s="384" t="s">
        <v>568</v>
      </c>
      <c r="B23" s="384" t="s">
        <v>66</v>
      </c>
      <c r="C23" s="385">
        <f t="shared" ca="1" si="4"/>
        <v>3.3392857142857144</v>
      </c>
      <c r="D23" s="658" t="s">
        <v>862</v>
      </c>
      <c r="E23" s="387">
        <v>30</v>
      </c>
      <c r="F23" s="211">
        <f ca="1">-41471+$D$1-748-112-112-12-112-112-112-22-112-112</f>
        <v>74</v>
      </c>
      <c r="G23" s="388" t="s">
        <v>268</v>
      </c>
      <c r="H23" s="371">
        <v>3</v>
      </c>
      <c r="I23" s="308">
        <v>10.5</v>
      </c>
      <c r="J23" s="487">
        <f t="shared" si="5"/>
        <v>1.4142637871381487</v>
      </c>
      <c r="K23" s="303">
        <f t="shared" si="6"/>
        <v>94.5</v>
      </c>
      <c r="L23" s="303">
        <f t="shared" si="7"/>
        <v>168</v>
      </c>
      <c r="M23" s="389">
        <v>7.5</v>
      </c>
      <c r="N23" s="446">
        <f t="shared" si="8"/>
        <v>94</v>
      </c>
      <c r="O23" s="678">
        <v>42869</v>
      </c>
      <c r="P23" s="679">
        <f ca="1">IF((TODAY()-O23)&gt;335,1,((TODAY()-O23)^0.64)/(336^0.64))</f>
        <v>0.81055912016406673</v>
      </c>
      <c r="Q23" s="446">
        <v>5</v>
      </c>
      <c r="R23" s="501">
        <f t="shared" si="9"/>
        <v>0.84515425472851657</v>
      </c>
      <c r="S23" s="501">
        <f t="shared" si="10"/>
        <v>0.92504826128926143</v>
      </c>
      <c r="T23" s="324">
        <v>257420</v>
      </c>
      <c r="U23" s="627">
        <f t="shared" si="2"/>
        <v>-21310</v>
      </c>
      <c r="V23" s="324">
        <v>34128</v>
      </c>
      <c r="W23" s="316">
        <f t="shared" si="3"/>
        <v>7.5427801218940456</v>
      </c>
      <c r="X23" s="486">
        <v>0</v>
      </c>
      <c r="Y23" s="487">
        <f>2.98+0.02+0.02</f>
        <v>3.02</v>
      </c>
      <c r="Z23" s="486">
        <f>14+0.09*0.16+0.09*0.5+0.09*0.16+0.01+0.01+0.01+1/21*0.5+0.01</f>
        <v>14.137609523809523</v>
      </c>
      <c r="AA23" s="487">
        <f>3+0.02</f>
        <v>3.02</v>
      </c>
      <c r="AB23" s="486">
        <f>15+0.01+0.01</f>
        <v>15.02</v>
      </c>
      <c r="AC23" s="487">
        <v>10</v>
      </c>
      <c r="AD23" s="486">
        <f>9+0.3</f>
        <v>9.3000000000000007</v>
      </c>
      <c r="AE23" s="324">
        <v>1941</v>
      </c>
      <c r="AF23" s="604">
        <f t="shared" ca="1" si="11"/>
        <v>13.828779386861951</v>
      </c>
      <c r="AG23" s="604">
        <f t="shared" ca="1" si="12"/>
        <v>15.1486688258935</v>
      </c>
      <c r="AH23" s="316">
        <f t="shared" ca="1" si="13"/>
        <v>4.19771941246207</v>
      </c>
      <c r="AI23" s="316">
        <f t="shared" ca="1" si="14"/>
        <v>16.084856292426906</v>
      </c>
      <c r="AJ23" s="316">
        <f t="shared" ca="1" si="15"/>
        <v>9.917735508592127</v>
      </c>
      <c r="AK23" s="316">
        <f t="shared" ca="1" si="16"/>
        <v>0.95698583258417713</v>
      </c>
      <c r="AL23" s="316">
        <f t="shared" ca="1" si="17"/>
        <v>0.55553760351115511</v>
      </c>
      <c r="AM23" s="311">
        <f t="shared" ca="1" si="18"/>
        <v>9.6957320327471219</v>
      </c>
      <c r="AN23" s="311">
        <f t="shared" ca="1" si="19"/>
        <v>10.621142291722034</v>
      </c>
      <c r="AO23" s="446">
        <v>1</v>
      </c>
      <c r="AP23" s="446">
        <v>3</v>
      </c>
      <c r="AQ23" s="591">
        <f t="shared" si="20"/>
        <v>4.9399999999999999E-2</v>
      </c>
      <c r="AR23" s="259">
        <v>278730</v>
      </c>
      <c r="AS23">
        <f t="shared" si="21"/>
        <v>278730</v>
      </c>
      <c r="AT23" s="390">
        <f t="shared" si="22"/>
        <v>21310</v>
      </c>
    </row>
    <row r="24" spans="1:46" s="264" customFormat="1" x14ac:dyDescent="0.25">
      <c r="A24" s="384" t="s">
        <v>540</v>
      </c>
      <c r="B24" s="384" t="s">
        <v>66</v>
      </c>
      <c r="C24" s="385">
        <f t="shared" ca="1" si="4"/>
        <v>6.6785714285714288</v>
      </c>
      <c r="D24" s="659" t="s">
        <v>541</v>
      </c>
      <c r="E24" s="210">
        <v>27</v>
      </c>
      <c r="F24" s="211">
        <f ca="1">7-41471+$D$1-112-111-43-112-112-1-112-112-112-112-112-112-112-112-112-112</f>
        <v>36</v>
      </c>
      <c r="G24" s="262"/>
      <c r="H24" s="396">
        <v>5</v>
      </c>
      <c r="I24" s="214">
        <v>5.5</v>
      </c>
      <c r="J24" s="487">
        <f t="shared" si="5"/>
        <v>1.0838844755238075</v>
      </c>
      <c r="K24" s="303">
        <f t="shared" si="6"/>
        <v>137.5</v>
      </c>
      <c r="L24" s="303">
        <f t="shared" si="7"/>
        <v>198</v>
      </c>
      <c r="M24" s="296">
        <v>8</v>
      </c>
      <c r="N24" s="446">
        <f t="shared" si="8"/>
        <v>99</v>
      </c>
      <c r="O24" s="446" t="s">
        <v>557</v>
      </c>
      <c r="P24" s="679">
        <v>1.5</v>
      </c>
      <c r="Q24" s="447">
        <v>6</v>
      </c>
      <c r="R24" s="501">
        <f t="shared" si="9"/>
        <v>0.92582009977255142</v>
      </c>
      <c r="S24" s="501">
        <f t="shared" si="10"/>
        <v>0.99928545900129484</v>
      </c>
      <c r="T24" s="628">
        <v>38330</v>
      </c>
      <c r="U24" s="627">
        <f t="shared" si="2"/>
        <v>810</v>
      </c>
      <c r="V24" s="628">
        <v>3090</v>
      </c>
      <c r="W24" s="316">
        <f t="shared" si="3"/>
        <v>12.40453074433657</v>
      </c>
      <c r="X24" s="486">
        <v>0</v>
      </c>
      <c r="Y24" s="487">
        <f>4+0.01+0.01</f>
        <v>4.0199999999999996</v>
      </c>
      <c r="Z24" s="486">
        <f>4.6+0.05+0.05+0.05+0.04+0.04+0.16+(0.16*30/90)+(0.16*60/90*0.16)+0.04+0.04+0.04+0.25/8+0.04+0.04+0.04+0.04+0.04+0.04+0.02+0.02*10/90+0.02+0.02+0.02+0.01+0.01</f>
        <v>5.5538722222222203</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7.5340987178319763</v>
      </c>
      <c r="AG24" s="604">
        <f t="shared" si="12"/>
        <v>8.1377566977460276</v>
      </c>
      <c r="AH24" s="316">
        <f t="shared" si="13"/>
        <v>3.8620184381204199</v>
      </c>
      <c r="AI24" s="316">
        <f t="shared" si="14"/>
        <v>18.044531263868517</v>
      </c>
      <c r="AJ24" s="316">
        <f t="shared" si="15"/>
        <v>13.513178651733083</v>
      </c>
      <c r="AK24" s="316">
        <f t="shared" si="16"/>
        <v>1.0329357580419045</v>
      </c>
      <c r="AL24" s="316">
        <f t="shared" si="17"/>
        <v>0.74867191328666649</v>
      </c>
      <c r="AM24" s="311">
        <f t="shared" si="18"/>
        <v>14.862946381980356</v>
      </c>
      <c r="AN24" s="311">
        <f t="shared" si="19"/>
        <v>16.053816919325659</v>
      </c>
      <c r="AO24" s="447">
        <v>2</v>
      </c>
      <c r="AP24" s="447">
        <v>1</v>
      </c>
      <c r="AQ24" s="591">
        <f t="shared" si="20"/>
        <v>6.1499999999999999E-2</v>
      </c>
      <c r="AR24" s="264">
        <v>37520</v>
      </c>
      <c r="AS24">
        <f t="shared" si="21"/>
        <v>37520</v>
      </c>
      <c r="AT24" s="390">
        <f>AS24-T24</f>
        <v>-810</v>
      </c>
    </row>
    <row r="25" spans="1:46" x14ac:dyDescent="0.25">
      <c r="G25" s="4"/>
      <c r="H25"/>
      <c r="I25" s="284"/>
      <c r="J25" s="488"/>
      <c r="K25"/>
      <c r="T25" s="244">
        <f>SUM(T5:T24)+T3</f>
        <v>2176170</v>
      </c>
      <c r="U25" s="244">
        <f>SUM(U5:U24)</f>
        <v>114020</v>
      </c>
      <c r="V25" s="244">
        <f>SUM(V5:V24)+V3</f>
        <v>292048</v>
      </c>
      <c r="W25" s="315">
        <f t="shared" si="3"/>
        <v>7.4514120966416479</v>
      </c>
      <c r="X25"/>
      <c r="AD25" s="312"/>
      <c r="AE25" s="244">
        <f>AVERAGE(AE5:AE24)</f>
        <v>1484.9</v>
      </c>
      <c r="AH25" s="244"/>
      <c r="AI25" s="244"/>
      <c r="AJ25" s="244"/>
      <c r="AK25" s="244"/>
      <c r="AL25" s="244"/>
      <c r="AM25" s="244"/>
      <c r="AN25" s="244"/>
    </row>
    <row r="26" spans="1:46" x14ac:dyDescent="0.25">
      <c r="G26" s="456"/>
      <c r="K26" s="456"/>
      <c r="M26" s="456"/>
      <c r="N26" s="456"/>
      <c r="Q26" s="456"/>
      <c r="T26" s="313"/>
      <c r="U26" s="313"/>
      <c r="V26" s="313">
        <f>V25-V3</f>
        <v>291724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33</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2.0499999999999989</v>
      </c>
      <c r="N3" s="163">
        <f>PLANTILLA!AA5</f>
        <v>2.1399999999999992</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1.1280158284798893</v>
      </c>
      <c r="AE3" s="159">
        <f>((L3+I3+(LOG(J3)*4/3))*0.378)</f>
        <v>5.5831060196465891</v>
      </c>
      <c r="AF3" s="159">
        <f>(L3+I3+(LOG(J3)*4/3))*0.723</f>
        <v>10.678798021704983</v>
      </c>
      <c r="AG3" s="159">
        <f>AE3/2</f>
        <v>2.7915530098232946</v>
      </c>
      <c r="AH3" s="159">
        <f>(M3+I3+(LOG(J3)*4/3))*0.385</f>
        <v>1.8247314872468798</v>
      </c>
      <c r="AI3" s="159">
        <f>((L3+I3+(LOG(J3)*4/3))*0.92)</f>
        <v>13.588512005489052</v>
      </c>
      <c r="AJ3" s="159">
        <f>(L3+I3+(LOG(J3)*4/3))*0.414</f>
        <v>6.1148304024700737</v>
      </c>
      <c r="AK3" s="159">
        <f>((M3+I3+(LOG(J3)*4/3))*0.167)</f>
        <v>0.79150690485773756</v>
      </c>
      <c r="AL3" s="159">
        <f>(N3+I3+(LOG(J3)*4/3))*0.588</f>
        <v>2.8397826350679622</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4.474146815483258</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4.7395623045373503</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4.1755543902974059</v>
      </c>
      <c r="BH3" s="159">
        <f>((N3+I3+(LOG(J3)*4/3))*0.574)+((O3+I3+(LOG(J3)*4/3))*0.315)</f>
        <v>3.9469808887337052</v>
      </c>
      <c r="BI3" s="159">
        <f>((O3+I3+(LOG(J3)*4/3))*0.241)</f>
        <v>0.89882451539350161</v>
      </c>
      <c r="BJ3" s="159">
        <f>((L3+I3+(LOG(J3)*4/3))*0.485)</f>
        <v>7.1635090463719457</v>
      </c>
      <c r="BK3" s="159">
        <f>((L3+I3+(LOG(J3)*4/3))*0.264)</f>
        <v>3.8993121407055544</v>
      </c>
      <c r="BL3" s="159">
        <f>((M3+I3+(LOG(J3)*4/3))*0.381)</f>
        <v>1.8057732380287306</v>
      </c>
      <c r="BM3" s="159">
        <f>((N3+I3+(LOG(J3)*4/3))*0.673)+((O3+I3+(LOG(J3)*4/3))*0.201)</f>
        <v>3.9999374541656452</v>
      </c>
      <c r="BN3" s="159">
        <f>((O3+I3+(LOG(J3)*4/3))*0.052)</f>
        <v>0.19393723983594227</v>
      </c>
      <c r="BO3" s="159">
        <f>((L3+I3+(LOG(J3)*4/3))*0.18)</f>
        <v>2.6586219141174232</v>
      </c>
      <c r="BP3" s="159">
        <f>(L3+I3+(LOG(J3)*4/3))*0.068</f>
        <v>1.0043682786665822</v>
      </c>
      <c r="BQ3" s="159">
        <f>((M3+I3+(LOG(J3)*4/3))*0.305)</f>
        <v>1.4455665028838918</v>
      </c>
      <c r="BR3" s="159">
        <f>((N3+I3+(LOG(J3)*4/3))*1)+((O3+I3+(LOG(J3)*4/3))*0.286)</f>
        <v>5.8962171236350329</v>
      </c>
      <c r="BS3" s="159">
        <f>((O3+I3+(LOG(J3)*4/3))*0.135)</f>
        <v>0.50349091111254252</v>
      </c>
      <c r="BT3" s="159">
        <f>((L3+I3+(LOG(J3)*4/3))*0.284)</f>
        <v>4.1947145756074899</v>
      </c>
      <c r="BU3" s="159">
        <f>(L3+I3+(LOG(J3)*4/3))*0.244</f>
        <v>3.603909705803618</v>
      </c>
      <c r="BV3" s="159">
        <f>((M3+I3+(LOG(J3)*4/3))*0.455)</f>
        <v>2.1565008485644945</v>
      </c>
      <c r="BW3" s="159">
        <f>((N3+I3+(LOG(J3)*4/3))*0.864)+((O3+I3+(LOG(J3)*4/3))*0.244)</f>
        <v>5.082755033427385</v>
      </c>
      <c r="BX3" s="159">
        <f>((O3+I3+(LOG(J3)*4/3))*0.121)</f>
        <v>0.45127703884901949</v>
      </c>
      <c r="BY3" s="159">
        <f>((L3+I3+(LOG(J3)*4/3))*0.284)</f>
        <v>4.1947145756074899</v>
      </c>
      <c r="BZ3" s="159">
        <f>((L3+I3+(LOG(J3)*4/3))*0.244)</f>
        <v>3.603909705803618</v>
      </c>
      <c r="CA3" s="159">
        <f>((M3+I3+(LOG(J3)*4/3))*0.631)</f>
        <v>2.9906638141630681</v>
      </c>
      <c r="CB3" s="159">
        <f>((N3+I3+(LOG(J3)*4/3))*0.702)+((O3+I3+(LOG(J3)*4/3))*0.193)</f>
        <v>4.1101582625609288</v>
      </c>
      <c r="CC3" s="159">
        <f>((O3+I3+(LOG(J3)*4/3))*0.148)</f>
        <v>0.55197522107152797</v>
      </c>
      <c r="CD3" s="159">
        <f>((M3+I3+(LOG(J3)*4/3))*0.406)</f>
        <v>1.9242622956421644</v>
      </c>
      <c r="CE3" s="159">
        <f>IF(D3="TEC",((N3+I3+(LOG(J3)*4/3))*0.15)+((O3+I3+(LOG(J3)*4/3))*0.324)+((P3+I3+(LOG(J3)*4/3))*0.127),(((N3+I3+(LOG(J3)*4/3))*0.144)+((O3+I3+(LOG(J3)*4/3))*0.25)+((P3+I3+(LOG(J3)*4/3))*0.127)))</f>
        <v>1.9872725162195155</v>
      </c>
      <c r="CF3" s="159">
        <f>((O3+I3+(LOG(J3)*4/3))*0.543)+((P3+I3+(LOG(J3)*4/3))*0.583)</f>
        <v>3.6751110437979468</v>
      </c>
      <c r="CG3" s="159">
        <f>CE3</f>
        <v>1.9872725162195155</v>
      </c>
      <c r="CH3" s="159">
        <f>((P3+1+(LOG(J3)*4/3))*0.26)+((N3+I3+(LOG(J3)*4/3))*0.221)+((O3+I3+(LOG(J3)*4/3))*0.142)</f>
        <v>2.3327617601712145</v>
      </c>
      <c r="CI3" s="159">
        <f>((P3+I3+(LOG(J3)*4/3))*1)+((O3+I3+(LOG(J3)*4/3))*0.369)</f>
        <v>4.2063263504671902</v>
      </c>
      <c r="CJ3" s="159">
        <f>CH3</f>
        <v>2.3327617601712145</v>
      </c>
      <c r="CK3" s="159">
        <f>((M3+I3+(LOG(J3)*4/3))*0.25)</f>
        <v>1.1848905761343376</v>
      </c>
    </row>
    <row r="4" spans="1:89" x14ac:dyDescent="0.25">
      <c r="A4" t="str">
        <f>PLANTILLA!D6</f>
        <v>T. Hammond</v>
      </c>
      <c r="B4" s="488">
        <f>PLANTILLA!E6</f>
        <v>34</v>
      </c>
      <c r="C4" s="488">
        <f ca="1">PLANTILLA!F6</f>
        <v>42</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90</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6.199444444444441</v>
      </c>
      <c r="N5" s="163">
        <f>PLANTILLA!AA8</f>
        <v>6.04</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2.111979291061548</v>
      </c>
      <c r="AE5" s="159">
        <f t="shared" si="15"/>
        <v>5.1981620505095192</v>
      </c>
      <c r="AF5" s="159">
        <f t="shared" si="16"/>
        <v>9.9425163029586834</v>
      </c>
      <c r="AG5" s="159">
        <f t="shared" si="17"/>
        <v>2.5990810252547596</v>
      </c>
      <c r="AH5" s="159">
        <f t="shared" si="18"/>
        <v>3.4164370884819162</v>
      </c>
      <c r="AI5" s="159">
        <f t="shared" si="19"/>
        <v>12.65161133986444</v>
      </c>
      <c r="AJ5" s="159">
        <f t="shared" si="20"/>
        <v>5.6932251029389969</v>
      </c>
      <c r="AK5" s="159">
        <f t="shared" si="21"/>
        <v>1.481935048770078</v>
      </c>
      <c r="AL5" s="159">
        <f t="shared" si="22"/>
        <v>5.1240778563481397</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8.3769262637063076</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8.8738625674854958</v>
      </c>
      <c r="BB5" s="159">
        <f t="shared" si="38"/>
        <v>2.6304905629071653</v>
      </c>
      <c r="BC5" s="159">
        <f t="shared" si="39"/>
        <v>5.0275716080178441</v>
      </c>
      <c r="BD5" s="159">
        <f t="shared" si="40"/>
        <v>1.3152452814535827</v>
      </c>
      <c r="BE5" s="159">
        <f t="shared" si="41"/>
        <v>4.0017596738049468</v>
      </c>
      <c r="BF5" s="159">
        <f t="shared" si="42"/>
        <v>4.7856095068182869</v>
      </c>
      <c r="BG5" s="159">
        <f t="shared" si="43"/>
        <v>7.8178729219547218</v>
      </c>
      <c r="BH5" s="159">
        <f t="shared" si="44"/>
        <v>8.2771927113834991</v>
      </c>
      <c r="BI5" s="159">
        <f t="shared" si="45"/>
        <v>2.5057242120973391</v>
      </c>
      <c r="BJ5" s="159">
        <f t="shared" si="46"/>
        <v>6.6695994563415786</v>
      </c>
      <c r="BK5" s="159">
        <f t="shared" si="47"/>
        <v>3.630462384482839</v>
      </c>
      <c r="BL5" s="159">
        <f t="shared" si="48"/>
        <v>3.3809416382119739</v>
      </c>
      <c r="BM5" s="159">
        <f t="shared" si="49"/>
        <v>7.9546397728712162</v>
      </c>
      <c r="BN5" s="159">
        <f t="shared" si="50"/>
        <v>0.54065418684257938</v>
      </c>
      <c r="BO5" s="159">
        <f t="shared" si="51"/>
        <v>2.4753152621473902</v>
      </c>
      <c r="BP5" s="159">
        <f t="shared" si="52"/>
        <v>0.93511909903345858</v>
      </c>
      <c r="BQ5" s="159">
        <f t="shared" si="53"/>
        <v>2.706528083083076</v>
      </c>
      <c r="BR5" s="159">
        <f t="shared" si="54"/>
        <v>11.688016150675242</v>
      </c>
      <c r="BS5" s="159">
        <f t="shared" si="55"/>
        <v>1.4036214466105428</v>
      </c>
      <c r="BT5" s="159">
        <f t="shared" si="56"/>
        <v>3.9054974136103264</v>
      </c>
      <c r="BU5" s="159">
        <f t="shared" si="57"/>
        <v>3.3554273553553511</v>
      </c>
      <c r="BV5" s="159">
        <f t="shared" si="58"/>
        <v>4.0376074682059011</v>
      </c>
      <c r="BW5" s="159">
        <f t="shared" si="59"/>
        <v>10.066173058107267</v>
      </c>
      <c r="BX5" s="159">
        <f t="shared" si="60"/>
        <v>1.258060703999079</v>
      </c>
      <c r="BY5" s="159">
        <f t="shared" si="61"/>
        <v>3.9054974136103264</v>
      </c>
      <c r="BZ5" s="159">
        <f t="shared" si="62"/>
        <v>3.3554273553553511</v>
      </c>
      <c r="CA5" s="159">
        <f t="shared" si="63"/>
        <v>5.5994072800833479</v>
      </c>
      <c r="CB5" s="159">
        <f t="shared" si="64"/>
        <v>8.1241803312328553</v>
      </c>
      <c r="CC5" s="159">
        <f t="shared" si="65"/>
        <v>1.5387849933211875</v>
      </c>
      <c r="CD5" s="159">
        <f t="shared" si="66"/>
        <v>3.6027882023991116</v>
      </c>
      <c r="CE5" s="159">
        <f t="shared" si="67"/>
        <v>4.7505096198821679</v>
      </c>
      <c r="CF5" s="159">
        <f t="shared" si="68"/>
        <v>9.7603464732108947</v>
      </c>
      <c r="CG5" s="159">
        <f t="shared" si="69"/>
        <v>4.7505096198821679</v>
      </c>
      <c r="CH5" s="159">
        <f t="shared" si="70"/>
        <v>5.1073036017656879</v>
      </c>
      <c r="CI5" s="159">
        <f t="shared" si="71"/>
        <v>10.894316743776537</v>
      </c>
      <c r="CJ5" s="159">
        <f t="shared" si="72"/>
        <v>5.1073036017656879</v>
      </c>
      <c r="CK5" s="159">
        <f t="shared" si="73"/>
        <v>2.218465641871374</v>
      </c>
    </row>
    <row r="6" spans="1:89" x14ac:dyDescent="0.25">
      <c r="A6" t="str">
        <f>PLANTILLA!D9</f>
        <v>E. Toney</v>
      </c>
      <c r="B6" s="488">
        <f>PLANTILLA!E9</f>
        <v>31</v>
      </c>
      <c r="C6" s="488">
        <f ca="1">PLANTILLA!F9</f>
        <v>44</v>
      </c>
      <c r="D6" s="488"/>
      <c r="E6" s="290">
        <v>41539</v>
      </c>
      <c r="F6" s="341">
        <f>PLANTILLA!Q9</f>
        <v>5</v>
      </c>
      <c r="G6" s="407">
        <f t="shared" ref="G6:G10" si="74">(F6/7)^0.5</f>
        <v>0.84515425472851657</v>
      </c>
      <c r="H6" s="407">
        <f>IF(F6=7,1,((F6+0.99)/7)^0.5)</f>
        <v>0.92504826128926143</v>
      </c>
      <c r="I6" s="497">
        <v>1.5</v>
      </c>
      <c r="J6" s="498">
        <f>PLANTILLA!I9</f>
        <v>12.4</v>
      </c>
      <c r="K6" s="163">
        <f>PLANTILLA!X9</f>
        <v>0</v>
      </c>
      <c r="L6" s="163">
        <f>PLANTILLA!Y9</f>
        <v>12.200000000000005</v>
      </c>
      <c r="M6" s="163">
        <f>PLANTILLA!Z9</f>
        <v>13.156555555555553</v>
      </c>
      <c r="N6" s="163">
        <f>PLANTILLA!AA9</f>
        <v>9.8200000000000056</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16.130338042867397</v>
      </c>
      <c r="W6" s="163">
        <f t="shared" ca="1" si="7"/>
        <v>17.655168955347207</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3.8352393703137038</v>
      </c>
      <c r="AE6" s="159">
        <f t="shared" si="15"/>
        <v>5.7296845293217684</v>
      </c>
      <c r="AF6" s="159">
        <f t="shared" si="16"/>
        <v>10.959158504496397</v>
      </c>
      <c r="AG6" s="159">
        <f t="shared" si="17"/>
        <v>2.8648422646608842</v>
      </c>
      <c r="AH6" s="159">
        <f t="shared" si="18"/>
        <v>6.2040636872721686</v>
      </c>
      <c r="AI6" s="159">
        <f t="shared" si="19"/>
        <v>13.945263933799012</v>
      </c>
      <c r="AJ6" s="159">
        <f t="shared" si="20"/>
        <v>6.2753687702095551</v>
      </c>
      <c r="AK6" s="159">
        <f t="shared" si="21"/>
        <v>2.6911133396739015</v>
      </c>
      <c r="AL6" s="159">
        <f t="shared" si="22"/>
        <v>7.5134026011671953</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15.212041872168641</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16.114451135771866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14.196831450615013</v>
      </c>
      <c r="BH6" s="159">
        <f t="shared" si="44"/>
        <v>11.290249170812306</v>
      </c>
      <c r="BI6" s="159">
        <f t="shared" si="45"/>
        <v>3.0264528348321313</v>
      </c>
      <c r="BJ6" s="159">
        <f t="shared" si="46"/>
        <v>7.3515793564049137</v>
      </c>
      <c r="BK6" s="159">
        <f t="shared" si="47"/>
        <v>4.0016844331771084</v>
      </c>
      <c r="BL6" s="159">
        <f t="shared" si="48"/>
        <v>6.1396058827290805</v>
      </c>
      <c r="BM6" s="159">
        <f t="shared" si="49"/>
        <v>11.123660737109061</v>
      </c>
      <c r="BN6" s="159">
        <f t="shared" si="50"/>
        <v>0.65301057017124819</v>
      </c>
      <c r="BO6" s="159">
        <f t="shared" si="51"/>
        <v>2.7284212044389369</v>
      </c>
      <c r="BP6" s="159">
        <f t="shared" si="52"/>
        <v>1.0307368994547097</v>
      </c>
      <c r="BQ6" s="159">
        <f t="shared" si="53"/>
        <v>4.9149075964104192</v>
      </c>
      <c r="BR6" s="159">
        <f t="shared" si="54"/>
        <v>16.369453716158183</v>
      </c>
      <c r="BS6" s="159">
        <f t="shared" si="55"/>
        <v>1.6953159033292022</v>
      </c>
      <c r="BT6" s="159">
        <f t="shared" si="56"/>
        <v>4.3048423447814335</v>
      </c>
      <c r="BU6" s="159">
        <f t="shared" si="57"/>
        <v>3.6985265215727816</v>
      </c>
      <c r="BV6" s="159">
        <f t="shared" si="58"/>
        <v>7.332075266776199</v>
      </c>
      <c r="BW6" s="159">
        <f t="shared" si="59"/>
        <v>14.104228302879678</v>
      </c>
      <c r="BX6" s="159">
        <f t="shared" si="60"/>
        <v>1.5195053652061739</v>
      </c>
      <c r="BY6" s="159">
        <f t="shared" si="61"/>
        <v>4.3048423447814335</v>
      </c>
      <c r="BZ6" s="159">
        <f t="shared" si="62"/>
        <v>3.6985265215727816</v>
      </c>
      <c r="CA6" s="159">
        <f t="shared" si="63"/>
        <v>10.168218666672047</v>
      </c>
      <c r="CB6" s="159">
        <f t="shared" si="64"/>
        <v>11.393756544293604</v>
      </c>
      <c r="CC6" s="159">
        <f t="shared" si="65"/>
        <v>1.8585685458720143</v>
      </c>
      <c r="CD6" s="159">
        <f t="shared" si="66"/>
        <v>6.542467161123378</v>
      </c>
      <c r="CE6" s="159">
        <f t="shared" si="67"/>
        <v>5.8227152639593669</v>
      </c>
      <c r="CF6" s="159">
        <f t="shared" si="68"/>
        <v>10.689802089990234</v>
      </c>
      <c r="CG6" s="159">
        <f t="shared" si="69"/>
        <v>5.8227152639593669</v>
      </c>
      <c r="CH6" s="159">
        <f t="shared" si="70"/>
        <v>6.2034222798080974</v>
      </c>
      <c r="CI6" s="159">
        <f t="shared" si="71"/>
        <v>11.2734257159828</v>
      </c>
      <c r="CJ6" s="159">
        <f t="shared" si="72"/>
        <v>6.2034222798080974</v>
      </c>
      <c r="CK6" s="159">
        <f t="shared" si="73"/>
        <v>4.0286127839429664</v>
      </c>
    </row>
    <row r="7" spans="1:89" x14ac:dyDescent="0.25">
      <c r="A7" t="str">
        <f>PLANTILLA!D10</f>
        <v>B. Bartolache</v>
      </c>
      <c r="B7" s="488">
        <f>PLANTILLA!E10</f>
        <v>31</v>
      </c>
      <c r="C7" s="488">
        <f ca="1">PLANTILLA!F10</f>
        <v>29</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7.0025000000000022</v>
      </c>
      <c r="N7" s="163">
        <f>PLANTILLA!AA10</f>
        <v>7.4300000000000015</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2.3338592907449942</v>
      </c>
      <c r="AE7" s="159">
        <f t="shared" si="15"/>
        <v>5.5957726970655779</v>
      </c>
      <c r="AF7" s="159">
        <f t="shared" si="16"/>
        <v>10.703025555498446</v>
      </c>
      <c r="AG7" s="159">
        <f t="shared" si="17"/>
        <v>2.7978863485327889</v>
      </c>
      <c r="AH7" s="159">
        <f t="shared" si="18"/>
        <v>3.775360617381609</v>
      </c>
      <c r="AI7" s="159">
        <f t="shared" si="19"/>
        <v>13.619340955820983</v>
      </c>
      <c r="AJ7" s="159">
        <f t="shared" si="20"/>
        <v>6.1287034301194421</v>
      </c>
      <c r="AK7" s="159">
        <f t="shared" si="21"/>
        <v>1.6376239561109835</v>
      </c>
      <c r="AL7" s="159">
        <f t="shared" si="22"/>
        <v>6.017375306546457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9.2569881111902301</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9.8061314737184642</v>
      </c>
      <c r="BB7" s="159">
        <f t="shared" si="38"/>
        <v>2.9913787628507706</v>
      </c>
      <c r="BC7" s="159">
        <f t="shared" si="39"/>
        <v>5.5908209420188717</v>
      </c>
      <c r="BD7" s="159">
        <f t="shared" si="40"/>
        <v>1.4956893814253853</v>
      </c>
      <c r="BE7" s="159">
        <f t="shared" si="41"/>
        <v>4.3078567588520711</v>
      </c>
      <c r="BF7" s="159">
        <f t="shared" si="42"/>
        <v>5.1516637528540237</v>
      </c>
      <c r="BG7" s="159">
        <f t="shared" si="43"/>
        <v>8.6392018283459677</v>
      </c>
      <c r="BH7" s="159">
        <f t="shared" si="44"/>
        <v>9.5985483801357123</v>
      </c>
      <c r="BI7" s="159">
        <f t="shared" si="45"/>
        <v>2.8494951851661487</v>
      </c>
      <c r="BJ7" s="159">
        <f t="shared" si="46"/>
        <v>7.179761264753453</v>
      </c>
      <c r="BK7" s="159">
        <f t="shared" si="47"/>
        <v>3.9081587090616736</v>
      </c>
      <c r="BL7" s="159">
        <f t="shared" si="48"/>
        <v>3.7361360914867348</v>
      </c>
      <c r="BM7" s="159">
        <f t="shared" si="49"/>
        <v>9.2637839080299376</v>
      </c>
      <c r="BN7" s="159">
        <f t="shared" si="50"/>
        <v>0.61482883663335997</v>
      </c>
      <c r="BO7" s="159">
        <f t="shared" si="51"/>
        <v>2.6646536652693227</v>
      </c>
      <c r="BP7" s="159">
        <f t="shared" si="52"/>
        <v>1.0066469402128553</v>
      </c>
      <c r="BQ7" s="159">
        <f t="shared" si="53"/>
        <v>2.9908700994841313</v>
      </c>
      <c r="BR7" s="159">
        <f t="shared" si="54"/>
        <v>13.615190075201944</v>
      </c>
      <c r="BS7" s="159">
        <f t="shared" si="55"/>
        <v>1.5961902489519924</v>
      </c>
      <c r="BT7" s="159">
        <f t="shared" si="56"/>
        <v>4.2042313385360419</v>
      </c>
      <c r="BU7" s="159">
        <f t="shared" si="57"/>
        <v>3.612086079587304</v>
      </c>
      <c r="BV7" s="159">
        <f t="shared" si="58"/>
        <v>4.4617898205419015</v>
      </c>
      <c r="BW7" s="159">
        <f t="shared" si="59"/>
        <v>11.726823672880057</v>
      </c>
      <c r="BX7" s="159">
        <f t="shared" si="60"/>
        <v>1.4306594083199338</v>
      </c>
      <c r="BY7" s="159">
        <f t="shared" si="61"/>
        <v>4.2042313385360419</v>
      </c>
      <c r="BZ7" s="159">
        <f t="shared" si="62"/>
        <v>3.612086079587304</v>
      </c>
      <c r="CA7" s="159">
        <f t="shared" si="63"/>
        <v>6.1876689599163512</v>
      </c>
      <c r="CB7" s="159">
        <f t="shared" si="64"/>
        <v>9.4659701689780249</v>
      </c>
      <c r="CC7" s="159">
        <f t="shared" si="65"/>
        <v>1.7498974581103321</v>
      </c>
      <c r="CD7" s="159">
        <f t="shared" si="66"/>
        <v>3.9812893783296968</v>
      </c>
      <c r="CE7" s="159">
        <f t="shared" si="67"/>
        <v>5.3723519978073178</v>
      </c>
      <c r="CF7" s="159">
        <f t="shared" si="68"/>
        <v>10.748209039406987</v>
      </c>
      <c r="CG7" s="159">
        <f t="shared" si="69"/>
        <v>5.3723519978073178</v>
      </c>
      <c r="CH7" s="159">
        <f t="shared" si="70"/>
        <v>5.7407324081266022</v>
      </c>
      <c r="CI7" s="159">
        <f t="shared" si="71"/>
        <v>11.786551487520573</v>
      </c>
      <c r="CJ7" s="159">
        <f t="shared" si="72"/>
        <v>5.7407324081266022</v>
      </c>
      <c r="CK7" s="159">
        <f t="shared" si="73"/>
        <v>2.451532868429616</v>
      </c>
    </row>
    <row r="8" spans="1:89" x14ac:dyDescent="0.25">
      <c r="A8" t="str">
        <f>PLANTILLA!D11</f>
        <v>F. Lasprilla</v>
      </c>
      <c r="B8" s="488">
        <f>PLANTILLA!E11</f>
        <v>27</v>
      </c>
      <c r="C8" s="488">
        <f ca="1">PLANTILLA!F11</f>
        <v>52</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9.6046666666666667</v>
      </c>
      <c r="M8" s="163">
        <f>PLANTILLA!Z11</f>
        <v>7.7507222222222225</v>
      </c>
      <c r="N8" s="163">
        <f>PLANTILLA!AA11</f>
        <v>6.1499999999999986</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14.034646069994215</v>
      </c>
      <c r="W8" s="163">
        <f t="shared" ca="1" si="7"/>
        <v>15.148318494511354</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5.0393137267423533</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8.4736624201937971</v>
      </c>
      <c r="BI8" s="159">
        <f t="shared" si="45"/>
        <v>2.7193463403824953</v>
      </c>
      <c r="BJ8" s="159">
        <f t="shared" si="46"/>
        <v>5.8320901317517722</v>
      </c>
      <c r="BK8" s="159">
        <f t="shared" si="47"/>
        <v>3.1745810201700371</v>
      </c>
      <c r="BL8" s="159">
        <f t="shared" si="48"/>
        <v>3.8751447753211519</v>
      </c>
      <c r="BM8" s="159">
        <f t="shared" si="49"/>
        <v>8.0357884985932273</v>
      </c>
      <c r="BN8" s="159">
        <f t="shared" si="50"/>
        <v>0.58674692821531016</v>
      </c>
      <c r="BO8" s="159">
        <f t="shared" si="51"/>
        <v>2.1644870592068433</v>
      </c>
      <c r="BP8" s="159">
        <f t="shared" si="52"/>
        <v>0.81769511125591865</v>
      </c>
      <c r="BQ8" s="159">
        <f t="shared" si="53"/>
        <v>3.1021500169893734</v>
      </c>
      <c r="BR8" s="159">
        <f t="shared" si="54"/>
        <v>11.797369545222223</v>
      </c>
      <c r="BS8" s="159">
        <f t="shared" si="55"/>
        <v>1.5232852944051323</v>
      </c>
      <c r="BT8" s="159">
        <f t="shared" si="56"/>
        <v>3.4150795823041302</v>
      </c>
      <c r="BU8" s="159">
        <f t="shared" si="57"/>
        <v>2.934082458035943</v>
      </c>
      <c r="BV8" s="159">
        <f t="shared" si="58"/>
        <v>4.6277975663284101</v>
      </c>
      <c r="BW8" s="159">
        <f t="shared" si="59"/>
        <v>10.157903008895456</v>
      </c>
      <c r="BX8" s="159">
        <f t="shared" si="60"/>
        <v>1.3653149675779332</v>
      </c>
      <c r="BY8" s="159">
        <f t="shared" si="61"/>
        <v>3.4150795823041302</v>
      </c>
      <c r="BZ8" s="159">
        <f t="shared" si="62"/>
        <v>2.934082458035943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45</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9.3193333333333346</v>
      </c>
      <c r="N9" s="163">
        <f>PLANTILLA!AA7</f>
        <v>14.291666666666663</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2.8235883641582262</v>
      </c>
      <c r="AE9" s="159">
        <f>((L9+I9+(LOG(J9)*4/3))*0.378)</f>
        <v>6.3672146960160081</v>
      </c>
      <c r="AF9" s="159">
        <f>(L9+I9+(LOG(J9)*4/3))*0.723</f>
        <v>12.178561442379824</v>
      </c>
      <c r="AG9" s="159">
        <f>AE9/2</f>
        <v>3.183607348008004</v>
      </c>
      <c r="AH9" s="159">
        <f>(M9+I9+(LOG(J9)*4/3))*0.385</f>
        <v>4.5675694126088953</v>
      </c>
      <c r="AI9" s="159">
        <f>((L9+I9+(LOG(J9)*4/3))*0.92)</f>
        <v>15.496924656970178</v>
      </c>
      <c r="AJ9" s="159">
        <f>(L9+I9+(LOG(J9)*4/3))*0.414</f>
        <v>6.9736160956365794</v>
      </c>
      <c r="AK9" s="159">
        <f>((M9+I9+(LOG(J9)*4/3))*0.167)</f>
        <v>1.9812573815732093</v>
      </c>
      <c r="AL9" s="159">
        <f>(N9+I9+(LOG(J9)*4/3))*0.588</f>
        <v>9.8996561938026719</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11.19944292338389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11.863816656127002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10.452022474047888</v>
      </c>
      <c r="BH9" s="159">
        <f>((N9+I9+(LOG(J9)*4/3))*0.574)+((O9+I9+(LOG(J9)*4/3))*0.315)</f>
        <v>13.432762340630232</v>
      </c>
      <c r="BI9" s="159">
        <f>((O9+I9+(LOG(J9)*4/3))*0.241)</f>
        <v>2.883440480793273</v>
      </c>
      <c r="BJ9" s="159">
        <f>((L9+I9+(LOG(J9)*4/3))*0.485)</f>
        <v>8.1695744115549296</v>
      </c>
      <c r="BK9" s="159">
        <f>((L9+I9+(LOG(J9)*4/3))*0.264)</f>
        <v>4.4469435972175297</v>
      </c>
      <c r="BL9" s="159">
        <f>((M9+I9+(LOG(J9)*4/3))*0.381)</f>
        <v>4.5201141459843877</v>
      </c>
      <c r="BM9" s="159">
        <f>((N9+I9+(LOG(J9)*4/3))*0.673)+((O9+I9+(LOG(J9)*4/3))*0.201)</f>
        <v>13.735590090788328</v>
      </c>
      <c r="BN9" s="159">
        <f>((O9+I9+(LOG(J9)*4/3))*0.052)</f>
        <v>0.62215313278527051</v>
      </c>
      <c r="BO9" s="159">
        <f>((L9+I9+(LOG(J9)*4/3))*0.18)</f>
        <v>3.0320069981028608</v>
      </c>
      <c r="BP9" s="159">
        <f>(L9+I9+(LOG(J9)*4/3))*0.068</f>
        <v>1.1454248659499697</v>
      </c>
      <c r="BQ9" s="159">
        <f>((M9+I9+(LOG(J9)*4/3))*0.305)</f>
        <v>3.6184640801187355</v>
      </c>
      <c r="BR9" s="159">
        <f>((N9+I9+(LOG(J9)*4/3))*1)+((O9+I9+(LOG(J9)*4/3))*0.286)</f>
        <v>20.257992219779315</v>
      </c>
      <c r="BS9" s="159">
        <f>((O9+I9+(LOG(J9)*4/3))*0.135)</f>
        <v>1.6152052485771449</v>
      </c>
      <c r="BT9" s="159">
        <f t="shared" si="56"/>
        <v>4.7838332636734018</v>
      </c>
      <c r="BU9" s="159">
        <f t="shared" si="57"/>
        <v>4.1100539307616559</v>
      </c>
      <c r="BV9" s="159">
        <f t="shared" si="58"/>
        <v>5.398036578537786</v>
      </c>
      <c r="BW9" s="159">
        <f t="shared" si="59"/>
        <v>17.46576752165538</v>
      </c>
      <c r="BX9" s="159">
        <f t="shared" si="60"/>
        <v>1.4477024820580335</v>
      </c>
      <c r="BY9" s="159">
        <f>((L9+I9+(LOG(J9)*4/3))*0.284)</f>
        <v>4.7838332636734018</v>
      </c>
      <c r="BZ9" s="159">
        <f>((L9+I9+(LOG(J9)*4/3))*0.244)</f>
        <v>4.1100539307616559</v>
      </c>
      <c r="CA9" s="159">
        <f>((M9+I9+(LOG(J9)*4/3))*0.631)</f>
        <v>7.4860683100161376</v>
      </c>
      <c r="CB9" s="159">
        <f>((N9+I9+(LOG(J9)*4/3))*0.702)+((O9+I9+(LOG(J9)*4/3))*0.193)</f>
        <v>14.128122573900326</v>
      </c>
      <c r="CC9" s="159">
        <f>((O9+I9+(LOG(J9)*4/3))*0.148)</f>
        <v>1.7707435317734623</v>
      </c>
      <c r="CD9" s="159">
        <f>((M9+I9+(LOG(J9)*4/3))*0.406)</f>
        <v>4.8167095623875626</v>
      </c>
      <c r="CE9" s="159">
        <f>IF(D9="TEC",((N9+I9+(LOG(J9)*4/3))*0.15)+((O9+I9+(LOG(J9)*4/3))*0.324)+((P9+I9+(LOG(J9)*4/3))*0.127),(((N9+I9+(LOG(J9)*4/3))*0.144)+((O9+I9+(LOG(J9)*4/3))*0.25)+((P9+I9+(LOG(J9)*4/3))*0.127)))</f>
        <v>5.883818668318356</v>
      </c>
      <c r="CF9" s="159">
        <f>((O9+I9+(LOG(J9)*4/3))*0.543)+((P9+I9+(LOG(J9)*4/3))*0.583)</f>
        <v>8.6464339357513822</v>
      </c>
      <c r="CG9" s="159">
        <f>CE9</f>
        <v>5.883818668318356</v>
      </c>
      <c r="CH9" s="159">
        <f>((P9+1+(LOG(J9)*4/3))*0.26)+((N9+I9+(LOG(J9)*4/3))*0.221)+((O9+I9+(LOG(J9)*4/3))*0.142)</f>
        <v>6.3784543005766432</v>
      </c>
      <c r="CI9" s="159">
        <f>((P9+I9+(LOG(J9)*4/3))*1)+((O9+I9+(LOG(J9)*4/3))*0.369)</f>
        <v>8.1022348117616723</v>
      </c>
      <c r="CJ9" s="159">
        <f>CH9</f>
        <v>6.3784543005766432</v>
      </c>
      <c r="CK9" s="159">
        <f>((M9+I9+(LOG(J9)*4/3))*0.25)</f>
        <v>2.9659541640317504</v>
      </c>
    </row>
    <row r="10" spans="1:89" x14ac:dyDescent="0.25">
      <c r="A10" t="str">
        <f>PLANTILLA!D12</f>
        <v>E. Romweber</v>
      </c>
      <c r="B10" s="488">
        <f>PLANTILLA!E12</f>
        <v>31</v>
      </c>
      <c r="C10" s="488">
        <f ca="1">PLANTILLA!F12</f>
        <v>6</v>
      </c>
      <c r="D10" s="488" t="str">
        <f>PLANTILLA!G12</f>
        <v>IMP</v>
      </c>
      <c r="E10" s="290">
        <v>41583</v>
      </c>
      <c r="F10" s="341">
        <f>PLANTILLA!Q12</f>
        <v>4</v>
      </c>
      <c r="G10" s="407">
        <f t="shared" si="74"/>
        <v>0.7559289460184544</v>
      </c>
      <c r="H10" s="407">
        <f t="shared" si="75"/>
        <v>0.84430867747355465</v>
      </c>
      <c r="I10" s="497">
        <v>1.5</v>
      </c>
      <c r="J10" s="498">
        <f>PLANTILLA!I12</f>
        <v>12.6</v>
      </c>
      <c r="K10" s="163">
        <f>PLANTILLA!X12</f>
        <v>0</v>
      </c>
      <c r="L10" s="163">
        <f>PLANTILLA!Y12</f>
        <v>12.06111111111111</v>
      </c>
      <c r="M10" s="163">
        <f>PLANTILLA!Z12</f>
        <v>12.534111111111114</v>
      </c>
      <c r="N10" s="163">
        <f>PLANTILLA!AA12</f>
        <v>13.133333333333335</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14.814061053181874</v>
      </c>
      <c r="W10" s="163">
        <f t="shared" ca="1" si="7"/>
        <v>16.546052855500964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3.6893026974284182</v>
      </c>
      <c r="AE10" s="159">
        <f t="shared" si="15"/>
        <v>5.6806867547392512</v>
      </c>
      <c r="AF10" s="159">
        <f t="shared" si="16"/>
        <v>10.865440538826663</v>
      </c>
      <c r="AG10" s="159">
        <f t="shared" si="17"/>
        <v>2.8403433773696256</v>
      </c>
      <c r="AH10" s="159">
        <f t="shared" si="18"/>
        <v>5.9679896576047948</v>
      </c>
      <c r="AI10" s="159">
        <f t="shared" si="19"/>
        <v>13.826010090899766</v>
      </c>
      <c r="AJ10" s="159">
        <f t="shared" si="20"/>
        <v>6.2217045409048941</v>
      </c>
      <c r="AK10" s="159">
        <f t="shared" si="21"/>
        <v>2.5887123969350667</v>
      </c>
      <c r="AL10" s="159">
        <f t="shared" si="22"/>
        <v>9.4670905073721698</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14.633200615010198</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15.501271837934532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13.656620489220323</v>
      </c>
      <c r="BH10" s="159">
        <f t="shared" si="44"/>
        <v>13.612989219479353</v>
      </c>
      <c r="BI10" s="159">
        <f t="shared" si="45"/>
        <v>3.3443957351644436</v>
      </c>
      <c r="BJ10" s="159">
        <f t="shared" si="46"/>
        <v>7.2887118413982455</v>
      </c>
      <c r="BK10" s="159">
        <f t="shared" si="47"/>
        <v>3.9674637652147156</v>
      </c>
      <c r="BL10" s="159">
        <f t="shared" si="48"/>
        <v>5.9059845702530565</v>
      </c>
      <c r="BM10" s="159">
        <f t="shared" si="49"/>
        <v>13.624941808577002</v>
      </c>
      <c r="BN10" s="159">
        <f t="shared" si="50"/>
        <v>0.72161235779481769</v>
      </c>
      <c r="BO10" s="159">
        <f t="shared" si="51"/>
        <v>2.7050889308282149</v>
      </c>
      <c r="BP10" s="159">
        <f t="shared" si="52"/>
        <v>1.0219224849795479</v>
      </c>
      <c r="BQ10" s="159">
        <f t="shared" si="53"/>
        <v>4.7278879105700318</v>
      </c>
      <c r="BR10" s="159">
        <f t="shared" si="54"/>
        <v>20.069362028028248</v>
      </c>
      <c r="BS10" s="159">
        <f t="shared" si="55"/>
        <v>1.8734166981211615</v>
      </c>
      <c r="BT10" s="159">
        <f t="shared" si="56"/>
        <v>4.2680292019734054</v>
      </c>
      <c r="BU10" s="159">
        <f t="shared" si="57"/>
        <v>3.6668983284560244</v>
      </c>
      <c r="BV10" s="159">
        <f t="shared" si="58"/>
        <v>7.0530786862602124</v>
      </c>
      <c r="BW10" s="159">
        <f t="shared" si="59"/>
        <v>17.296854085320348</v>
      </c>
      <c r="BX10" s="159">
        <f t="shared" si="60"/>
        <v>1.6791364479456334</v>
      </c>
      <c r="BY10" s="159">
        <f t="shared" si="61"/>
        <v>4.2680292019734054</v>
      </c>
      <c r="BZ10" s="159">
        <f t="shared" si="62"/>
        <v>3.6668983284560244</v>
      </c>
      <c r="CA10" s="159">
        <f t="shared" si="63"/>
        <v>9.7813025297366902</v>
      </c>
      <c r="CB10" s="159">
        <f t="shared" si="64"/>
        <v>13.980838850506959</v>
      </c>
      <c r="CC10" s="159">
        <f t="shared" si="65"/>
        <v>2.0538197875698656</v>
      </c>
      <c r="CD10" s="159">
        <f t="shared" si="66"/>
        <v>6.2935163662014206</v>
      </c>
      <c r="CE10" s="159">
        <f t="shared" si="67"/>
        <v>7.1513807386750008</v>
      </c>
      <c r="CF10" s="159">
        <f t="shared" si="68"/>
        <v>13.795062978403168</v>
      </c>
      <c r="CG10" s="159">
        <f t="shared" si="69"/>
        <v>7.1513807386750008</v>
      </c>
      <c r="CH10" s="159">
        <f t="shared" si="70"/>
        <v>8.1904277994776553</v>
      </c>
      <c r="CI10" s="159">
        <f t="shared" si="71"/>
        <v>15.857833035021258</v>
      </c>
      <c r="CJ10" s="159">
        <f t="shared" si="72"/>
        <v>8.1904277994776553</v>
      </c>
      <c r="CK10" s="159">
        <f t="shared" si="73"/>
        <v>3.8753179594836329</v>
      </c>
    </row>
    <row r="11" spans="1:89" x14ac:dyDescent="0.25">
      <c r="A11" t="str">
        <f>PLANTILLA!D13</f>
        <v>K. Helms</v>
      </c>
      <c r="B11" s="488">
        <f>PLANTILLA!E13</f>
        <v>30</v>
      </c>
      <c r="C11" s="488">
        <f ca="1">PLANTILLA!F13</f>
        <v>65</v>
      </c>
      <c r="D11" s="488" t="str">
        <f>PLANTILLA!G13</f>
        <v>TEC</v>
      </c>
      <c r="E11" s="290">
        <v>41722</v>
      </c>
      <c r="F11" s="341">
        <f>PLANTILLA!Q13</f>
        <v>6</v>
      </c>
      <c r="G11" s="407">
        <f t="shared" ref="G11:G21" si="78">(F11/7)^0.5</f>
        <v>0.92582009977255142</v>
      </c>
      <c r="H11" s="407">
        <f t="shared" si="75"/>
        <v>0.99928545900129484</v>
      </c>
      <c r="I11" s="497">
        <v>1.5</v>
      </c>
      <c r="J11" s="498">
        <f>PLANTILLA!I13</f>
        <v>10.4</v>
      </c>
      <c r="K11" s="163">
        <f>PLANTILLA!X13</f>
        <v>0</v>
      </c>
      <c r="L11" s="163">
        <f>PLANTILLA!Y13</f>
        <v>7.2503030303030309</v>
      </c>
      <c r="M11" s="163">
        <f>PLANTILLA!Z13</f>
        <v>10.500000000000004</v>
      </c>
      <c r="N11" s="163">
        <f>PLANTILLA!AA13</f>
        <v>13.388333333333334</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18.197961036053169</v>
      </c>
      <c r="W11" s="163">
        <f t="shared" ca="1" si="7"/>
        <v>19.641999402764768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3.1787385796708136</v>
      </c>
      <c r="AE11" s="159">
        <f t="shared" si="15"/>
        <v>3.8201993484611307</v>
      </c>
      <c r="AF11" s="159">
        <f t="shared" si="16"/>
        <v>7.3068892299931143</v>
      </c>
      <c r="AG11" s="159">
        <f t="shared" si="17"/>
        <v>1.9100996742305654</v>
      </c>
      <c r="AH11" s="159">
        <f t="shared" si="18"/>
        <v>5.1420771141733752</v>
      </c>
      <c r="AI11" s="159">
        <f t="shared" si="19"/>
        <v>9.2978396840852913</v>
      </c>
      <c r="AJ11" s="159">
        <f t="shared" si="20"/>
        <v>4.1840278578383812</v>
      </c>
      <c r="AK11" s="159">
        <f t="shared" si="21"/>
        <v>2.2304594235505291</v>
      </c>
      <c r="AL11" s="159">
        <f t="shared" si="22"/>
        <v>9.5516941380102427</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12.608105963064068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13.356044452398377</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11.76667516256297</v>
      </c>
      <c r="BH11" s="159">
        <f t="shared" si="44"/>
        <v>13.487326851515487</v>
      </c>
      <c r="BI11" s="159">
        <f t="shared" si="45"/>
        <v>3.1850667130280073</v>
      </c>
      <c r="BJ11" s="159">
        <f t="shared" si="46"/>
        <v>4.9015785291101803</v>
      </c>
      <c r="BK11" s="159">
        <f t="shared" si="47"/>
        <v>2.6680757354331708</v>
      </c>
      <c r="BL11" s="159">
        <f t="shared" si="48"/>
        <v>5.0886529363637818</v>
      </c>
      <c r="BM11" s="159">
        <f t="shared" si="49"/>
        <v>13.588891184729512</v>
      </c>
      <c r="BN11" s="159">
        <f t="shared" si="50"/>
        <v>0.68723431152471526</v>
      </c>
      <c r="BO11" s="159">
        <f t="shared" si="51"/>
        <v>1.8191425468862525</v>
      </c>
      <c r="BP11" s="159">
        <f t="shared" si="52"/>
        <v>0.68723162882369548</v>
      </c>
      <c r="BQ11" s="159">
        <f t="shared" si="53"/>
        <v>4.0735935579815052</v>
      </c>
      <c r="BR11" s="159">
        <f t="shared" si="54"/>
        <v>20.024166499117641</v>
      </c>
      <c r="BS11" s="159">
        <f t="shared" si="55"/>
        <v>1.7841660010737803</v>
      </c>
      <c r="BT11" s="159">
        <f t="shared" si="56"/>
        <v>2.8702026850871984</v>
      </c>
      <c r="BU11" s="159">
        <f t="shared" si="57"/>
        <v>2.4659487857791427</v>
      </c>
      <c r="BV11" s="159">
        <f t="shared" si="58"/>
        <v>6.0770002258412621</v>
      </c>
      <c r="BW11" s="159">
        <f t="shared" si="59"/>
        <v>17.259857253257398</v>
      </c>
      <c r="BX11" s="159">
        <f t="shared" si="60"/>
        <v>1.5991413787402029</v>
      </c>
      <c r="BY11" s="159">
        <f t="shared" si="61"/>
        <v>2.8702026850871984</v>
      </c>
      <c r="BZ11" s="159">
        <f t="shared" si="62"/>
        <v>2.4659487857791427</v>
      </c>
      <c r="CA11" s="159">
        <f t="shared" si="63"/>
        <v>8.4276640494633757</v>
      </c>
      <c r="CB11" s="159">
        <f t="shared" si="64"/>
        <v>13.954249784896543</v>
      </c>
      <c r="CC11" s="159">
        <f t="shared" si="65"/>
        <v>1.955974578954959</v>
      </c>
      <c r="CD11" s="159">
        <f t="shared" si="66"/>
        <v>5.4225540476737413</v>
      </c>
      <c r="CE11" s="159">
        <f t="shared" si="67"/>
        <v>7.767807715891422</v>
      </c>
      <c r="CF11" s="159">
        <f t="shared" si="68"/>
        <v>11.992501053400566</v>
      </c>
      <c r="CG11" s="159">
        <f t="shared" si="69"/>
        <v>7.767807715891422</v>
      </c>
      <c r="CH11" s="159">
        <f t="shared" si="70"/>
        <v>7.4845573605108529</v>
      </c>
      <c r="CI11" s="159">
        <f t="shared" si="71"/>
        <v>13.137764855333373</v>
      </c>
      <c r="CJ11" s="159">
        <f t="shared" si="72"/>
        <v>7.4845573605108529</v>
      </c>
      <c r="CK11" s="159">
        <f t="shared" si="73"/>
        <v>3.3390111130995943</v>
      </c>
    </row>
    <row r="12" spans="1:89" x14ac:dyDescent="0.25">
      <c r="A12" t="str">
        <f>PLANTILLA!D14</f>
        <v>S. Zobbe</v>
      </c>
      <c r="B12" s="488">
        <f>PLANTILLA!E14</f>
        <v>27</v>
      </c>
      <c r="C12" s="488">
        <f ca="1">PLANTILLA!F14</f>
        <v>80</v>
      </c>
      <c r="D12" s="488" t="str">
        <f>PLANTILLA!G14</f>
        <v>CAB</v>
      </c>
      <c r="E12" s="290">
        <v>41911</v>
      </c>
      <c r="F12" s="341">
        <f>PLANTILLA!Q14</f>
        <v>4</v>
      </c>
      <c r="G12" s="407">
        <f t="shared" si="78"/>
        <v>0.7559289460184544</v>
      </c>
      <c r="H12" s="407">
        <f t="shared" si="75"/>
        <v>0.84430867747355465</v>
      </c>
      <c r="I12" s="497">
        <v>1.5</v>
      </c>
      <c r="J12" s="498">
        <f>PLANTILLA!I14</f>
        <v>8.9</v>
      </c>
      <c r="K12" s="163">
        <f>PLANTILLA!X14</f>
        <v>0</v>
      </c>
      <c r="L12" s="163">
        <f>PLANTILLA!Y14</f>
        <v>8.3599999999999977</v>
      </c>
      <c r="M12" s="163">
        <f>PLANTILLA!Z14</f>
        <v>12.158412698412699</v>
      </c>
      <c r="N12" s="163">
        <f>PLANTILLA!AA14</f>
        <v>12.25</v>
      </c>
      <c r="O12" s="163">
        <f>PLANTILLA!AB14</f>
        <v>10.24</v>
      </c>
      <c r="P12" s="163">
        <f>PLANTILLA!AC14</f>
        <v>7.4766666666666666</v>
      </c>
      <c r="Q12" s="163">
        <f>PLANTILLA!AD14</f>
        <v>15.270000000000001</v>
      </c>
      <c r="R12" s="163">
        <f t="shared" si="2"/>
        <v>3.9799999999999995</v>
      </c>
      <c r="S12" s="163">
        <f t="shared" si="3"/>
        <v>19.322302552913676</v>
      </c>
      <c r="T12" s="163">
        <f t="shared" si="4"/>
        <v>0.8319333333333333</v>
      </c>
      <c r="U12" s="163">
        <f t="shared" si="5"/>
        <v>0.79249999999999998</v>
      </c>
      <c r="V12" s="163">
        <f t="shared" ca="1" si="6"/>
        <v>13.255859134498312</v>
      </c>
      <c r="W12" s="163">
        <f t="shared" ca="1" si="7"/>
        <v>14.805673143717371</v>
      </c>
      <c r="X12" s="159">
        <f t="shared" si="8"/>
        <v>4.7219499677346786</v>
      </c>
      <c r="Y12" s="159">
        <f t="shared" si="9"/>
        <v>7.1237166647714423</v>
      </c>
      <c r="Z12" s="159">
        <f t="shared" si="10"/>
        <v>4.7219499677346786</v>
      </c>
      <c r="AA12" s="159">
        <f t="shared" si="11"/>
        <v>5.7409403245716994</v>
      </c>
      <c r="AB12" s="159">
        <f t="shared" si="12"/>
        <v>11.125853342193215</v>
      </c>
      <c r="AC12" s="159">
        <f t="shared" si="13"/>
        <v>2.8704701622858497</v>
      </c>
      <c r="AD12" s="159">
        <f t="shared" si="14"/>
        <v>3.5519753176642079</v>
      </c>
      <c r="AE12" s="159">
        <f t="shared" si="15"/>
        <v>4.2055725633490351</v>
      </c>
      <c r="AF12" s="159">
        <f t="shared" si="16"/>
        <v>8.0439919664056951</v>
      </c>
      <c r="AG12" s="159">
        <f t="shared" si="17"/>
        <v>2.1027862816745175</v>
      </c>
      <c r="AH12" s="159">
        <f t="shared" si="18"/>
        <v>5.7458424256332776</v>
      </c>
      <c r="AI12" s="159">
        <f t="shared" si="19"/>
        <v>10.235785074817759</v>
      </c>
      <c r="AJ12" s="159">
        <f t="shared" si="20"/>
        <v>4.6061032836679905</v>
      </c>
      <c r="AK12" s="159">
        <f t="shared" si="21"/>
        <v>2.4923524287811882</v>
      </c>
      <c r="AL12" s="159">
        <f t="shared" si="22"/>
        <v>8.8293217652096114</v>
      </c>
      <c r="AM12" s="159">
        <f t="shared" si="23"/>
        <v>8.3888934200136838</v>
      </c>
      <c r="AN12" s="159">
        <f t="shared" si="24"/>
        <v>7.8771041662727956</v>
      </c>
      <c r="AO12" s="159">
        <f t="shared" si="25"/>
        <v>3.0119875081462681</v>
      </c>
      <c r="AP12" s="159">
        <f t="shared" si="26"/>
        <v>1.9428057625516462</v>
      </c>
      <c r="AQ12" s="159">
        <f t="shared" si="27"/>
        <v>3.0039804023921683</v>
      </c>
      <c r="AR12" s="159">
        <f t="shared" si="28"/>
        <v>6.6087568852627694</v>
      </c>
      <c r="AS12" s="159">
        <f t="shared" si="29"/>
        <v>1.5019902011960842</v>
      </c>
      <c r="AT12" s="159">
        <f t="shared" si="30"/>
        <v>14.088507142331984</v>
      </c>
      <c r="AU12" s="159">
        <f t="shared" si="31"/>
        <v>1.6907609344851184</v>
      </c>
      <c r="AV12" s="159">
        <f t="shared" si="32"/>
        <v>3.3326583625959456</v>
      </c>
      <c r="AW12" s="159">
        <f t="shared" si="33"/>
        <v>0.84538046724255922</v>
      </c>
      <c r="AX12" s="159">
        <f t="shared" si="34"/>
        <v>2.1027862816745175</v>
      </c>
      <c r="AY12" s="159">
        <f t="shared" si="35"/>
        <v>4.4503413368772859</v>
      </c>
      <c r="AZ12" s="159">
        <f t="shared" si="36"/>
        <v>1.0513931408372588</v>
      </c>
      <c r="BA12" s="159">
        <f t="shared" si="37"/>
        <v>14.924266040605916</v>
      </c>
      <c r="BB12" s="159">
        <f t="shared" si="38"/>
        <v>3.2904808955748841</v>
      </c>
      <c r="BC12" s="159">
        <f t="shared" si="39"/>
        <v>6.5859251915484638</v>
      </c>
      <c r="BD12" s="159">
        <f t="shared" si="40"/>
        <v>1.6452404477874421</v>
      </c>
      <c r="BE12" s="159">
        <f t="shared" si="41"/>
        <v>3.2376233225782256</v>
      </c>
      <c r="BF12" s="159">
        <f t="shared" si="42"/>
        <v>3.8717969630832387</v>
      </c>
      <c r="BG12" s="159">
        <f t="shared" si="43"/>
        <v>13.148278381773812</v>
      </c>
      <c r="BH12" s="159">
        <f t="shared" si="44"/>
        <v>12.715943621209771</v>
      </c>
      <c r="BI12" s="159">
        <f t="shared" si="45"/>
        <v>3.1344106554685656</v>
      </c>
      <c r="BJ12" s="159">
        <f t="shared" si="46"/>
        <v>5.396038870963709</v>
      </c>
      <c r="BK12" s="159">
        <f t="shared" si="47"/>
        <v>2.9372252823390088</v>
      </c>
      <c r="BL12" s="159">
        <f t="shared" si="48"/>
        <v>5.6861453614708539</v>
      </c>
      <c r="BM12" s="159">
        <f t="shared" si="49"/>
        <v>12.719845821076873</v>
      </c>
      <c r="BN12" s="159">
        <f t="shared" si="50"/>
        <v>0.67630437379404729</v>
      </c>
      <c r="BO12" s="159">
        <f t="shared" si="51"/>
        <v>2.0026536015947789</v>
      </c>
      <c r="BP12" s="159">
        <f t="shared" si="52"/>
        <v>0.75655802726913868</v>
      </c>
      <c r="BQ12" s="159">
        <f t="shared" si="53"/>
        <v>4.5519011423848044</v>
      </c>
      <c r="BR12" s="159">
        <f t="shared" si="54"/>
        <v>18.735527398060476</v>
      </c>
      <c r="BS12" s="159">
        <f t="shared" si="55"/>
        <v>1.7557902011960844</v>
      </c>
      <c r="BT12" s="159">
        <f t="shared" si="56"/>
        <v>3.1597423491828729</v>
      </c>
      <c r="BU12" s="159">
        <f t="shared" si="57"/>
        <v>2.7147082154951443</v>
      </c>
      <c r="BV12" s="159">
        <f t="shared" si="58"/>
        <v>6.7905410484756921</v>
      </c>
      <c r="BW12" s="159">
        <f t="shared" si="59"/>
        <v>16.147125503150086</v>
      </c>
      <c r="BX12" s="159">
        <f t="shared" si="60"/>
        <v>1.5737082544053793</v>
      </c>
      <c r="BY12" s="159">
        <f t="shared" si="61"/>
        <v>3.1597423491828729</v>
      </c>
      <c r="BZ12" s="159">
        <f t="shared" si="62"/>
        <v>2.7147082154951443</v>
      </c>
      <c r="CA12" s="159">
        <f t="shared" si="63"/>
        <v>9.4172118716223334</v>
      </c>
      <c r="CB12" s="159">
        <f t="shared" si="64"/>
        <v>13.051258741262929</v>
      </c>
      <c r="CC12" s="159">
        <f t="shared" si="65"/>
        <v>1.9248662946445962</v>
      </c>
      <c r="CD12" s="159">
        <f t="shared" si="66"/>
        <v>6.0592520124860023</v>
      </c>
      <c r="CE12" s="159">
        <f t="shared" si="67"/>
        <v>6.7145462579493334</v>
      </c>
      <c r="CF12" s="159">
        <f t="shared" si="68"/>
        <v>13.03356752997623</v>
      </c>
      <c r="CG12" s="159">
        <f t="shared" si="69"/>
        <v>6.7145462579493334</v>
      </c>
      <c r="CH12" s="159">
        <f t="shared" si="70"/>
        <v>7.6983899655197074</v>
      </c>
      <c r="CI12" s="159">
        <f t="shared" si="71"/>
        <v>15.041679892129181</v>
      </c>
      <c r="CJ12" s="159">
        <f t="shared" si="72"/>
        <v>7.6983899655197074</v>
      </c>
      <c r="CK12" s="159">
        <f t="shared" si="73"/>
        <v>3.7310665101514791</v>
      </c>
    </row>
    <row r="13" spans="1:89" x14ac:dyDescent="0.25">
      <c r="A13" t="str">
        <f>PLANTILLA!D15</f>
        <v>S. Buschelman</v>
      </c>
      <c r="B13" s="488">
        <f>PLANTILLA!E15</f>
        <v>29</v>
      </c>
      <c r="C13" s="488">
        <f ca="1">PLANTILLA!F15</f>
        <v>77</v>
      </c>
      <c r="D13" s="488" t="str">
        <f>PLANTILLA!G15</f>
        <v>TEC</v>
      </c>
      <c r="E13" s="290">
        <v>41747</v>
      </c>
      <c r="F13" s="341">
        <f>PLANTILLA!Q15</f>
        <v>5</v>
      </c>
      <c r="G13" s="407">
        <f t="shared" si="78"/>
        <v>0.84515425472851657</v>
      </c>
      <c r="H13" s="407">
        <f t="shared" si="75"/>
        <v>0.92504826128926143</v>
      </c>
      <c r="I13" s="497">
        <v>1.5</v>
      </c>
      <c r="J13" s="498">
        <f>PLANTILLA!I15</f>
        <v>10.8</v>
      </c>
      <c r="K13" s="163">
        <f>PLANTILLA!X15</f>
        <v>0</v>
      </c>
      <c r="L13" s="163">
        <f>PLANTILLA!Y15</f>
        <v>9.3036666666666648</v>
      </c>
      <c r="M13" s="163">
        <f>PLANTILLA!Z15</f>
        <v>13.759999999999998</v>
      </c>
      <c r="N13" s="163">
        <f>PLANTILLA!AA15</f>
        <v>12.835000000000001</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14.856035571785059</v>
      </c>
      <c r="W13" s="163">
        <f t="shared" ca="1" si="7"/>
        <v>16.260404297136997</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3.9598198050745248</v>
      </c>
      <c r="AE13" s="159">
        <f t="shared" si="15"/>
        <v>4.6046315727654221</v>
      </c>
      <c r="AF13" s="159">
        <f t="shared" si="16"/>
        <v>8.8072715002894189</v>
      </c>
      <c r="AG13" s="159">
        <f t="shared" si="17"/>
        <v>2.3023157863827111</v>
      </c>
      <c r="AH13" s="159">
        <f t="shared" si="18"/>
        <v>6.4055908611499675</v>
      </c>
      <c r="AI13" s="159">
        <f t="shared" si="19"/>
        <v>11.207039806730657</v>
      </c>
      <c r="AJ13" s="159">
        <f t="shared" si="20"/>
        <v>5.0431679130287952</v>
      </c>
      <c r="AK13" s="159">
        <f t="shared" si="21"/>
        <v>2.7785290228884274</v>
      </c>
      <c r="AL13" s="159">
        <f t="shared" si="22"/>
        <v>9.2391842243017699</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15.706176033572905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16.637898340649265</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14.657988438112003</v>
      </c>
      <c r="BH13" s="159">
        <f t="shared" si="44"/>
        <v>12.9728416248372</v>
      </c>
      <c r="BI13" s="159">
        <f t="shared" si="45"/>
        <v>3.0248468334298071</v>
      </c>
      <c r="BJ13" s="159">
        <f t="shared" si="46"/>
        <v>5.9080590285482266</v>
      </c>
      <c r="BK13" s="159">
        <f t="shared" si="47"/>
        <v>3.2159331619314062</v>
      </c>
      <c r="BL13" s="159">
        <f t="shared" si="48"/>
        <v>6.3390392677873697</v>
      </c>
      <c r="BM13" s="159">
        <f t="shared" si="49"/>
        <v>13.097578149727461</v>
      </c>
      <c r="BN13" s="159">
        <f t="shared" si="50"/>
        <v>0.65266404704709535</v>
      </c>
      <c r="BO13" s="159">
        <f t="shared" si="51"/>
        <v>2.1926817013168676</v>
      </c>
      <c r="BP13" s="159">
        <f t="shared" si="52"/>
        <v>0.82834642049748342</v>
      </c>
      <c r="BQ13" s="159">
        <f t="shared" si="53"/>
        <v>5.0745589938980258</v>
      </c>
      <c r="BR13" s="159">
        <f t="shared" si="54"/>
        <v>19.302550599408292</v>
      </c>
      <c r="BS13" s="159">
        <f t="shared" si="55"/>
        <v>1.6944162759876515</v>
      </c>
      <c r="BT13" s="159">
        <f t="shared" si="56"/>
        <v>3.4595644620777244</v>
      </c>
      <c r="BU13" s="159">
        <f t="shared" si="57"/>
        <v>2.9723018617850872</v>
      </c>
      <c r="BV13" s="159">
        <f t="shared" si="58"/>
        <v>7.5702437449954161</v>
      </c>
      <c r="BW13" s="159">
        <f t="shared" si="59"/>
        <v>16.638444694772723</v>
      </c>
      <c r="BX13" s="159">
        <f t="shared" si="60"/>
        <v>1.518699032551895</v>
      </c>
      <c r="BY13" s="159">
        <f t="shared" si="61"/>
        <v>3.4595644620777244</v>
      </c>
      <c r="BZ13" s="159">
        <f t="shared" si="62"/>
        <v>2.9723018617850872</v>
      </c>
      <c r="CA13" s="159">
        <f t="shared" si="63"/>
        <v>10.498513852949687</v>
      </c>
      <c r="CB13" s="159">
        <f t="shared" si="64"/>
        <v>13.452842348214427</v>
      </c>
      <c r="CC13" s="159">
        <f t="shared" si="65"/>
        <v>1.857582287749425</v>
      </c>
      <c r="CD13" s="159">
        <f t="shared" si="66"/>
        <v>6.7549867263036019</v>
      </c>
      <c r="CE13" s="159">
        <f t="shared" si="67"/>
        <v>7.4277945693968759</v>
      </c>
      <c r="CF13" s="159">
        <f t="shared" si="68"/>
        <v>11.42542919823774</v>
      </c>
      <c r="CG13" s="159">
        <f t="shared" si="69"/>
        <v>7.4277945693968759</v>
      </c>
      <c r="CH13" s="159">
        <f t="shared" si="70"/>
        <v>7.1807923328911603</v>
      </c>
      <c r="CI13" s="159">
        <f t="shared" si="71"/>
        <v>12.538969495015511</v>
      </c>
      <c r="CJ13" s="159">
        <f t="shared" si="72"/>
        <v>7.1807923328911603</v>
      </c>
      <c r="CK13" s="159">
        <f t="shared" si="73"/>
        <v>4.1594745851623163</v>
      </c>
    </row>
    <row r="14" spans="1:89" x14ac:dyDescent="0.25">
      <c r="A14" t="str">
        <f>PLANTILLA!D16</f>
        <v>C. Rojas</v>
      </c>
      <c r="B14" s="488">
        <f>PLANTILLA!E16</f>
        <v>31</v>
      </c>
      <c r="C14" s="488">
        <f ca="1">PLANTILLA!F16</f>
        <v>111</v>
      </c>
      <c r="D14" s="488" t="str">
        <f>PLANTILLA!G16</f>
        <v>TEC</v>
      </c>
      <c r="E14" s="290">
        <v>41653</v>
      </c>
      <c r="F14" s="341">
        <f>PLANTILLA!Q16</f>
        <v>5</v>
      </c>
      <c r="G14" s="407">
        <f t="shared" si="78"/>
        <v>0.84515425472851657</v>
      </c>
      <c r="H14" s="407">
        <f t="shared" si="75"/>
        <v>0.92504826128926143</v>
      </c>
      <c r="I14" s="497">
        <v>1.5</v>
      </c>
      <c r="J14" s="498">
        <f>PLANTILLA!I16</f>
        <v>11.3</v>
      </c>
      <c r="K14" s="163">
        <f>PLANTILLA!X16</f>
        <v>0</v>
      </c>
      <c r="L14" s="163">
        <f>PLANTILLA!Y16</f>
        <v>8.6275555555555581</v>
      </c>
      <c r="M14" s="163">
        <f>PLANTILLA!Z16</f>
        <v>14.238017460317453</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16.014446838500835</v>
      </c>
      <c r="W14" s="163">
        <f t="shared" ca="1" si="7"/>
        <v>17.528322339480091</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4.079825048287625</v>
      </c>
      <c r="AE14" s="159">
        <f t="shared" si="15"/>
        <v>4.3589675355156441</v>
      </c>
      <c r="AF14" s="159">
        <f t="shared" si="16"/>
        <v>8.337390286184684</v>
      </c>
      <c r="AG14" s="159">
        <f t="shared" si="17"/>
        <v>2.179483767757822</v>
      </c>
      <c r="AH14" s="159">
        <f t="shared" si="18"/>
        <v>6.5997169898770416</v>
      </c>
      <c r="AI14" s="159">
        <f t="shared" si="19"/>
        <v>10.609127335117442</v>
      </c>
      <c r="AJ14" s="159">
        <f t="shared" si="20"/>
        <v>4.7741073008028483</v>
      </c>
      <c r="AK14" s="159">
        <f t="shared" si="21"/>
        <v>2.8627343826219893</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16.182163216737472</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17.142122051628679</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15.102209527484867</v>
      </c>
      <c r="BH14" s="159">
        <f t="shared" si="44"/>
        <v>11.494358981675679</v>
      </c>
      <c r="BI14" s="159">
        <f t="shared" si="45"/>
        <v>3.1315792065060055</v>
      </c>
      <c r="BJ14" s="159">
        <f t="shared" si="46"/>
        <v>5.59285517123039</v>
      </c>
      <c r="BK14" s="159">
        <f t="shared" si="47"/>
        <v>3.0443582787728309</v>
      </c>
      <c r="BL14" s="159">
        <f t="shared" si="48"/>
        <v>6.5311485016705264</v>
      </c>
      <c r="BM14" s="159">
        <f t="shared" si="49"/>
        <v>11.289547412806012</v>
      </c>
      <c r="BN14" s="159">
        <f t="shared" si="50"/>
        <v>0.67569343874818366</v>
      </c>
      <c r="BO14" s="159">
        <f t="shared" si="51"/>
        <v>2.075698826436021</v>
      </c>
      <c r="BP14" s="159">
        <f t="shared" si="52"/>
        <v>0.78415288998694133</v>
      </c>
      <c r="BQ14" s="159">
        <f t="shared" si="53"/>
        <v>5.2283472257467469</v>
      </c>
      <c r="BR14" s="159">
        <f t="shared" si="54"/>
        <v>16.610418504426235</v>
      </c>
      <c r="BS14" s="159">
        <f t="shared" si="55"/>
        <v>1.7542041198270155</v>
      </c>
      <c r="BT14" s="159">
        <f t="shared" si="56"/>
        <v>3.2749914817101664</v>
      </c>
      <c r="BU14" s="159">
        <f t="shared" si="57"/>
        <v>2.8137250758354955</v>
      </c>
      <c r="BV14" s="159">
        <f t="shared" si="58"/>
        <v>7.7996655334910487</v>
      </c>
      <c r="BW14" s="159">
        <f t="shared" si="59"/>
        <v>14.311067887172838</v>
      </c>
      <c r="BX14" s="159">
        <f t="shared" si="60"/>
        <v>1.5722866555486583</v>
      </c>
      <c r="BY14" s="159">
        <f t="shared" si="61"/>
        <v>3.2749914817101664</v>
      </c>
      <c r="BZ14" s="159">
        <f t="shared" si="62"/>
        <v>2.8137250758354955</v>
      </c>
      <c r="CA14" s="159">
        <f t="shared" si="63"/>
        <v>10.816679014577696</v>
      </c>
      <c r="CB14" s="159">
        <f t="shared" si="64"/>
        <v>11.559523609223547</v>
      </c>
      <c r="CC14" s="159">
        <f t="shared" si="65"/>
        <v>1.9231274795140614</v>
      </c>
      <c r="CD14" s="159">
        <f t="shared" si="66"/>
        <v>6.9597015529612438</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4.2855305129071697</v>
      </c>
    </row>
    <row r="15" spans="1:89" x14ac:dyDescent="0.25">
      <c r="A15" t="str">
        <f>PLANTILLA!D17</f>
        <v>E. Gross</v>
      </c>
      <c r="B15" s="488">
        <f>PLANTILLA!E17</f>
        <v>30</v>
      </c>
      <c r="C15" s="488">
        <f ca="1">PLANTILLA!F17</f>
        <v>105</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12.869777777777777</v>
      </c>
      <c r="N15" s="163">
        <f>PLANTILLA!AA17</f>
        <v>5.1299999999999981</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3.7273390334522261</v>
      </c>
      <c r="AE15" s="159">
        <f t="shared" si="15"/>
        <v>5.0430154060711816</v>
      </c>
      <c r="AF15" s="159">
        <f t="shared" si="16"/>
        <v>9.6457675624059895</v>
      </c>
      <c r="AG15" s="159">
        <f t="shared" si="17"/>
        <v>2.5215077030355908</v>
      </c>
      <c r="AH15" s="159">
        <f t="shared" si="18"/>
        <v>6.0295190247021306</v>
      </c>
      <c r="AI15" s="159">
        <f t="shared" si="19"/>
        <v>12.274005750226156</v>
      </c>
      <c r="AJ15" s="159">
        <f t="shared" si="20"/>
        <v>5.5233025876017701</v>
      </c>
      <c r="AK15" s="159">
        <f t="shared" si="21"/>
        <v>2.6154017587668985</v>
      </c>
      <c r="AL15" s="159">
        <f t="shared" si="22"/>
        <v>4.6577306316662836</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14.784067426802107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15.66108837584969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13.797418859123578</v>
      </c>
      <c r="BH15" s="159">
        <f t="shared" si="44"/>
        <v>8.3366951216859295</v>
      </c>
      <c r="BI15" s="159">
        <f t="shared" si="45"/>
        <v>2.8995458541353312</v>
      </c>
      <c r="BJ15" s="159">
        <f t="shared" si="46"/>
        <v>6.4705356400648757</v>
      </c>
      <c r="BK15" s="159">
        <f t="shared" si="47"/>
        <v>3.5221059978909839</v>
      </c>
      <c r="BL15" s="159">
        <f t="shared" si="48"/>
        <v>5.9668746711987319</v>
      </c>
      <c r="BM15" s="159">
        <f t="shared" si="49"/>
        <v>7.7493354627148516</v>
      </c>
      <c r="BN15" s="159">
        <f t="shared" si="50"/>
        <v>0.62562815109973946</v>
      </c>
      <c r="BO15" s="159">
        <f t="shared" si="51"/>
        <v>2.4014359076529432</v>
      </c>
      <c r="BP15" s="159">
        <f t="shared" si="52"/>
        <v>0.90720912066888981</v>
      </c>
      <c r="BQ15" s="159">
        <f t="shared" si="53"/>
        <v>4.7766319546341558</v>
      </c>
      <c r="BR15" s="159">
        <f t="shared" si="54"/>
        <v>11.362265429120479</v>
      </c>
      <c r="BS15" s="159">
        <f t="shared" si="55"/>
        <v>1.6242269307397084</v>
      </c>
      <c r="BT15" s="159">
        <f t="shared" si="56"/>
        <v>3.7889322098524216</v>
      </c>
      <c r="BU15" s="159">
        <f t="shared" si="57"/>
        <v>3.2552797859295457</v>
      </c>
      <c r="BV15" s="159">
        <f t="shared" si="58"/>
        <v>7.1257952110116092</v>
      </c>
      <c r="BW15" s="159">
        <f t="shared" si="59"/>
        <v>9.7796521426636787</v>
      </c>
      <c r="BX15" s="159">
        <f t="shared" si="60"/>
        <v>1.4557885823667014</v>
      </c>
      <c r="BY15" s="159">
        <f t="shared" si="61"/>
        <v>3.7889322098524216</v>
      </c>
      <c r="BZ15" s="159">
        <f t="shared" si="62"/>
        <v>3.2552797859295457</v>
      </c>
      <c r="CA15" s="159">
        <f t="shared" si="63"/>
        <v>9.8821467651611545</v>
      </c>
      <c r="CB15" s="159">
        <f t="shared" si="64"/>
        <v>7.8828029852743615</v>
      </c>
      <c r="CC15" s="159">
        <f t="shared" si="65"/>
        <v>1.7806339685146431</v>
      </c>
      <c r="CD15" s="159">
        <f t="shared" si="66"/>
        <v>6.3584018805949745</v>
      </c>
      <c r="CE15" s="159">
        <f t="shared" si="67"/>
        <v>4.8814528215954667</v>
      </c>
      <c r="CF15" s="159">
        <f t="shared" si="68"/>
        <v>9.8976757334289758</v>
      </c>
      <c r="CG15" s="159">
        <f t="shared" si="69"/>
        <v>4.8814528215954667</v>
      </c>
      <c r="CH15" s="159">
        <f t="shared" si="70"/>
        <v>4.8295965025988021</v>
      </c>
      <c r="CI15" s="159">
        <f t="shared" si="71"/>
        <v>10.21086420876045</v>
      </c>
      <c r="CJ15" s="159">
        <f t="shared" si="72"/>
        <v>4.8295965025988021</v>
      </c>
      <c r="CK15" s="159">
        <f t="shared" si="73"/>
        <v>3.9152720939624226</v>
      </c>
    </row>
    <row r="16" spans="1:89" x14ac:dyDescent="0.25">
      <c r="A16" t="str">
        <f>PLANTILLA!D18</f>
        <v>L. Bauman</v>
      </c>
      <c r="B16" s="488">
        <f>PLANTILLA!E18</f>
        <v>30</v>
      </c>
      <c r="C16" s="488">
        <f ca="1">PLANTILLA!F18</f>
        <v>80</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14.331408994708985</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4.0578589365638384</v>
      </c>
      <c r="AE16" s="159">
        <f t="shared" si="15"/>
        <v>3.0931221816013936</v>
      </c>
      <c r="AF16" s="159">
        <f t="shared" si="16"/>
        <v>5.9162098870312372</v>
      </c>
      <c r="AG16" s="159">
        <f t="shared" si="17"/>
        <v>1.5465610908006968</v>
      </c>
      <c r="AH16" s="159">
        <f t="shared" si="18"/>
        <v>6.5641835738532679</v>
      </c>
      <c r="AI16" s="159">
        <f t="shared" si="19"/>
        <v>7.5282338811462495</v>
      </c>
      <c r="AJ16" s="159">
        <f t="shared" si="20"/>
        <v>3.3877052465158122</v>
      </c>
      <c r="AK16" s="159">
        <f t="shared" si="21"/>
        <v>2.8473211865805084</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16.095037126538919</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17.049827464553942</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15.020897996272023</v>
      </c>
      <c r="BH16" s="159">
        <f t="shared" si="44"/>
        <v>7.3119490196921664</v>
      </c>
      <c r="BI16" s="159">
        <f t="shared" si="45"/>
        <v>2.8578788512326354</v>
      </c>
      <c r="BJ16" s="159">
        <f t="shared" si="46"/>
        <v>3.9686885134303598</v>
      </c>
      <c r="BK16" s="159">
        <f t="shared" si="47"/>
        <v>2.1602758093724019</v>
      </c>
      <c r="BL16" s="159">
        <f t="shared" si="48"/>
        <v>6.4959842639950525</v>
      </c>
      <c r="BM16" s="159">
        <f t="shared" si="49"/>
        <v>6.5769502426444921</v>
      </c>
      <c r="BN16" s="159">
        <f t="shared" si="50"/>
        <v>0.61663776043193785</v>
      </c>
      <c r="BO16" s="159">
        <f t="shared" si="51"/>
        <v>1.4729153245720923</v>
      </c>
      <c r="BP16" s="159">
        <f t="shared" si="52"/>
        <v>0.55643467817167935</v>
      </c>
      <c r="BQ16" s="159">
        <f t="shared" si="53"/>
        <v>5.2001973766889522</v>
      </c>
      <c r="BR16" s="159">
        <f t="shared" si="54"/>
        <v>9.622426152220612</v>
      </c>
      <c r="BS16" s="159">
        <f t="shared" si="55"/>
        <v>1.6008864934290696</v>
      </c>
      <c r="BT16" s="159">
        <f t="shared" si="56"/>
        <v>2.32393306765819</v>
      </c>
      <c r="BU16" s="159">
        <f t="shared" si="57"/>
        <v>1.9966185510866139</v>
      </c>
      <c r="BV16" s="159">
        <f t="shared" si="58"/>
        <v>7.7576714963720441</v>
      </c>
      <c r="BW16" s="159">
        <f t="shared" si="59"/>
        <v>8.2769676645882111</v>
      </c>
      <c r="BX16" s="159">
        <f t="shared" si="60"/>
        <v>1.4348686348512401</v>
      </c>
      <c r="BY16" s="159">
        <f t="shared" si="61"/>
        <v>2.32393306765819</v>
      </c>
      <c r="BZ16" s="159">
        <f t="shared" si="62"/>
        <v>1.9966185510866139</v>
      </c>
      <c r="CA16" s="159">
        <f t="shared" si="63"/>
        <v>10.758441130133537</v>
      </c>
      <c r="CB16" s="159">
        <f t="shared" si="64"/>
        <v>6.6627795305112354</v>
      </c>
      <c r="CC16" s="159">
        <f t="shared" si="65"/>
        <v>1.7550459335370538</v>
      </c>
      <c r="CD16" s="159">
        <f t="shared" si="66"/>
        <v>6.9222299506089016</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4.2624568661384856</v>
      </c>
    </row>
    <row r="17" spans="1:89" x14ac:dyDescent="0.25">
      <c r="A17" t="str">
        <f>PLANTILLA!D19</f>
        <v>W. Gelifini</v>
      </c>
      <c r="B17" s="488">
        <f>PLANTILLA!E19</f>
        <v>29</v>
      </c>
      <c r="C17" s="488">
        <f ca="1">PLANTILLA!F19</f>
        <v>30</v>
      </c>
      <c r="D17" s="488"/>
      <c r="E17" s="290">
        <v>41737</v>
      </c>
      <c r="F17" s="341">
        <f>PLANTILLA!Q19</f>
        <v>5</v>
      </c>
      <c r="G17" s="407">
        <f t="shared" si="78"/>
        <v>0.84515425472851657</v>
      </c>
      <c r="H17" s="407">
        <f t="shared" si="75"/>
        <v>0.92504826128926143</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12.045769477128738</v>
      </c>
      <c r="W17" s="163">
        <f t="shared" ca="1" si="7"/>
        <v>13.184478511900247</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str">
        <f>PLANTILLA!D20</f>
        <v>M. Amico</v>
      </c>
      <c r="B18" s="488">
        <f>PLANTILLA!E20</f>
        <v>29</v>
      </c>
      <c r="C18" s="488">
        <f ca="1">PLANTILLA!F20</f>
        <v>37</v>
      </c>
      <c r="D18" s="488" t="str">
        <f>PLANTILLA!G20</f>
        <v>IMP</v>
      </c>
      <c r="E18" s="290">
        <v>41730</v>
      </c>
      <c r="F18" s="341">
        <f>PLANTILLA!Q20</f>
        <v>5</v>
      </c>
      <c r="G18" s="407">
        <f t="shared" si="78"/>
        <v>0.84515425472851657</v>
      </c>
      <c r="H18" s="407">
        <f t="shared" si="75"/>
        <v>0.92504826128926143</v>
      </c>
      <c r="I18" s="497">
        <v>1.5</v>
      </c>
      <c r="J18" s="498">
        <f>PLANTILLA!I20</f>
        <v>1.2</v>
      </c>
      <c r="K18" s="163">
        <f>PLANTILLA!X20</f>
        <v>0</v>
      </c>
      <c r="L18" s="163">
        <f>PLANTILLA!Y20</f>
        <v>2.4961111111111101</v>
      </c>
      <c r="M18" s="163">
        <f>PLANTILLA!Z20</f>
        <v>7.3299999999999974</v>
      </c>
      <c r="N18" s="163">
        <f>PLANTILLA!AA20</f>
        <v>4.17</v>
      </c>
      <c r="O18" s="163">
        <f>PLANTILLA!AB20</f>
        <v>7.2649999999999988</v>
      </c>
      <c r="P18" s="163">
        <f>PLANTILLA!AC20</f>
        <v>4.3299999999999983</v>
      </c>
      <c r="Q18" s="163">
        <f>PLANTILLA!AD20</f>
        <v>9.5</v>
      </c>
      <c r="R18" s="163">
        <f t="shared" si="2"/>
        <v>2.5032638888888883</v>
      </c>
      <c r="S18" s="163">
        <f t="shared" si="3"/>
        <v>8.3611207383536659</v>
      </c>
      <c r="T18" s="163">
        <f t="shared" si="4"/>
        <v>0.50149999999999983</v>
      </c>
      <c r="U18" s="163">
        <f t="shared" si="5"/>
        <v>0.38484444444444443</v>
      </c>
      <c r="V18" s="163">
        <f t="shared" ca="1" si="6"/>
        <v>8.9633468306385637</v>
      </c>
      <c r="W18" s="163">
        <f t="shared" ca="1" si="7"/>
        <v>9.8106687088480076</v>
      </c>
      <c r="X18" s="159">
        <f t="shared" si="8"/>
        <v>2.0905936370661018</v>
      </c>
      <c r="Y18" s="159">
        <f t="shared" si="9"/>
        <v>3.1336445404188664</v>
      </c>
      <c r="Z18" s="159">
        <f t="shared" si="10"/>
        <v>2.0905936370661018</v>
      </c>
      <c r="AA18" s="159">
        <f t="shared" si="11"/>
        <v>2.1164700306140984</v>
      </c>
      <c r="AB18" s="159">
        <f t="shared" si="12"/>
        <v>4.1016861058412761</v>
      </c>
      <c r="AC18" s="159">
        <f t="shared" si="13"/>
        <v>1.0582350153070492</v>
      </c>
      <c r="AD18" s="159">
        <f t="shared" si="14"/>
        <v>2.1266668487457787</v>
      </c>
      <c r="AE18" s="159">
        <f t="shared" si="15"/>
        <v>1.5504373480080025</v>
      </c>
      <c r="AF18" s="159">
        <f t="shared" si="16"/>
        <v>2.9655190545232424</v>
      </c>
      <c r="AG18" s="159">
        <f t="shared" si="17"/>
        <v>0.77521867400400124</v>
      </c>
      <c r="AH18" s="159">
        <f t="shared" si="18"/>
        <v>3.4401963729711134</v>
      </c>
      <c r="AI18" s="159">
        <f t="shared" si="19"/>
        <v>3.7735512173739743</v>
      </c>
      <c r="AJ18" s="159">
        <f t="shared" si="20"/>
        <v>1.6980980478182883</v>
      </c>
      <c r="AK18" s="159">
        <f t="shared" si="21"/>
        <v>1.4922410241199375</v>
      </c>
      <c r="AL18" s="159">
        <f t="shared" si="22"/>
        <v>3.3960380969013375</v>
      </c>
      <c r="AM18" s="159">
        <f t="shared" si="23"/>
        <v>3.0926713238043222</v>
      </c>
      <c r="AN18" s="159">
        <f t="shared" si="24"/>
        <v>2.9039937629356234</v>
      </c>
      <c r="AO18" s="159">
        <f t="shared" si="25"/>
        <v>1.8546310241199377</v>
      </c>
      <c r="AP18" s="159">
        <f t="shared" si="26"/>
        <v>1.1833455984822876</v>
      </c>
      <c r="AQ18" s="159">
        <f t="shared" si="27"/>
        <v>1.1074552485771447</v>
      </c>
      <c r="AR18" s="159">
        <f t="shared" si="28"/>
        <v>2.436401546869718</v>
      </c>
      <c r="AS18" s="159">
        <f t="shared" si="29"/>
        <v>0.55372762428857236</v>
      </c>
      <c r="AT18" s="159">
        <f t="shared" si="30"/>
        <v>8.4351827950252751</v>
      </c>
      <c r="AU18" s="159">
        <f t="shared" si="31"/>
        <v>1.1531747493149214</v>
      </c>
      <c r="AV18" s="159">
        <f t="shared" si="32"/>
        <v>2.0913234734559385</v>
      </c>
      <c r="AW18" s="159">
        <f t="shared" si="33"/>
        <v>0.57658737465746068</v>
      </c>
      <c r="AX18" s="159">
        <f t="shared" si="34"/>
        <v>0.77521867400400124</v>
      </c>
      <c r="AY18" s="159">
        <f t="shared" si="35"/>
        <v>1.6406744423365105</v>
      </c>
      <c r="AZ18" s="159">
        <f t="shared" si="36"/>
        <v>0.38760933700200062</v>
      </c>
      <c r="BA18" s="159">
        <f t="shared" si="37"/>
        <v>8.9355749947301639</v>
      </c>
      <c r="BB18" s="159">
        <f t="shared" si="38"/>
        <v>2.2442554736667315</v>
      </c>
      <c r="BC18" s="159">
        <f t="shared" si="39"/>
        <v>4.2713368220963206</v>
      </c>
      <c r="BD18" s="159">
        <f t="shared" si="40"/>
        <v>1.1221277368333658</v>
      </c>
      <c r="BE18" s="159">
        <f t="shared" si="41"/>
        <v>1.1935906567998114</v>
      </c>
      <c r="BF18" s="159">
        <f t="shared" si="42"/>
        <v>1.4273867648327641</v>
      </c>
      <c r="BG18" s="159">
        <f t="shared" si="43"/>
        <v>7.8722415703572741</v>
      </c>
      <c r="BH18" s="159">
        <f t="shared" si="44"/>
        <v>6.1094111703151164</v>
      </c>
      <c r="BI18" s="159">
        <f t="shared" si="45"/>
        <v>2.1378085737299695</v>
      </c>
      <c r="BJ18" s="159">
        <f t="shared" si="46"/>
        <v>1.9893177613330189</v>
      </c>
      <c r="BK18" s="159">
        <f t="shared" si="47"/>
        <v>1.0828451319420969</v>
      </c>
      <c r="BL18" s="159">
        <f t="shared" si="48"/>
        <v>3.4044540729921926</v>
      </c>
      <c r="BM18" s="159">
        <f t="shared" si="49"/>
        <v>5.669947545394165</v>
      </c>
      <c r="BN18" s="159">
        <f t="shared" si="50"/>
        <v>0.46126989972596855</v>
      </c>
      <c r="BO18" s="159">
        <f t="shared" si="51"/>
        <v>0.73830349905142967</v>
      </c>
      <c r="BP18" s="159">
        <f t="shared" si="52"/>
        <v>0.27891465519720682</v>
      </c>
      <c r="BQ18" s="159">
        <f t="shared" si="53"/>
        <v>2.7253503733927</v>
      </c>
      <c r="BR18" s="159">
        <f t="shared" si="54"/>
        <v>8.3125594432229928</v>
      </c>
      <c r="BS18" s="159">
        <f t="shared" si="55"/>
        <v>1.1975276242885722</v>
      </c>
      <c r="BT18" s="159">
        <f t="shared" si="56"/>
        <v>1.1648788540589223</v>
      </c>
      <c r="BU18" s="159">
        <f t="shared" si="57"/>
        <v>1.0008114098252714</v>
      </c>
      <c r="BV18" s="159">
        <f t="shared" si="58"/>
        <v>4.0656866226022244</v>
      </c>
      <c r="BW18" s="159">
        <f t="shared" si="59"/>
        <v>7.1545170941610232</v>
      </c>
      <c r="BX18" s="159">
        <f t="shared" si="60"/>
        <v>1.0733395743623499</v>
      </c>
      <c r="BY18" s="159">
        <f t="shared" si="61"/>
        <v>1.1648788540589223</v>
      </c>
      <c r="BZ18" s="159">
        <f t="shared" si="62"/>
        <v>1.0008114098252714</v>
      </c>
      <c r="CA18" s="159">
        <f t="shared" si="63"/>
        <v>5.6383478216747331</v>
      </c>
      <c r="CB18" s="159">
        <f t="shared" si="64"/>
        <v>5.766474620283498</v>
      </c>
      <c r="CC18" s="159">
        <f t="shared" si="65"/>
        <v>1.3128450992200642</v>
      </c>
      <c r="CD18" s="159">
        <f t="shared" si="66"/>
        <v>3.6278434478604469</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2.233893748682541</v>
      </c>
    </row>
    <row r="19" spans="1:89" x14ac:dyDescent="0.25">
      <c r="A19" t="str">
        <f>PLANTILLA!D22</f>
        <v>J. Limon</v>
      </c>
      <c r="B19" s="488">
        <f>PLANTILLA!E22</f>
        <v>30</v>
      </c>
      <c r="C19" s="488">
        <f ca="1">PLANTILLA!F22</f>
        <v>5</v>
      </c>
      <c r="D19" s="488" t="str">
        <f>PLANTILLA!G22</f>
        <v>RAP</v>
      </c>
      <c r="E19" s="290">
        <v>41664</v>
      </c>
      <c r="F19" s="341">
        <f>PLANTILLA!Q22</f>
        <v>7</v>
      </c>
      <c r="G19" s="407">
        <f t="shared" si="78"/>
        <v>1</v>
      </c>
      <c r="H19" s="407">
        <f t="shared" si="75"/>
        <v>1</v>
      </c>
      <c r="I19" s="497">
        <v>1.5</v>
      </c>
      <c r="J19" s="498">
        <f>PLANTILLA!I22</f>
        <v>10.3</v>
      </c>
      <c r="K19" s="163">
        <f>PLANTILLA!X22</f>
        <v>0</v>
      </c>
      <c r="L19" s="163">
        <f>PLANTILLA!Y22</f>
        <v>6.8376190476190493</v>
      </c>
      <c r="M19" s="163">
        <f>PLANTILLA!Z22</f>
        <v>8.625</v>
      </c>
      <c r="N19" s="163">
        <f>PLANTILLA!AA22</f>
        <v>8.7299999999999969</v>
      </c>
      <c r="O19" s="163">
        <f>PLANTILLA!AB22</f>
        <v>9.6900000000000013</v>
      </c>
      <c r="P19" s="163">
        <f>PLANTILLA!AC22</f>
        <v>8.5625000000000018</v>
      </c>
      <c r="Q19" s="163">
        <f>PLANTILLA!AD22</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2.7311570126397746</v>
      </c>
      <c r="AE19" s="159">
        <f t="shared" si="15"/>
        <v>3.6620899612514077</v>
      </c>
      <c r="AF19" s="159">
        <f t="shared" si="16"/>
        <v>7.0044736560443592</v>
      </c>
      <c r="AG19" s="159">
        <f t="shared" si="17"/>
        <v>1.8310449806257039</v>
      </c>
      <c r="AH19" s="159">
        <f t="shared" si="18"/>
        <v>4.4180481086819885</v>
      </c>
      <c r="AI19" s="159">
        <f t="shared" si="19"/>
        <v>8.9130231861145379</v>
      </c>
      <c r="AJ19" s="159">
        <f t="shared" si="20"/>
        <v>4.0108604337515414</v>
      </c>
      <c r="AK19" s="159">
        <f t="shared" si="21"/>
        <v>1.9164000887010184</v>
      </c>
      <c r="AL19" s="159">
        <f t="shared" si="22"/>
        <v>6.8093043841688523</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10.832824453495576</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11.475449632940229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10.109871126620343</v>
      </c>
      <c r="BH19" s="159">
        <f t="shared" si="44"/>
        <v>10.597419723683862</v>
      </c>
      <c r="BI19" s="159">
        <f t="shared" si="45"/>
        <v>3.0222483615385953</v>
      </c>
      <c r="BJ19" s="159">
        <f t="shared" si="46"/>
        <v>4.6987133100712501</v>
      </c>
      <c r="BK19" s="159">
        <f t="shared" si="47"/>
        <v>2.5576501316676499</v>
      </c>
      <c r="BL19" s="159">
        <f t="shared" si="48"/>
        <v>4.3721463101502271</v>
      </c>
      <c r="BM19" s="159">
        <f t="shared" si="49"/>
        <v>10.314272979189759</v>
      </c>
      <c r="BN19" s="159">
        <f t="shared" si="50"/>
        <v>0.65210338091289199</v>
      </c>
      <c r="BO19" s="159">
        <f t="shared" si="51"/>
        <v>1.7438523625006703</v>
      </c>
      <c r="BP19" s="159">
        <f t="shared" si="52"/>
        <v>0.65878867027803101</v>
      </c>
      <c r="BQ19" s="159">
        <f t="shared" si="53"/>
        <v>3.5000121380467699</v>
      </c>
      <c r="BR19" s="159">
        <f t="shared" si="54"/>
        <v>15.167018227961131</v>
      </c>
      <c r="BS19" s="159">
        <f t="shared" si="55"/>
        <v>1.6929607004469311</v>
      </c>
      <c r="BT19" s="159">
        <f t="shared" si="56"/>
        <v>2.7514115052788353</v>
      </c>
      <c r="BU19" s="159">
        <f t="shared" si="57"/>
        <v>2.363888758056464</v>
      </c>
      <c r="BV19" s="159">
        <f t="shared" si="58"/>
        <v>5.2213295829878046</v>
      </c>
      <c r="BW19" s="159">
        <f t="shared" si="59"/>
        <v>13.065378193297772</v>
      </c>
      <c r="BX19" s="159">
        <f t="shared" si="60"/>
        <v>1.5173944055857678</v>
      </c>
      <c r="BY19" s="159">
        <f t="shared" si="61"/>
        <v>2.7514115052788353</v>
      </c>
      <c r="BZ19" s="159">
        <f t="shared" si="62"/>
        <v>2.363888758056464</v>
      </c>
      <c r="CA19" s="159">
        <f t="shared" si="63"/>
        <v>7.2410087183852845</v>
      </c>
      <c r="CB19" s="159">
        <f t="shared" si="64"/>
        <v>10.549782421481503</v>
      </c>
      <c r="CC19" s="159">
        <f t="shared" si="65"/>
        <v>1.8559865456751541</v>
      </c>
      <c r="CD19" s="159">
        <f t="shared" si="66"/>
        <v>4.6590325509737331</v>
      </c>
      <c r="CE19" s="159">
        <f t="shared" si="67"/>
        <v>6.2521417587618595</v>
      </c>
      <c r="CF19" s="159">
        <f t="shared" si="68"/>
        <v>13.463213786690702</v>
      </c>
      <c r="CG19" s="159">
        <f t="shared" si="69"/>
        <v>6.2521417587618595</v>
      </c>
      <c r="CH19" s="159">
        <f t="shared" si="70"/>
        <v>7.1773901213217624</v>
      </c>
      <c r="CI19" s="159">
        <f t="shared" si="71"/>
        <v>16.040375547495177</v>
      </c>
      <c r="CJ19" s="159">
        <f t="shared" si="72"/>
        <v>7.1773901213217624</v>
      </c>
      <c r="CK19" s="159">
        <f t="shared" si="73"/>
        <v>2.8688624082350573</v>
      </c>
    </row>
    <row r="20" spans="1:89" x14ac:dyDescent="0.25">
      <c r="A20" t="str">
        <f>PLANTILLA!D23</f>
        <v>L. Calosso</v>
      </c>
      <c r="B20" s="488">
        <f>PLANTILLA!E23</f>
        <v>30</v>
      </c>
      <c r="C20" s="488">
        <f ca="1">PLANTILLA!F23</f>
        <v>74</v>
      </c>
      <c r="D20" s="488" t="str">
        <f>PLANTILLA!G23</f>
        <v>TEC</v>
      </c>
      <c r="E20" s="290">
        <v>41890</v>
      </c>
      <c r="F20" s="341">
        <f>PLANTILLA!Q23</f>
        <v>5</v>
      </c>
      <c r="G20" s="407">
        <f t="shared" si="78"/>
        <v>0.84515425472851657</v>
      </c>
      <c r="H20" s="407">
        <f t="shared" si="75"/>
        <v>0.92504826128926143</v>
      </c>
      <c r="I20" s="497">
        <v>1.5</v>
      </c>
      <c r="J20" s="498">
        <f>PLANTILLA!I23</f>
        <v>10.5</v>
      </c>
      <c r="K20" s="163">
        <f>PLANTILLA!X23</f>
        <v>0</v>
      </c>
      <c r="L20" s="163">
        <f>PLANTILLA!Y23</f>
        <v>3.02</v>
      </c>
      <c r="M20" s="163">
        <f>PLANTILLA!Z23</f>
        <v>14.137609523809523</v>
      </c>
      <c r="N20" s="163">
        <f>PLANTILLA!AA23</f>
        <v>3.02</v>
      </c>
      <c r="O20" s="163">
        <f>PLANTILLA!AB23</f>
        <v>15.02</v>
      </c>
      <c r="P20" s="163">
        <f>PLANTILLA!AC23</f>
        <v>10</v>
      </c>
      <c r="Q20" s="163">
        <f>PLANTILLA!AD23</f>
        <v>9.3000000000000007</v>
      </c>
      <c r="R20" s="163">
        <f t="shared" si="2"/>
        <v>4.5075000000000003</v>
      </c>
      <c r="S20" s="163">
        <f t="shared" si="3"/>
        <v>20.439104467926086</v>
      </c>
      <c r="T20" s="163">
        <f t="shared" si="4"/>
        <v>0.77900000000000003</v>
      </c>
      <c r="U20" s="163">
        <f t="shared" si="5"/>
        <v>0.39980000000000004</v>
      </c>
      <c r="V20" s="163">
        <f t="shared" ca="1" si="6"/>
        <v>9.855838798359974</v>
      </c>
      <c r="W20" s="163">
        <f t="shared" ca="1" si="7"/>
        <v>10.787529605348521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4.0458084709048601</v>
      </c>
      <c r="AE20" s="159">
        <f t="shared" si="15"/>
        <v>2.2232394067312486</v>
      </c>
      <c r="AF20" s="159">
        <f t="shared" si="16"/>
        <v>4.25238648430342</v>
      </c>
      <c r="AG20" s="159">
        <f t="shared" si="17"/>
        <v>1.1116197033656243</v>
      </c>
      <c r="AH20" s="159">
        <f t="shared" si="18"/>
        <v>6.544690173522568</v>
      </c>
      <c r="AI20" s="159">
        <f t="shared" si="19"/>
        <v>5.411058873525791</v>
      </c>
      <c r="AJ20" s="159">
        <f t="shared" si="20"/>
        <v>2.4349764930866056</v>
      </c>
      <c r="AK20" s="159">
        <f t="shared" si="21"/>
        <v>2.8388656077357632</v>
      </c>
      <c r="AL20" s="159">
        <f t="shared" si="22"/>
        <v>3.4583724104708309</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16.047240321572218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16.999195255902773</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14.976291020450343</v>
      </c>
      <c r="BH20" s="159">
        <f t="shared" si="44"/>
        <v>9.0087297158308992</v>
      </c>
      <c r="BI20" s="159">
        <f t="shared" si="45"/>
        <v>4.3094621614344728</v>
      </c>
      <c r="BJ20" s="159">
        <f t="shared" si="46"/>
        <v>2.8525690800652264</v>
      </c>
      <c r="BK20" s="159">
        <f t="shared" si="47"/>
        <v>1.5527386332726181</v>
      </c>
      <c r="BL20" s="159">
        <f t="shared" si="48"/>
        <v>6.4766933924989569</v>
      </c>
      <c r="BM20" s="159">
        <f t="shared" si="49"/>
        <v>7.5525059298495005</v>
      </c>
      <c r="BN20" s="159">
        <f t="shared" si="50"/>
        <v>0.92984245806884891</v>
      </c>
      <c r="BO20" s="159">
        <f t="shared" si="51"/>
        <v>1.0586854317767851</v>
      </c>
      <c r="BP20" s="159">
        <f t="shared" si="52"/>
        <v>0.39994782978234106</v>
      </c>
      <c r="BQ20" s="159">
        <f t="shared" si="53"/>
        <v>5.1847545530503458</v>
      </c>
      <c r="BR20" s="159">
        <f t="shared" si="54"/>
        <v>10.995719251471918</v>
      </c>
      <c r="BS20" s="159">
        <f t="shared" si="55"/>
        <v>2.4140140738325888</v>
      </c>
      <c r="BT20" s="159">
        <f t="shared" si="56"/>
        <v>1.6703703479144829</v>
      </c>
      <c r="BU20" s="159">
        <f t="shared" si="57"/>
        <v>1.435106918630753</v>
      </c>
      <c r="BV20" s="159">
        <f t="shared" si="58"/>
        <v>7.7346338414357616</v>
      </c>
      <c r="BW20" s="159">
        <f t="shared" si="59"/>
        <v>9.4447969911593219</v>
      </c>
      <c r="BX20" s="159">
        <f t="shared" si="60"/>
        <v>2.1636718735832829</v>
      </c>
      <c r="BY20" s="159">
        <f t="shared" si="61"/>
        <v>1.6703703479144829</v>
      </c>
      <c r="BZ20" s="159">
        <f t="shared" si="62"/>
        <v>1.435106918630753</v>
      </c>
      <c r="CA20" s="159">
        <f t="shared" si="63"/>
        <v>10.726492206474649</v>
      </c>
      <c r="CB20" s="159">
        <f t="shared" si="64"/>
        <v>7.5800192302234581</v>
      </c>
      <c r="CC20" s="159">
        <f t="shared" si="65"/>
        <v>2.6464746883498007</v>
      </c>
      <c r="CD20" s="159">
        <f t="shared" si="66"/>
        <v>6.9016732738965265</v>
      </c>
      <c r="CE20" s="159">
        <f t="shared" si="67"/>
        <v>8.3092930249880439</v>
      </c>
      <c r="CF20" s="159">
        <f t="shared" si="68"/>
        <v>17.208005534336998</v>
      </c>
      <c r="CG20" s="159">
        <f t="shared" si="69"/>
        <v>8.3092930249880439</v>
      </c>
      <c r="CH20" s="159">
        <f t="shared" si="70"/>
        <v>7.0530279110940945</v>
      </c>
      <c r="CI20" s="159">
        <f t="shared" si="71"/>
        <v>19.459890867235657</v>
      </c>
      <c r="CJ20" s="159">
        <f t="shared" si="72"/>
        <v>7.0530279110940945</v>
      </c>
      <c r="CK20" s="159">
        <f t="shared" si="73"/>
        <v>4.2497988139756933</v>
      </c>
    </row>
    <row r="21" spans="1:89" x14ac:dyDescent="0.25">
      <c r="A21" t="str">
        <f>PLANTILLA!D24</f>
        <v>P .Trivadi</v>
      </c>
      <c r="B21" s="488">
        <f>PLANTILLA!E24</f>
        <v>27</v>
      </c>
      <c r="C21" s="488">
        <f ca="1">PLANTILLA!F24</f>
        <v>36</v>
      </c>
      <c r="D21" s="488"/>
      <c r="E21" s="290">
        <v>41973</v>
      </c>
      <c r="F21" s="341">
        <f>PLANTILLA!Q24</f>
        <v>6</v>
      </c>
      <c r="G21" s="407">
        <f t="shared" si="78"/>
        <v>0.92582009977255142</v>
      </c>
      <c r="H21" s="407">
        <f t="shared" si="75"/>
        <v>0.99928545900129484</v>
      </c>
      <c r="I21" s="497">
        <v>1.5</v>
      </c>
      <c r="J21" s="498">
        <f>PLANTILLA!I24</f>
        <v>5.5</v>
      </c>
      <c r="K21" s="163">
        <f>PLANTILLA!X24</f>
        <v>0</v>
      </c>
      <c r="L21" s="163">
        <f>PLANTILLA!Y24</f>
        <v>4.0199999999999996</v>
      </c>
      <c r="M21" s="163">
        <f>PLANTILLA!Z24</f>
        <v>5.5538722222222203</v>
      </c>
      <c r="N21" s="163">
        <f>PLANTILLA!AA24</f>
        <v>5.4899999999999993</v>
      </c>
      <c r="O21" s="163">
        <f>PLANTILLA!AB24</f>
        <v>10.799999999999999</v>
      </c>
      <c r="P21" s="163">
        <f>PLANTILLA!AC24</f>
        <v>8.384500000000001</v>
      </c>
      <c r="Q21" s="163">
        <f>PLANTILLA!AD24</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1.9137633490217283</v>
      </c>
      <c r="AE21" s="159">
        <f t="shared" si="15"/>
        <v>2.4597027955050987</v>
      </c>
      <c r="AF21" s="159">
        <f t="shared" si="16"/>
        <v>4.7046696326724504</v>
      </c>
      <c r="AG21" s="159">
        <f t="shared" si="17"/>
        <v>1.2298513977525494</v>
      </c>
      <c r="AH21" s="159">
        <f t="shared" si="18"/>
        <v>3.0957936528292667</v>
      </c>
      <c r="AI21" s="159">
        <f t="shared" si="19"/>
        <v>5.9865782324462726</v>
      </c>
      <c r="AJ21" s="159">
        <f t="shared" si="20"/>
        <v>2.6939602046008226</v>
      </c>
      <c r="AK21" s="159">
        <f t="shared" si="21"/>
        <v>1.3428507533051623</v>
      </c>
      <c r="AL21" s="159">
        <f t="shared" si="22"/>
        <v>4.6905643485634867</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7.5907252162878631</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8.0410224748812116</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7.0841408003703474</v>
      </c>
      <c r="BH21" s="159">
        <f t="shared" si="44"/>
        <v>8.7643365746138429</v>
      </c>
      <c r="BI21" s="159">
        <f t="shared" si="45"/>
        <v>3.2022032108908167</v>
      </c>
      <c r="BJ21" s="159">
        <f t="shared" si="46"/>
        <v>3.1559678725396108</v>
      </c>
      <c r="BK21" s="159">
        <f t="shared" si="47"/>
        <v>1.7178876667019738</v>
      </c>
      <c r="BL21" s="159">
        <f t="shared" si="48"/>
        <v>3.0636295629297416</v>
      </c>
      <c r="BM21" s="159">
        <f t="shared" si="49"/>
        <v>8.0393393208239594</v>
      </c>
      <c r="BN21" s="159">
        <f t="shared" si="50"/>
        <v>0.69093181313826746</v>
      </c>
      <c r="BO21" s="159">
        <f t="shared" si="51"/>
        <v>1.1712870454786184</v>
      </c>
      <c r="BP21" s="159">
        <f t="shared" si="52"/>
        <v>0.44248621718081149</v>
      </c>
      <c r="BQ21" s="159">
        <f t="shared" si="53"/>
        <v>2.4525118548387694</v>
      </c>
      <c r="BR21" s="159">
        <f t="shared" si="54"/>
        <v>11.777275224919462</v>
      </c>
      <c r="BS21" s="159">
        <f t="shared" si="55"/>
        <v>1.793765284108964</v>
      </c>
      <c r="BT21" s="159">
        <f t="shared" si="56"/>
        <v>1.8480306717551536</v>
      </c>
      <c r="BU21" s="159">
        <f t="shared" si="57"/>
        <v>1.587744661648794</v>
      </c>
      <c r="BV21" s="159">
        <f t="shared" si="58"/>
        <v>3.6586652260709513</v>
      </c>
      <c r="BW21" s="159">
        <f t="shared" si="59"/>
        <v>10.134322479946162</v>
      </c>
      <c r="BX21" s="159">
        <f t="shared" si="60"/>
        <v>1.6077451805717378</v>
      </c>
      <c r="BY21" s="159">
        <f t="shared" si="61"/>
        <v>1.8480306717551536</v>
      </c>
      <c r="BZ21" s="159">
        <f t="shared" si="62"/>
        <v>1.587744661648794</v>
      </c>
      <c r="CA21" s="159">
        <f t="shared" si="63"/>
        <v>5.073885181650045</v>
      </c>
      <c r="CB21" s="159">
        <f t="shared" si="64"/>
        <v>8.1643794761297972</v>
      </c>
      <c r="CC21" s="159">
        <f t="shared" si="65"/>
        <v>1.9664982373935307</v>
      </c>
      <c r="CD21" s="159">
        <f t="shared" si="66"/>
        <v>3.2646551248017723</v>
      </c>
      <c r="CE21" s="159">
        <f t="shared" si="67"/>
        <v>5.8511967816353341</v>
      </c>
      <c r="CF21" s="159">
        <f t="shared" si="68"/>
        <v>13.553094684494026</v>
      </c>
      <c r="CG21" s="159">
        <f t="shared" si="69"/>
        <v>5.8511967816353341</v>
      </c>
      <c r="CH21" s="159">
        <f t="shared" si="70"/>
        <v>6.3463546074065516</v>
      </c>
      <c r="CI21" s="159">
        <f t="shared" si="71"/>
        <v>15.77460869589016</v>
      </c>
      <c r="CJ21" s="159">
        <f t="shared" si="72"/>
        <v>6.3463546074065516</v>
      </c>
      <c r="CK21" s="159">
        <f t="shared" si="73"/>
        <v>2.0102556187203029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0.3088516316886793</v>
      </c>
      <c r="M29" s="47">
        <f>(L25-M27)/M27</f>
        <v>0.32190517849548683</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33</v>
      </c>
      <c r="E3" s="633"/>
      <c r="F3" s="290">
        <v>42468</v>
      </c>
      <c r="G3" s="497">
        <v>1</v>
      </c>
      <c r="H3" s="498">
        <f>PLANTILLA!I5</f>
        <v>18.5</v>
      </c>
      <c r="I3" s="498"/>
      <c r="J3" s="163">
        <f>PLANTILLA!X5</f>
        <v>16.666666666666668</v>
      </c>
      <c r="K3" s="163">
        <f>PLANTILLA!Y5</f>
        <v>12.080559440559444</v>
      </c>
      <c r="L3" s="163">
        <f>PLANTILLA!Z5</f>
        <v>2.0499999999999989</v>
      </c>
      <c r="M3" s="163">
        <f>PLANTILLA!AA5</f>
        <v>2.1399999999999992</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1.1280158284798893</v>
      </c>
      <c r="AC3" s="159">
        <f t="shared" ref="AC3:AC22" si="6">((K3+G3+(LOG(H3)*4/3))*0.378)</f>
        <v>5.5831060196465891</v>
      </c>
      <c r="AD3" s="159">
        <f t="shared" ref="AD3:AD22" si="7">(K3+G3+(LOG(H3)*4/3))*0.723</f>
        <v>10.678798021704983</v>
      </c>
      <c r="AE3" s="159">
        <f>AC3/2</f>
        <v>2.7915530098232946</v>
      </c>
      <c r="AF3" s="159">
        <f t="shared" ref="AF3:AF22" si="8">(L3+G3+(LOG(H3)*4/3))*0.385</f>
        <v>1.8247314872468798</v>
      </c>
      <c r="AG3" s="357">
        <f t="shared" ref="AG3:AG22" si="9">((K3+G3+(LOG(H3)*4/3))*0.92)</f>
        <v>13.588512005489052</v>
      </c>
      <c r="AH3" s="159">
        <f t="shared" ref="AH3:AH22" si="10">(K3+G3+(LOG(H3)*4/3))*0.414</f>
        <v>6.1148304024700737</v>
      </c>
      <c r="AI3" s="159">
        <f t="shared" ref="AI3:AI22" si="11">((L3+G3+(LOG(H3)*4/3))*0.167)</f>
        <v>0.79150690485773756</v>
      </c>
      <c r="AJ3" s="357">
        <f t="shared" ref="AJ3:AJ22" si="12">(M3+G3+(LOG(H3)*4/3))*0.588</f>
        <v>2.8397826350679622</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4.474146815483258</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4.7395623045373503</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4.1755543902974059</v>
      </c>
      <c r="BF3" s="159">
        <f t="shared" ref="BF3:BF22" si="30">((M3+G3+(LOG(H3)*4/3))*0.574)+((N3+G3+(LOG(H3)*4/3))*0.315)</f>
        <v>3.9469808887337052</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1.8057732380287306</v>
      </c>
      <c r="BK3" s="159">
        <f t="shared" ref="BK3:BK22" si="35">((M3+G3+(LOG(H3)*4/3))*0.673)+((N3+G3+(LOG(H3)*4/3))*0.201)</f>
        <v>3.9999374541656452</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1.4455665028838918</v>
      </c>
      <c r="BP3" s="159">
        <f t="shared" ref="BP3:BP22" si="40">((M3+G3+(LOG(H3)*4/3))*1)+((N3+G3+(LOG(H3)*4/3))*0.286)</f>
        <v>5.8962171236350329</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2.1565008485644945</v>
      </c>
      <c r="BU3" s="159">
        <f t="shared" ref="BU3:BU22" si="45">((M3+G3+(LOG(H3)*4/3))*0.864)+((N3+G3+(LOG(H3)*4/3))*0.244)</f>
        <v>5.082755033427385</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2.9906638141630681</v>
      </c>
      <c r="BZ3" s="159">
        <f t="shared" ref="BZ3:BZ22" si="50">((M3+G3+(LOG(H3)*4/3))*0.702)+((N3+G3+(LOG(H3)*4/3))*0.193)</f>
        <v>4.1101582625609288</v>
      </c>
      <c r="CA3" s="159">
        <f t="shared" ref="CA3:CA22" si="51">((N3+G3+(LOG(H3)*4/3))*0.148)</f>
        <v>0.55197522107152797</v>
      </c>
      <c r="CB3" s="159">
        <f t="shared" ref="CB3:CB22" si="52">((L3+G3+(LOG(H3)*4/3))*0.406)</f>
        <v>1.9242622956421644</v>
      </c>
      <c r="CC3" s="159">
        <f t="shared" ref="CC3:CC22" si="53">IF(E3="TEC",((M3+G3+(LOG(H3)*4/3))*0.15)+((N3+G3+(LOG(H3)*4/3))*0.324)+((O3+G3+(LOG(H3)*4/3))*0.127),(((M3+G3+(LOG(H3)*4/3))*0.144)+((N3+G3+(LOG(H3)*4/3))*0.25)+((O3+G3+(LOG(H3)*4/3))*0.127)))</f>
        <v>1.9872725162195155</v>
      </c>
      <c r="CD3" s="159">
        <f t="shared" ref="CD3:CD22" si="54">((N3+G3+(LOG(H3)*4/3))*0.543)+((O3+G3+(LOG(H3)*4/3))*0.583)</f>
        <v>3.6751110437979468</v>
      </c>
      <c r="CE3" s="159">
        <f>CC3</f>
        <v>1.9872725162195155</v>
      </c>
      <c r="CF3" s="159">
        <f t="shared" ref="CF3:CF22" si="55">((O3+1+(LOG(H3)*4/3))*0.26)+((M3+G3+(LOG(H3)*4/3))*0.221)+((N3+G3+(LOG(H3)*4/3))*0.142)</f>
        <v>2.3327617601712145</v>
      </c>
      <c r="CG3" s="159">
        <f t="shared" ref="CG3:CG22" si="56">((O3+G3+(LOG(H3)*4/3))*1)+((N3+G3+(LOG(H3)*4/3))*0.369)</f>
        <v>4.2063263504671902</v>
      </c>
      <c r="CH3" s="159">
        <f>CF3</f>
        <v>2.3327617601712145</v>
      </c>
      <c r="CI3" s="159">
        <f>((L3+G3+(LOG(H3)*4/3))*0.25)</f>
        <v>1.1848905761343376</v>
      </c>
    </row>
    <row r="4" spans="1:87" x14ac:dyDescent="0.25">
      <c r="A4" t="str">
        <f>PLANTILLA!D6</f>
        <v>T. Hammond</v>
      </c>
      <c r="B4" t="s">
        <v>855</v>
      </c>
      <c r="C4" s="633">
        <f>PLANTILLA!E6</f>
        <v>34</v>
      </c>
      <c r="D4" s="633">
        <f ca="1">PLANTILLA!F6</f>
        <v>42</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90</v>
      </c>
      <c r="E5" s="633" t="str">
        <f>PLANTILLA!G8</f>
        <v>CAB</v>
      </c>
      <c r="F5" s="290">
        <v>41519</v>
      </c>
      <c r="G5" s="497">
        <v>1.5</v>
      </c>
      <c r="H5" s="498">
        <f>PLANTILLA!I8</f>
        <v>7.6</v>
      </c>
      <c r="I5" s="341"/>
      <c r="J5" s="163">
        <f>PLANTILLA!X8</f>
        <v>0</v>
      </c>
      <c r="K5" s="163">
        <f>PLANTILLA!Y8</f>
        <v>11.077333333333334</v>
      </c>
      <c r="L5" s="163">
        <f>PLANTILLA!Z8</f>
        <v>6.199444444444441</v>
      </c>
      <c r="M5" s="163">
        <f>PLANTILLA!AA8</f>
        <v>6.04</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2.111979291061548</v>
      </c>
      <c r="AC5" s="159">
        <f t="shared" si="6"/>
        <v>5.1981620505095192</v>
      </c>
      <c r="AD5" s="159">
        <f t="shared" si="7"/>
        <v>9.9425163029586834</v>
      </c>
      <c r="AE5" s="159">
        <f t="shared" si="63"/>
        <v>2.5990810252547596</v>
      </c>
      <c r="AF5" s="159">
        <f t="shared" si="8"/>
        <v>3.4164370884819162</v>
      </c>
      <c r="AG5" s="357">
        <f t="shared" si="9"/>
        <v>12.65161133986444</v>
      </c>
      <c r="AH5" s="159">
        <f t="shared" si="10"/>
        <v>5.6932251029389969</v>
      </c>
      <c r="AI5" s="159">
        <f t="shared" si="11"/>
        <v>1.481935048770078</v>
      </c>
      <c r="AJ5" s="357">
        <f t="shared" si="12"/>
        <v>5.1240778563481397</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8.3769262637063076</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8.8738625674854958</v>
      </c>
      <c r="AZ5" s="159">
        <f t="shared" si="25"/>
        <v>2.6304905629071653</v>
      </c>
      <c r="BA5" s="159">
        <f t="shared" si="26"/>
        <v>5.0275716080178441</v>
      </c>
      <c r="BB5" s="159">
        <f t="shared" si="67"/>
        <v>1.3152452814535827</v>
      </c>
      <c r="BC5" s="159">
        <f t="shared" si="27"/>
        <v>4.0017596738049468</v>
      </c>
      <c r="BD5" s="159">
        <f t="shared" si="28"/>
        <v>4.7856095068182869</v>
      </c>
      <c r="BE5" s="159">
        <f t="shared" si="29"/>
        <v>7.8178729219547218</v>
      </c>
      <c r="BF5" s="159">
        <f t="shared" si="30"/>
        <v>8.2771927113834991</v>
      </c>
      <c r="BG5" s="159">
        <f t="shared" si="31"/>
        <v>2.5057242120973391</v>
      </c>
      <c r="BH5" s="159">
        <f t="shared" si="32"/>
        <v>6.6695994563415786</v>
      </c>
      <c r="BI5" s="159">
        <f t="shared" si="33"/>
        <v>3.630462384482839</v>
      </c>
      <c r="BJ5" s="159">
        <f t="shared" si="34"/>
        <v>3.3809416382119739</v>
      </c>
      <c r="BK5" s="159">
        <f t="shared" si="35"/>
        <v>7.9546397728712162</v>
      </c>
      <c r="BL5" s="159">
        <f t="shared" si="36"/>
        <v>0.54065418684257938</v>
      </c>
      <c r="BM5" s="159">
        <f t="shared" si="37"/>
        <v>2.4753152621473902</v>
      </c>
      <c r="BN5" s="159">
        <f t="shared" si="38"/>
        <v>0.93511909903345858</v>
      </c>
      <c r="BO5" s="159">
        <f t="shared" si="39"/>
        <v>2.706528083083076</v>
      </c>
      <c r="BP5" s="159">
        <f t="shared" si="40"/>
        <v>11.688016150675242</v>
      </c>
      <c r="BQ5" s="159">
        <f t="shared" si="41"/>
        <v>1.4036214466105428</v>
      </c>
      <c r="BR5" s="159">
        <f t="shared" si="42"/>
        <v>3.9054974136103264</v>
      </c>
      <c r="BS5" s="159">
        <f t="shared" si="43"/>
        <v>3.3554273553553511</v>
      </c>
      <c r="BT5" s="159">
        <f t="shared" si="44"/>
        <v>4.0376074682059011</v>
      </c>
      <c r="BU5" s="159">
        <f t="shared" si="45"/>
        <v>10.066173058107267</v>
      </c>
      <c r="BV5" s="159">
        <f t="shared" si="46"/>
        <v>1.258060703999079</v>
      </c>
      <c r="BW5" s="159">
        <f t="shared" si="47"/>
        <v>3.9054974136103264</v>
      </c>
      <c r="BX5" s="159">
        <f t="shared" si="48"/>
        <v>3.3554273553553511</v>
      </c>
      <c r="BY5" s="159">
        <f t="shared" si="49"/>
        <v>5.5994072800833479</v>
      </c>
      <c r="BZ5" s="159">
        <f t="shared" si="50"/>
        <v>8.1241803312328553</v>
      </c>
      <c r="CA5" s="159">
        <f t="shared" si="51"/>
        <v>1.5387849933211875</v>
      </c>
      <c r="CB5" s="159">
        <f t="shared" si="52"/>
        <v>3.6027882023991116</v>
      </c>
      <c r="CC5" s="159">
        <f t="shared" si="53"/>
        <v>4.7505096198821679</v>
      </c>
      <c r="CD5" s="159">
        <f t="shared" si="54"/>
        <v>9.7603464732108947</v>
      </c>
      <c r="CE5" s="159">
        <f t="shared" si="68"/>
        <v>4.7505096198821679</v>
      </c>
      <c r="CF5" s="159">
        <f t="shared" si="55"/>
        <v>5.1073036017656879</v>
      </c>
      <c r="CG5" s="159">
        <f t="shared" si="56"/>
        <v>10.894316743776537</v>
      </c>
      <c r="CH5" s="159">
        <f t="shared" si="69"/>
        <v>5.1073036017656879</v>
      </c>
      <c r="CI5" s="159">
        <f t="shared" si="70"/>
        <v>2.218465641871374</v>
      </c>
    </row>
    <row r="6" spans="1:87" x14ac:dyDescent="0.25">
      <c r="A6" t="str">
        <f>PLANTILLA!D9</f>
        <v>E. Toney</v>
      </c>
      <c r="B6" t="s">
        <v>855</v>
      </c>
      <c r="C6" s="633">
        <f>PLANTILLA!E9</f>
        <v>31</v>
      </c>
      <c r="D6" s="633">
        <f ca="1">PLANTILLA!F9</f>
        <v>44</v>
      </c>
      <c r="E6" s="633"/>
      <c r="F6" s="290">
        <v>41539</v>
      </c>
      <c r="G6" s="497">
        <v>1.5</v>
      </c>
      <c r="H6" s="498">
        <f>PLANTILLA!I9</f>
        <v>12.4</v>
      </c>
      <c r="I6" s="341"/>
      <c r="J6" s="163">
        <f>PLANTILLA!X9</f>
        <v>0</v>
      </c>
      <c r="K6" s="163">
        <f>PLANTILLA!Y9</f>
        <v>12.200000000000005</v>
      </c>
      <c r="L6" s="163">
        <f>PLANTILLA!Z9</f>
        <v>13.156555555555553</v>
      </c>
      <c r="M6" s="163">
        <f>PLANTILLA!AA9</f>
        <v>9.8200000000000056</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3.8352393703137038</v>
      </c>
      <c r="AC6" s="159">
        <f t="shared" si="6"/>
        <v>5.7296845293217684</v>
      </c>
      <c r="AD6" s="159">
        <f t="shared" si="7"/>
        <v>10.959158504496397</v>
      </c>
      <c r="AE6" s="159">
        <f t="shared" si="63"/>
        <v>2.8648422646608842</v>
      </c>
      <c r="AF6" s="159">
        <f t="shared" si="8"/>
        <v>6.2040636872721686</v>
      </c>
      <c r="AG6" s="357">
        <f t="shared" si="9"/>
        <v>13.945263933799012</v>
      </c>
      <c r="AH6" s="159">
        <f t="shared" si="10"/>
        <v>6.2753687702095551</v>
      </c>
      <c r="AI6" s="159">
        <f t="shared" si="11"/>
        <v>2.6911133396739015</v>
      </c>
      <c r="AJ6" s="357">
        <f t="shared" si="12"/>
        <v>7.5134026011671953</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15.212041872168641</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16.114451135771866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14.196831450615013</v>
      </c>
      <c r="BF6" s="159">
        <f t="shared" si="30"/>
        <v>11.290249170812306</v>
      </c>
      <c r="BG6" s="159">
        <f t="shared" si="31"/>
        <v>3.0264528348321313</v>
      </c>
      <c r="BH6" s="159">
        <f t="shared" si="32"/>
        <v>7.3515793564049137</v>
      </c>
      <c r="BI6" s="159">
        <f t="shared" si="33"/>
        <v>4.0016844331771084</v>
      </c>
      <c r="BJ6" s="159">
        <f t="shared" si="34"/>
        <v>6.1396058827290805</v>
      </c>
      <c r="BK6" s="159">
        <f t="shared" si="35"/>
        <v>11.123660737109061</v>
      </c>
      <c r="BL6" s="159">
        <f t="shared" si="36"/>
        <v>0.65301057017124819</v>
      </c>
      <c r="BM6" s="159">
        <f t="shared" si="37"/>
        <v>2.7284212044389369</v>
      </c>
      <c r="BN6" s="159">
        <f t="shared" si="38"/>
        <v>1.0307368994547097</v>
      </c>
      <c r="BO6" s="159">
        <f t="shared" si="39"/>
        <v>4.9149075964104192</v>
      </c>
      <c r="BP6" s="159">
        <f t="shared" si="40"/>
        <v>16.369453716158183</v>
      </c>
      <c r="BQ6" s="159">
        <f t="shared" si="41"/>
        <v>1.6953159033292022</v>
      </c>
      <c r="BR6" s="159">
        <f t="shared" si="42"/>
        <v>4.3048423447814335</v>
      </c>
      <c r="BS6" s="159">
        <f t="shared" si="43"/>
        <v>3.6985265215727816</v>
      </c>
      <c r="BT6" s="159">
        <f t="shared" si="44"/>
        <v>7.332075266776199</v>
      </c>
      <c r="BU6" s="159">
        <f t="shared" si="45"/>
        <v>14.104228302879678</v>
      </c>
      <c r="BV6" s="159">
        <f t="shared" si="46"/>
        <v>1.5195053652061739</v>
      </c>
      <c r="BW6" s="159">
        <f t="shared" si="47"/>
        <v>4.3048423447814335</v>
      </c>
      <c r="BX6" s="159">
        <f t="shared" si="48"/>
        <v>3.6985265215727816</v>
      </c>
      <c r="BY6" s="159">
        <f t="shared" si="49"/>
        <v>10.168218666672047</v>
      </c>
      <c r="BZ6" s="159">
        <f t="shared" si="50"/>
        <v>11.393756544293604</v>
      </c>
      <c r="CA6" s="159">
        <f t="shared" si="51"/>
        <v>1.8585685458720143</v>
      </c>
      <c r="CB6" s="159">
        <f t="shared" si="52"/>
        <v>6.542467161123378</v>
      </c>
      <c r="CC6" s="159">
        <f t="shared" si="53"/>
        <v>5.8227152639593669</v>
      </c>
      <c r="CD6" s="159">
        <f t="shared" si="54"/>
        <v>10.689802089990234</v>
      </c>
      <c r="CE6" s="159">
        <f t="shared" si="68"/>
        <v>5.8227152639593669</v>
      </c>
      <c r="CF6" s="159">
        <f t="shared" si="55"/>
        <v>6.2034222798080974</v>
      </c>
      <c r="CG6" s="159">
        <f t="shared" si="56"/>
        <v>11.2734257159828</v>
      </c>
      <c r="CH6" s="159">
        <f t="shared" si="69"/>
        <v>6.2034222798080974</v>
      </c>
      <c r="CI6" s="159">
        <f t="shared" si="70"/>
        <v>4.0286127839429664</v>
      </c>
    </row>
    <row r="7" spans="1:87" x14ac:dyDescent="0.25">
      <c r="A7" t="str">
        <f>PLANTILLA!D10</f>
        <v>B. Bartolache</v>
      </c>
      <c r="B7" t="s">
        <v>855</v>
      </c>
      <c r="C7" s="633">
        <f>PLANTILLA!E10</f>
        <v>31</v>
      </c>
      <c r="D7" s="633">
        <f ca="1">PLANTILLA!F10</f>
        <v>29</v>
      </c>
      <c r="E7" s="633"/>
      <c r="F7" s="290">
        <v>41527</v>
      </c>
      <c r="G7" s="497">
        <v>1.5</v>
      </c>
      <c r="H7" s="498">
        <f>PLANTILLA!I10</f>
        <v>9.5</v>
      </c>
      <c r="I7" s="341"/>
      <c r="J7" s="163">
        <f>PLANTILLA!X10</f>
        <v>0</v>
      </c>
      <c r="K7" s="163">
        <f>PLANTILLA!Y10</f>
        <v>11.999999999999996</v>
      </c>
      <c r="L7" s="163">
        <f>PLANTILLA!Z10</f>
        <v>7.0025000000000022</v>
      </c>
      <c r="M7" s="163">
        <f>PLANTILLA!AA10</f>
        <v>7.4300000000000015</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2.3338592907449942</v>
      </c>
      <c r="AC7" s="159">
        <f t="shared" si="6"/>
        <v>5.5957726970655779</v>
      </c>
      <c r="AD7" s="159">
        <f t="shared" si="7"/>
        <v>10.703025555498446</v>
      </c>
      <c r="AE7" s="159">
        <f t="shared" si="63"/>
        <v>2.7978863485327889</v>
      </c>
      <c r="AF7" s="159">
        <f t="shared" si="8"/>
        <v>3.775360617381609</v>
      </c>
      <c r="AG7" s="357">
        <f t="shared" si="9"/>
        <v>13.619340955820983</v>
      </c>
      <c r="AH7" s="159">
        <f t="shared" si="10"/>
        <v>6.1287034301194421</v>
      </c>
      <c r="AI7" s="159">
        <f t="shared" si="11"/>
        <v>1.6376239561109835</v>
      </c>
      <c r="AJ7" s="357">
        <f t="shared" si="12"/>
        <v>6.017375306546457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9.2569881111902301</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9.8061314737184642</v>
      </c>
      <c r="AZ7" s="159">
        <f t="shared" si="25"/>
        <v>2.9913787628507706</v>
      </c>
      <c r="BA7" s="159">
        <f t="shared" si="26"/>
        <v>5.5908209420188717</v>
      </c>
      <c r="BB7" s="159">
        <f t="shared" si="67"/>
        <v>1.4956893814253853</v>
      </c>
      <c r="BC7" s="159">
        <f t="shared" si="27"/>
        <v>4.3078567588520711</v>
      </c>
      <c r="BD7" s="159">
        <f t="shared" si="28"/>
        <v>5.1516637528540237</v>
      </c>
      <c r="BE7" s="159">
        <f t="shared" si="29"/>
        <v>8.6392018283459677</v>
      </c>
      <c r="BF7" s="159">
        <f t="shared" si="30"/>
        <v>9.5985483801357123</v>
      </c>
      <c r="BG7" s="159">
        <f t="shared" si="31"/>
        <v>2.8494951851661487</v>
      </c>
      <c r="BH7" s="159">
        <f t="shared" si="32"/>
        <v>7.179761264753453</v>
      </c>
      <c r="BI7" s="159">
        <f t="shared" si="33"/>
        <v>3.9081587090616736</v>
      </c>
      <c r="BJ7" s="159">
        <f t="shared" si="34"/>
        <v>3.7361360914867348</v>
      </c>
      <c r="BK7" s="159">
        <f t="shared" si="35"/>
        <v>9.2637839080299376</v>
      </c>
      <c r="BL7" s="159">
        <f t="shared" si="36"/>
        <v>0.61482883663335997</v>
      </c>
      <c r="BM7" s="159">
        <f t="shared" si="37"/>
        <v>2.6646536652693227</v>
      </c>
      <c r="BN7" s="159">
        <f t="shared" si="38"/>
        <v>1.0066469402128553</v>
      </c>
      <c r="BO7" s="159">
        <f t="shared" si="39"/>
        <v>2.9908700994841313</v>
      </c>
      <c r="BP7" s="159">
        <f t="shared" si="40"/>
        <v>13.615190075201944</v>
      </c>
      <c r="BQ7" s="159">
        <f t="shared" si="41"/>
        <v>1.5961902489519924</v>
      </c>
      <c r="BR7" s="159">
        <f t="shared" si="42"/>
        <v>4.2042313385360419</v>
      </c>
      <c r="BS7" s="159">
        <f t="shared" si="43"/>
        <v>3.612086079587304</v>
      </c>
      <c r="BT7" s="159">
        <f t="shared" si="44"/>
        <v>4.4617898205419015</v>
      </c>
      <c r="BU7" s="159">
        <f t="shared" si="45"/>
        <v>11.726823672880057</v>
      </c>
      <c r="BV7" s="159">
        <f t="shared" si="46"/>
        <v>1.4306594083199338</v>
      </c>
      <c r="BW7" s="159">
        <f t="shared" si="47"/>
        <v>4.2042313385360419</v>
      </c>
      <c r="BX7" s="159">
        <f t="shared" si="48"/>
        <v>3.612086079587304</v>
      </c>
      <c r="BY7" s="159">
        <f t="shared" si="49"/>
        <v>6.1876689599163512</v>
      </c>
      <c r="BZ7" s="159">
        <f t="shared" si="50"/>
        <v>9.4659701689780249</v>
      </c>
      <c r="CA7" s="159">
        <f t="shared" si="51"/>
        <v>1.7498974581103321</v>
      </c>
      <c r="CB7" s="159">
        <f t="shared" si="52"/>
        <v>3.9812893783296968</v>
      </c>
      <c r="CC7" s="159">
        <f t="shared" si="53"/>
        <v>5.3723519978073178</v>
      </c>
      <c r="CD7" s="159">
        <f t="shared" si="54"/>
        <v>10.748209039406987</v>
      </c>
      <c r="CE7" s="159">
        <f t="shared" si="68"/>
        <v>5.3723519978073178</v>
      </c>
      <c r="CF7" s="159">
        <f t="shared" si="55"/>
        <v>5.7407324081266022</v>
      </c>
      <c r="CG7" s="159">
        <f t="shared" si="56"/>
        <v>11.786551487520573</v>
      </c>
      <c r="CH7" s="159">
        <f t="shared" si="69"/>
        <v>5.7407324081266022</v>
      </c>
      <c r="CI7" s="159">
        <f t="shared" si="70"/>
        <v>2.451532868429616</v>
      </c>
    </row>
    <row r="8" spans="1:87" x14ac:dyDescent="0.25">
      <c r="A8" t="str">
        <f>PLANTILLA!D11</f>
        <v>F. Lasprilla</v>
      </c>
      <c r="B8" t="s">
        <v>855</v>
      </c>
      <c r="C8" s="633">
        <f>PLANTILLA!E11</f>
        <v>27</v>
      </c>
      <c r="D8" s="633">
        <f ca="1">PLANTILLA!F11</f>
        <v>52</v>
      </c>
      <c r="E8" s="633"/>
      <c r="F8" s="290">
        <v>42106</v>
      </c>
      <c r="G8" s="497">
        <v>1.5</v>
      </c>
      <c r="H8" s="498">
        <f>PLANTILLA!I11</f>
        <v>4.9000000000000004</v>
      </c>
      <c r="I8" s="341"/>
      <c r="J8" s="163">
        <f>PLANTILLA!X11</f>
        <v>0</v>
      </c>
      <c r="K8" s="163">
        <f>PLANTILLA!Y11</f>
        <v>9.6046666666666667</v>
      </c>
      <c r="L8" s="163">
        <f>PLANTILLA!Z11</f>
        <v>7.7507222222222225</v>
      </c>
      <c r="M8" s="163">
        <f>PLANTILLA!AA11</f>
        <v>6.1499999999999986</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5.0393137267423533</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8.4736624201937971</v>
      </c>
      <c r="BG8" s="159">
        <f t="shared" si="31"/>
        <v>2.7193463403824953</v>
      </c>
      <c r="BH8" s="159">
        <f t="shared" si="32"/>
        <v>5.8320901317517722</v>
      </c>
      <c r="BI8" s="159">
        <f t="shared" si="33"/>
        <v>3.1745810201700371</v>
      </c>
      <c r="BJ8" s="159">
        <f t="shared" si="34"/>
        <v>3.8751447753211519</v>
      </c>
      <c r="BK8" s="159">
        <f t="shared" si="35"/>
        <v>8.0357884985932273</v>
      </c>
      <c r="BL8" s="159">
        <f t="shared" si="36"/>
        <v>0.58674692821531016</v>
      </c>
      <c r="BM8" s="159">
        <f t="shared" si="37"/>
        <v>2.1644870592068433</v>
      </c>
      <c r="BN8" s="159">
        <f t="shared" si="38"/>
        <v>0.81769511125591865</v>
      </c>
      <c r="BO8" s="159">
        <f t="shared" si="39"/>
        <v>3.1021500169893734</v>
      </c>
      <c r="BP8" s="159">
        <f t="shared" si="40"/>
        <v>11.797369545222223</v>
      </c>
      <c r="BQ8" s="159">
        <f t="shared" si="41"/>
        <v>1.5232852944051323</v>
      </c>
      <c r="BR8" s="159">
        <f t="shared" si="42"/>
        <v>3.4150795823041302</v>
      </c>
      <c r="BS8" s="159">
        <f t="shared" si="43"/>
        <v>2.934082458035943</v>
      </c>
      <c r="BT8" s="159">
        <f t="shared" si="44"/>
        <v>4.6277975663284101</v>
      </c>
      <c r="BU8" s="159">
        <f t="shared" si="45"/>
        <v>10.157903008895456</v>
      </c>
      <c r="BV8" s="159">
        <f t="shared" si="46"/>
        <v>1.3653149675779332</v>
      </c>
      <c r="BW8" s="159">
        <f t="shared" si="47"/>
        <v>3.4150795823041302</v>
      </c>
      <c r="BX8" s="159">
        <f t="shared" si="48"/>
        <v>2.934082458035943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45</v>
      </c>
      <c r="E9" s="633" t="str">
        <f>PLANTILLA!G7</f>
        <v>CAB</v>
      </c>
      <c r="F9" s="290">
        <v>41400</v>
      </c>
      <c r="G9" s="497">
        <v>1</v>
      </c>
      <c r="H9" s="498">
        <f>PLANTILLA!I7</f>
        <v>14.4</v>
      </c>
      <c r="I9" s="341"/>
      <c r="J9" s="163">
        <f>PLANTILLA!X7</f>
        <v>0</v>
      </c>
      <c r="K9" s="163">
        <f>PLANTILLA!Y7</f>
        <v>14.300000000000004</v>
      </c>
      <c r="L9" s="163">
        <f>PLANTILLA!Z7</f>
        <v>9.3193333333333346</v>
      </c>
      <c r="M9" s="163">
        <f>PLANTILLA!AA7</f>
        <v>14.291666666666663</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2.8235883641582262</v>
      </c>
      <c r="AC9" s="159">
        <f t="shared" si="6"/>
        <v>6.3672146960160081</v>
      </c>
      <c r="AD9" s="159">
        <f t="shared" si="7"/>
        <v>12.178561442379824</v>
      </c>
      <c r="AE9" s="159">
        <f>AC9/2</f>
        <v>3.183607348008004</v>
      </c>
      <c r="AF9" s="159">
        <f t="shared" si="8"/>
        <v>4.5675694126088953</v>
      </c>
      <c r="AG9" s="357">
        <f t="shared" si="9"/>
        <v>15.496924656970178</v>
      </c>
      <c r="AH9" s="159">
        <f t="shared" si="10"/>
        <v>6.9736160956365794</v>
      </c>
      <c r="AI9" s="159">
        <f t="shared" si="11"/>
        <v>1.9812573815732093</v>
      </c>
      <c r="AJ9" s="357">
        <f t="shared" si="12"/>
        <v>9.8996561938026719</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11.19944292338389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11.863816656127002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10.452022474047888</v>
      </c>
      <c r="BF9" s="159">
        <f t="shared" si="30"/>
        <v>13.432762340630232</v>
      </c>
      <c r="BG9" s="159">
        <f t="shared" si="31"/>
        <v>2.883440480793273</v>
      </c>
      <c r="BH9" s="159">
        <f t="shared" si="32"/>
        <v>8.1695744115549296</v>
      </c>
      <c r="BI9" s="159">
        <f t="shared" si="33"/>
        <v>4.4469435972175297</v>
      </c>
      <c r="BJ9" s="159">
        <f t="shared" si="34"/>
        <v>4.5201141459843877</v>
      </c>
      <c r="BK9" s="159">
        <f t="shared" si="35"/>
        <v>13.735590090788328</v>
      </c>
      <c r="BL9" s="159">
        <f t="shared" si="36"/>
        <v>0.62215313278527051</v>
      </c>
      <c r="BM9" s="159">
        <f t="shared" si="37"/>
        <v>3.0320069981028608</v>
      </c>
      <c r="BN9" s="159">
        <f t="shared" si="38"/>
        <v>1.1454248659499697</v>
      </c>
      <c r="BO9" s="159">
        <f t="shared" si="39"/>
        <v>3.6184640801187355</v>
      </c>
      <c r="BP9" s="159">
        <f t="shared" si="40"/>
        <v>20.257992219779315</v>
      </c>
      <c r="BQ9" s="159">
        <f t="shared" si="41"/>
        <v>1.6152052485771449</v>
      </c>
      <c r="BR9" s="159">
        <f t="shared" si="42"/>
        <v>4.7838332636734018</v>
      </c>
      <c r="BS9" s="159">
        <f t="shared" si="43"/>
        <v>4.1100539307616559</v>
      </c>
      <c r="BT9" s="159">
        <f t="shared" si="44"/>
        <v>5.398036578537786</v>
      </c>
      <c r="BU9" s="159">
        <f t="shared" si="45"/>
        <v>17.46576752165538</v>
      </c>
      <c r="BV9" s="159">
        <f t="shared" si="46"/>
        <v>1.4477024820580335</v>
      </c>
      <c r="BW9" s="159">
        <f t="shared" si="47"/>
        <v>4.7838332636734018</v>
      </c>
      <c r="BX9" s="159">
        <f t="shared" si="48"/>
        <v>4.1100539307616559</v>
      </c>
      <c r="BY9" s="159">
        <f t="shared" si="49"/>
        <v>7.4860683100161376</v>
      </c>
      <c r="BZ9" s="159">
        <f t="shared" si="50"/>
        <v>14.128122573900326</v>
      </c>
      <c r="CA9" s="159">
        <f t="shared" si="51"/>
        <v>1.7707435317734623</v>
      </c>
      <c r="CB9" s="159">
        <f t="shared" si="52"/>
        <v>4.8167095623875626</v>
      </c>
      <c r="CC9" s="159">
        <f t="shared" si="53"/>
        <v>5.883818668318356</v>
      </c>
      <c r="CD9" s="159">
        <f t="shared" si="54"/>
        <v>8.6464339357513822</v>
      </c>
      <c r="CE9" s="159">
        <f>CC9</f>
        <v>5.883818668318356</v>
      </c>
      <c r="CF9" s="159">
        <f t="shared" si="55"/>
        <v>6.3784543005766432</v>
      </c>
      <c r="CG9" s="159">
        <f t="shared" si="56"/>
        <v>8.1022348117616723</v>
      </c>
      <c r="CH9" s="159">
        <f>CF9</f>
        <v>6.3784543005766432</v>
      </c>
      <c r="CI9" s="159">
        <f>((L9+G9+(LOG(H9)*4/3))*0.25)</f>
        <v>2.9659541640317504</v>
      </c>
    </row>
    <row r="10" spans="1:87" x14ac:dyDescent="0.25">
      <c r="A10" t="str">
        <f>PLANTILLA!D12</f>
        <v>E. Romweber</v>
      </c>
      <c r="B10" t="s">
        <v>855</v>
      </c>
      <c r="C10" s="633">
        <f>PLANTILLA!E12</f>
        <v>31</v>
      </c>
      <c r="D10" s="633">
        <f ca="1">PLANTILLA!F12</f>
        <v>6</v>
      </c>
      <c r="E10" s="633" t="str">
        <f>PLANTILLA!G12</f>
        <v>IMP</v>
      </c>
      <c r="F10" s="290">
        <v>41583</v>
      </c>
      <c r="G10" s="497">
        <v>1.5</v>
      </c>
      <c r="H10" s="498">
        <f>PLANTILLA!I12</f>
        <v>12.6</v>
      </c>
      <c r="I10" s="341"/>
      <c r="J10" s="163">
        <f>PLANTILLA!X12</f>
        <v>0</v>
      </c>
      <c r="K10" s="163">
        <f>PLANTILLA!Y12</f>
        <v>12.06111111111111</v>
      </c>
      <c r="L10" s="163">
        <f>PLANTILLA!Z12</f>
        <v>12.534111111111114</v>
      </c>
      <c r="M10" s="163">
        <f>PLANTILLA!AA12</f>
        <v>13.133333333333335</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3.6893026974284182</v>
      </c>
      <c r="AC10" s="159">
        <f t="shared" si="6"/>
        <v>5.6806867547392512</v>
      </c>
      <c r="AD10" s="159">
        <f t="shared" si="7"/>
        <v>10.865440538826663</v>
      </c>
      <c r="AE10" s="159">
        <f t="shared" si="63"/>
        <v>2.8403433773696256</v>
      </c>
      <c r="AF10" s="159">
        <f t="shared" si="8"/>
        <v>5.9679896576047948</v>
      </c>
      <c r="AG10" s="357">
        <f t="shared" si="9"/>
        <v>13.826010090899766</v>
      </c>
      <c r="AH10" s="159">
        <f t="shared" si="10"/>
        <v>6.2217045409048941</v>
      </c>
      <c r="AI10" s="159">
        <f t="shared" si="11"/>
        <v>2.5887123969350667</v>
      </c>
      <c r="AJ10" s="357">
        <f t="shared" si="12"/>
        <v>9.4670905073721698</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14.633200615010198</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15.501271837934532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13.656620489220323</v>
      </c>
      <c r="BF10" s="159">
        <f t="shared" si="30"/>
        <v>13.612989219479353</v>
      </c>
      <c r="BG10" s="159">
        <f t="shared" si="31"/>
        <v>3.3443957351644436</v>
      </c>
      <c r="BH10" s="159">
        <f t="shared" si="32"/>
        <v>7.2887118413982455</v>
      </c>
      <c r="BI10" s="159">
        <f t="shared" si="33"/>
        <v>3.9674637652147156</v>
      </c>
      <c r="BJ10" s="159">
        <f t="shared" si="34"/>
        <v>5.9059845702530565</v>
      </c>
      <c r="BK10" s="159">
        <f t="shared" si="35"/>
        <v>13.624941808577002</v>
      </c>
      <c r="BL10" s="159">
        <f t="shared" si="36"/>
        <v>0.72161235779481769</v>
      </c>
      <c r="BM10" s="159">
        <f t="shared" si="37"/>
        <v>2.7050889308282149</v>
      </c>
      <c r="BN10" s="159">
        <f t="shared" si="38"/>
        <v>1.0219224849795479</v>
      </c>
      <c r="BO10" s="159">
        <f t="shared" si="39"/>
        <v>4.7278879105700318</v>
      </c>
      <c r="BP10" s="159">
        <f t="shared" si="40"/>
        <v>20.069362028028248</v>
      </c>
      <c r="BQ10" s="159">
        <f t="shared" si="41"/>
        <v>1.8734166981211615</v>
      </c>
      <c r="BR10" s="159">
        <f t="shared" si="42"/>
        <v>4.2680292019734054</v>
      </c>
      <c r="BS10" s="159">
        <f t="shared" si="43"/>
        <v>3.6668983284560244</v>
      </c>
      <c r="BT10" s="159">
        <f t="shared" si="44"/>
        <v>7.0530786862602124</v>
      </c>
      <c r="BU10" s="159">
        <f t="shared" si="45"/>
        <v>17.296854085320348</v>
      </c>
      <c r="BV10" s="159">
        <f t="shared" si="46"/>
        <v>1.6791364479456334</v>
      </c>
      <c r="BW10" s="159">
        <f t="shared" si="47"/>
        <v>4.2680292019734054</v>
      </c>
      <c r="BX10" s="159">
        <f t="shared" si="48"/>
        <v>3.6668983284560244</v>
      </c>
      <c r="BY10" s="159">
        <f t="shared" si="49"/>
        <v>9.7813025297366902</v>
      </c>
      <c r="BZ10" s="159">
        <f t="shared" si="50"/>
        <v>13.980838850506959</v>
      </c>
      <c r="CA10" s="159">
        <f t="shared" si="51"/>
        <v>2.0538197875698656</v>
      </c>
      <c r="CB10" s="159">
        <f t="shared" si="52"/>
        <v>6.2935163662014206</v>
      </c>
      <c r="CC10" s="159">
        <f t="shared" si="53"/>
        <v>7.1513807386750008</v>
      </c>
      <c r="CD10" s="159">
        <f t="shared" si="54"/>
        <v>13.795062978403168</v>
      </c>
      <c r="CE10" s="159">
        <f t="shared" si="68"/>
        <v>7.1513807386750008</v>
      </c>
      <c r="CF10" s="159">
        <f t="shared" si="55"/>
        <v>8.1904277994776553</v>
      </c>
      <c r="CG10" s="159">
        <f t="shared" si="56"/>
        <v>15.857833035021258</v>
      </c>
      <c r="CH10" s="159">
        <f t="shared" si="69"/>
        <v>8.1904277994776553</v>
      </c>
      <c r="CI10" s="159">
        <f t="shared" si="70"/>
        <v>3.8753179594836329</v>
      </c>
    </row>
    <row r="11" spans="1:87" x14ac:dyDescent="0.25">
      <c r="A11" t="str">
        <f>PLANTILLA!D13</f>
        <v>K. Helms</v>
      </c>
      <c r="B11" t="s">
        <v>855</v>
      </c>
      <c r="C11" s="633">
        <f>PLANTILLA!E13</f>
        <v>30</v>
      </c>
      <c r="D11" s="633">
        <f ca="1">PLANTILLA!F13</f>
        <v>65</v>
      </c>
      <c r="E11" s="633" t="str">
        <f>PLANTILLA!G13</f>
        <v>TEC</v>
      </c>
      <c r="F11" s="290">
        <v>41722</v>
      </c>
      <c r="G11" s="497">
        <v>1.5</v>
      </c>
      <c r="H11" s="498">
        <f>PLANTILLA!I13</f>
        <v>10.4</v>
      </c>
      <c r="I11" s="341"/>
      <c r="J11" s="163">
        <f>PLANTILLA!X13</f>
        <v>0</v>
      </c>
      <c r="K11" s="163">
        <f>PLANTILLA!Y13</f>
        <v>7.2503030303030309</v>
      </c>
      <c r="L11" s="163">
        <f>PLANTILLA!Z13</f>
        <v>10.500000000000004</v>
      </c>
      <c r="M11" s="163">
        <f>PLANTILLA!AA13</f>
        <v>13.388333333333334</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3.1787385796708136</v>
      </c>
      <c r="AC11" s="159">
        <f t="shared" si="6"/>
        <v>3.8201993484611307</v>
      </c>
      <c r="AD11" s="159">
        <f t="shared" si="7"/>
        <v>7.3068892299931143</v>
      </c>
      <c r="AE11" s="159">
        <f t="shared" si="63"/>
        <v>1.9100996742305654</v>
      </c>
      <c r="AF11" s="159">
        <f t="shared" si="8"/>
        <v>5.1420771141733752</v>
      </c>
      <c r="AG11" s="357">
        <f t="shared" si="9"/>
        <v>9.2978396840852913</v>
      </c>
      <c r="AH11" s="159">
        <f t="shared" si="10"/>
        <v>4.1840278578383812</v>
      </c>
      <c r="AI11" s="159">
        <f t="shared" si="11"/>
        <v>2.2304594235505291</v>
      </c>
      <c r="AJ11" s="357">
        <f t="shared" si="12"/>
        <v>9.5516941380102427</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12.608105963064068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13.356044452398377</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11.76667516256297</v>
      </c>
      <c r="BF11" s="159">
        <f t="shared" si="30"/>
        <v>13.487326851515487</v>
      </c>
      <c r="BG11" s="159">
        <f t="shared" si="31"/>
        <v>3.1850667130280073</v>
      </c>
      <c r="BH11" s="159">
        <f t="shared" si="32"/>
        <v>4.9015785291101803</v>
      </c>
      <c r="BI11" s="159">
        <f t="shared" si="33"/>
        <v>2.6680757354331708</v>
      </c>
      <c r="BJ11" s="159">
        <f t="shared" si="34"/>
        <v>5.0886529363637818</v>
      </c>
      <c r="BK11" s="159">
        <f t="shared" si="35"/>
        <v>13.588891184729512</v>
      </c>
      <c r="BL11" s="159">
        <f t="shared" si="36"/>
        <v>0.68723431152471526</v>
      </c>
      <c r="BM11" s="159">
        <f t="shared" si="37"/>
        <v>1.8191425468862525</v>
      </c>
      <c r="BN11" s="159">
        <f t="shared" si="38"/>
        <v>0.68723162882369548</v>
      </c>
      <c r="BO11" s="159">
        <f t="shared" si="39"/>
        <v>4.0735935579815052</v>
      </c>
      <c r="BP11" s="159">
        <f t="shared" si="40"/>
        <v>20.024166499117641</v>
      </c>
      <c r="BQ11" s="159">
        <f t="shared" si="41"/>
        <v>1.7841660010737803</v>
      </c>
      <c r="BR11" s="159">
        <f t="shared" si="42"/>
        <v>2.8702026850871984</v>
      </c>
      <c r="BS11" s="159">
        <f t="shared" si="43"/>
        <v>2.4659487857791427</v>
      </c>
      <c r="BT11" s="159">
        <f t="shared" si="44"/>
        <v>6.0770002258412621</v>
      </c>
      <c r="BU11" s="159">
        <f t="shared" si="45"/>
        <v>17.259857253257398</v>
      </c>
      <c r="BV11" s="159">
        <f t="shared" si="46"/>
        <v>1.5991413787402029</v>
      </c>
      <c r="BW11" s="159">
        <f t="shared" si="47"/>
        <v>2.8702026850871984</v>
      </c>
      <c r="BX11" s="159">
        <f t="shared" si="48"/>
        <v>2.4659487857791427</v>
      </c>
      <c r="BY11" s="159">
        <f t="shared" si="49"/>
        <v>8.4276640494633757</v>
      </c>
      <c r="BZ11" s="159">
        <f t="shared" si="50"/>
        <v>13.954249784896543</v>
      </c>
      <c r="CA11" s="159">
        <f t="shared" si="51"/>
        <v>1.955974578954959</v>
      </c>
      <c r="CB11" s="159">
        <f t="shared" si="52"/>
        <v>5.4225540476737413</v>
      </c>
      <c r="CC11" s="159">
        <f t="shared" si="53"/>
        <v>7.767807715891422</v>
      </c>
      <c r="CD11" s="159">
        <f t="shared" si="54"/>
        <v>11.992501053400566</v>
      </c>
      <c r="CE11" s="159">
        <f t="shared" si="68"/>
        <v>7.767807715891422</v>
      </c>
      <c r="CF11" s="159">
        <f t="shared" si="55"/>
        <v>7.4845573605108529</v>
      </c>
      <c r="CG11" s="159">
        <f t="shared" si="56"/>
        <v>13.137764855333373</v>
      </c>
      <c r="CH11" s="159">
        <f t="shared" si="69"/>
        <v>7.4845573605108529</v>
      </c>
      <c r="CI11" s="159">
        <f t="shared" si="70"/>
        <v>3.3390111130995943</v>
      </c>
    </row>
    <row r="12" spans="1:87" x14ac:dyDescent="0.25">
      <c r="A12" t="str">
        <f>PLANTILLA!D14</f>
        <v>S. Zobbe</v>
      </c>
      <c r="B12" t="s">
        <v>855</v>
      </c>
      <c r="C12" s="633">
        <f>PLANTILLA!E14</f>
        <v>27</v>
      </c>
      <c r="D12" s="633">
        <f ca="1">PLANTILLA!F14</f>
        <v>80</v>
      </c>
      <c r="E12" s="633" t="str">
        <f>PLANTILLA!G14</f>
        <v>CAB</v>
      </c>
      <c r="F12" s="290">
        <v>41911</v>
      </c>
      <c r="G12" s="497">
        <v>1.5</v>
      </c>
      <c r="H12" s="498">
        <f>PLANTILLA!I14</f>
        <v>8.9</v>
      </c>
      <c r="I12" s="341"/>
      <c r="J12" s="163">
        <f>PLANTILLA!X14</f>
        <v>0</v>
      </c>
      <c r="K12" s="163">
        <f>PLANTILLA!Y14</f>
        <v>8.3599999999999977</v>
      </c>
      <c r="L12" s="163">
        <f>PLANTILLA!Z14</f>
        <v>12.158412698412699</v>
      </c>
      <c r="M12" s="163">
        <f>PLANTILLA!AA14</f>
        <v>12.25</v>
      </c>
      <c r="N12" s="163">
        <f>PLANTILLA!AB14</f>
        <v>10.24</v>
      </c>
      <c r="O12" s="163">
        <f>PLANTILLA!AC14</f>
        <v>7.4766666666666666</v>
      </c>
      <c r="P12" s="163">
        <f>PLANTILLA!AD14</f>
        <v>15.270000000000001</v>
      </c>
      <c r="Q12" s="163">
        <f t="shared" si="57"/>
        <v>3.9799999999999995</v>
      </c>
      <c r="R12" s="163">
        <f t="shared" si="58"/>
        <v>19.322302552913676</v>
      </c>
      <c r="S12" s="163">
        <f t="shared" si="59"/>
        <v>0.8319333333333333</v>
      </c>
      <c r="T12" s="163">
        <f t="shared" si="60"/>
        <v>0.79249999999999998</v>
      </c>
      <c r="U12" s="163">
        <f t="shared" ca="1" si="0"/>
        <v>17.535853342193221</v>
      </c>
      <c r="V12" s="159">
        <f t="shared" si="1"/>
        <v>4.7219499677346786</v>
      </c>
      <c r="W12" s="159">
        <f t="shared" si="2"/>
        <v>7.1237166647714423</v>
      </c>
      <c r="X12" s="159">
        <f t="shared" si="61"/>
        <v>4.7219499677346786</v>
      </c>
      <c r="Y12" s="159">
        <f t="shared" si="3"/>
        <v>5.7409403245716994</v>
      </c>
      <c r="Z12" s="159">
        <f t="shared" si="4"/>
        <v>11.125853342193215</v>
      </c>
      <c r="AA12" s="159">
        <f t="shared" si="62"/>
        <v>2.8704701622858497</v>
      </c>
      <c r="AB12" s="159">
        <f t="shared" si="5"/>
        <v>3.5519753176642079</v>
      </c>
      <c r="AC12" s="159">
        <f t="shared" si="6"/>
        <v>4.2055725633490351</v>
      </c>
      <c r="AD12" s="159">
        <f t="shared" si="7"/>
        <v>8.0439919664056951</v>
      </c>
      <c r="AE12" s="159">
        <f t="shared" si="63"/>
        <v>2.1027862816745175</v>
      </c>
      <c r="AF12" s="159">
        <f t="shared" si="8"/>
        <v>5.7458424256332776</v>
      </c>
      <c r="AG12" s="357">
        <f t="shared" si="9"/>
        <v>10.235785074817759</v>
      </c>
      <c r="AH12" s="159">
        <f t="shared" si="10"/>
        <v>4.6061032836679905</v>
      </c>
      <c r="AI12" s="159">
        <f t="shared" si="11"/>
        <v>2.4923524287811882</v>
      </c>
      <c r="AJ12" s="357">
        <f t="shared" si="12"/>
        <v>8.8293217652096114</v>
      </c>
      <c r="AK12" s="159">
        <f t="shared" si="13"/>
        <v>8.3888934200136838</v>
      </c>
      <c r="AL12" s="159">
        <f t="shared" si="14"/>
        <v>7.8771041662727956</v>
      </c>
      <c r="AM12" s="159">
        <f t="shared" si="15"/>
        <v>3.0119875081462681</v>
      </c>
      <c r="AN12" s="159">
        <f t="shared" si="16"/>
        <v>1.9428057625516462</v>
      </c>
      <c r="AO12" s="159">
        <f t="shared" si="17"/>
        <v>3.0039804023921683</v>
      </c>
      <c r="AP12" s="159">
        <f t="shared" si="18"/>
        <v>6.6087568852627694</v>
      </c>
      <c r="AQ12" s="159">
        <f t="shared" si="64"/>
        <v>1.5019902011960842</v>
      </c>
      <c r="AR12" s="159">
        <f t="shared" si="19"/>
        <v>14.088507142331984</v>
      </c>
      <c r="AS12" s="159">
        <f t="shared" si="20"/>
        <v>1.6907609344851184</v>
      </c>
      <c r="AT12" s="159">
        <f t="shared" si="21"/>
        <v>3.3326583625959456</v>
      </c>
      <c r="AU12" s="159">
        <f t="shared" si="65"/>
        <v>0.84538046724255922</v>
      </c>
      <c r="AV12" s="159">
        <f t="shared" si="22"/>
        <v>2.1027862816745175</v>
      </c>
      <c r="AW12" s="159">
        <f t="shared" si="23"/>
        <v>4.4503413368772859</v>
      </c>
      <c r="AX12" s="159">
        <f t="shared" si="66"/>
        <v>1.0513931408372588</v>
      </c>
      <c r="AY12" s="159">
        <f t="shared" si="24"/>
        <v>14.924266040605916</v>
      </c>
      <c r="AZ12" s="159">
        <f t="shared" si="25"/>
        <v>3.2904808955748841</v>
      </c>
      <c r="BA12" s="159">
        <f t="shared" si="26"/>
        <v>6.5859251915484638</v>
      </c>
      <c r="BB12" s="159">
        <f t="shared" si="67"/>
        <v>1.6452404477874421</v>
      </c>
      <c r="BC12" s="159">
        <f t="shared" si="27"/>
        <v>3.2376233225782256</v>
      </c>
      <c r="BD12" s="159">
        <f t="shared" si="28"/>
        <v>3.8717969630832387</v>
      </c>
      <c r="BE12" s="159">
        <f t="shared" si="29"/>
        <v>13.148278381773812</v>
      </c>
      <c r="BF12" s="159">
        <f t="shared" si="30"/>
        <v>12.715943621209771</v>
      </c>
      <c r="BG12" s="159">
        <f t="shared" si="31"/>
        <v>3.1344106554685656</v>
      </c>
      <c r="BH12" s="159">
        <f t="shared" si="32"/>
        <v>5.396038870963709</v>
      </c>
      <c r="BI12" s="159">
        <f t="shared" si="33"/>
        <v>2.9372252823390088</v>
      </c>
      <c r="BJ12" s="159">
        <f t="shared" si="34"/>
        <v>5.6861453614708539</v>
      </c>
      <c r="BK12" s="159">
        <f t="shared" si="35"/>
        <v>12.719845821076873</v>
      </c>
      <c r="BL12" s="159">
        <f t="shared" si="36"/>
        <v>0.67630437379404729</v>
      </c>
      <c r="BM12" s="159">
        <f t="shared" si="37"/>
        <v>2.0026536015947789</v>
      </c>
      <c r="BN12" s="159">
        <f t="shared" si="38"/>
        <v>0.75655802726913868</v>
      </c>
      <c r="BO12" s="159">
        <f t="shared" si="39"/>
        <v>4.5519011423848044</v>
      </c>
      <c r="BP12" s="159">
        <f t="shared" si="40"/>
        <v>18.735527398060476</v>
      </c>
      <c r="BQ12" s="159">
        <f t="shared" si="41"/>
        <v>1.7557902011960844</v>
      </c>
      <c r="BR12" s="159">
        <f t="shared" si="42"/>
        <v>3.1597423491828729</v>
      </c>
      <c r="BS12" s="159">
        <f t="shared" si="43"/>
        <v>2.7147082154951443</v>
      </c>
      <c r="BT12" s="159">
        <f t="shared" si="44"/>
        <v>6.7905410484756921</v>
      </c>
      <c r="BU12" s="159">
        <f t="shared" si="45"/>
        <v>16.147125503150086</v>
      </c>
      <c r="BV12" s="159">
        <f t="shared" si="46"/>
        <v>1.5737082544053793</v>
      </c>
      <c r="BW12" s="159">
        <f t="shared" si="47"/>
        <v>3.1597423491828729</v>
      </c>
      <c r="BX12" s="159">
        <f t="shared" si="48"/>
        <v>2.7147082154951443</v>
      </c>
      <c r="BY12" s="159">
        <f t="shared" si="49"/>
        <v>9.4172118716223334</v>
      </c>
      <c r="BZ12" s="159">
        <f t="shared" si="50"/>
        <v>13.051258741262929</v>
      </c>
      <c r="CA12" s="159">
        <f t="shared" si="51"/>
        <v>1.9248662946445962</v>
      </c>
      <c r="CB12" s="159">
        <f t="shared" si="52"/>
        <v>6.0592520124860023</v>
      </c>
      <c r="CC12" s="159">
        <f t="shared" si="53"/>
        <v>6.7145462579493334</v>
      </c>
      <c r="CD12" s="159">
        <f t="shared" si="54"/>
        <v>13.03356752997623</v>
      </c>
      <c r="CE12" s="159">
        <f t="shared" si="68"/>
        <v>6.7145462579493334</v>
      </c>
      <c r="CF12" s="159">
        <f t="shared" si="55"/>
        <v>7.6983899655197074</v>
      </c>
      <c r="CG12" s="159">
        <f t="shared" si="56"/>
        <v>15.041679892129181</v>
      </c>
      <c r="CH12" s="159">
        <f t="shared" si="69"/>
        <v>7.6983899655197074</v>
      </c>
      <c r="CI12" s="159">
        <f t="shared" si="70"/>
        <v>3.7310665101514791</v>
      </c>
    </row>
    <row r="13" spans="1:87" x14ac:dyDescent="0.25">
      <c r="A13" t="str">
        <f>PLANTILLA!D15</f>
        <v>S. Buschelman</v>
      </c>
      <c r="B13" t="s">
        <v>855</v>
      </c>
      <c r="C13" s="633">
        <f>PLANTILLA!E15</f>
        <v>29</v>
      </c>
      <c r="D13" s="633">
        <f ca="1">PLANTILLA!F15</f>
        <v>77</v>
      </c>
      <c r="E13" s="633" t="str">
        <f>PLANTILLA!G15</f>
        <v>TEC</v>
      </c>
      <c r="F13" s="290">
        <v>41747</v>
      </c>
      <c r="G13" s="497">
        <v>1.5</v>
      </c>
      <c r="H13" s="498">
        <f>PLANTILLA!I15</f>
        <v>10.8</v>
      </c>
      <c r="I13" s="341"/>
      <c r="J13" s="163">
        <f>PLANTILLA!X15</f>
        <v>0</v>
      </c>
      <c r="K13" s="163">
        <f>PLANTILLA!Y15</f>
        <v>9.3036666666666648</v>
      </c>
      <c r="L13" s="163">
        <f>PLANTILLA!Z15</f>
        <v>13.759999999999998</v>
      </c>
      <c r="M13" s="163">
        <f>PLANTILLA!AA15</f>
        <v>12.835000000000001</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3.9598198050745248</v>
      </c>
      <c r="AC13" s="159">
        <f t="shared" si="6"/>
        <v>4.6046315727654221</v>
      </c>
      <c r="AD13" s="159">
        <f t="shared" si="7"/>
        <v>8.8072715002894189</v>
      </c>
      <c r="AE13" s="159">
        <f t="shared" si="63"/>
        <v>2.3023157863827111</v>
      </c>
      <c r="AF13" s="159">
        <f t="shared" si="8"/>
        <v>6.4055908611499675</v>
      </c>
      <c r="AG13" s="357">
        <f t="shared" si="9"/>
        <v>11.207039806730657</v>
      </c>
      <c r="AH13" s="159">
        <f t="shared" si="10"/>
        <v>5.0431679130287952</v>
      </c>
      <c r="AI13" s="159">
        <f t="shared" si="11"/>
        <v>2.7785290228884274</v>
      </c>
      <c r="AJ13" s="357">
        <f t="shared" si="12"/>
        <v>9.2391842243017699</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15.706176033572905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16.637898340649265</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14.657988438112003</v>
      </c>
      <c r="BF13" s="159">
        <f t="shared" si="30"/>
        <v>12.9728416248372</v>
      </c>
      <c r="BG13" s="159">
        <f t="shared" si="31"/>
        <v>3.0248468334298071</v>
      </c>
      <c r="BH13" s="159">
        <f t="shared" si="32"/>
        <v>5.9080590285482266</v>
      </c>
      <c r="BI13" s="159">
        <f t="shared" si="33"/>
        <v>3.2159331619314062</v>
      </c>
      <c r="BJ13" s="159">
        <f t="shared" si="34"/>
        <v>6.3390392677873697</v>
      </c>
      <c r="BK13" s="159">
        <f t="shared" si="35"/>
        <v>13.097578149727461</v>
      </c>
      <c r="BL13" s="159">
        <f t="shared" si="36"/>
        <v>0.65266404704709535</v>
      </c>
      <c r="BM13" s="159">
        <f t="shared" si="37"/>
        <v>2.1926817013168676</v>
      </c>
      <c r="BN13" s="159">
        <f t="shared" si="38"/>
        <v>0.82834642049748342</v>
      </c>
      <c r="BO13" s="159">
        <f t="shared" si="39"/>
        <v>5.0745589938980258</v>
      </c>
      <c r="BP13" s="159">
        <f t="shared" si="40"/>
        <v>19.302550599408292</v>
      </c>
      <c r="BQ13" s="159">
        <f t="shared" si="41"/>
        <v>1.6944162759876515</v>
      </c>
      <c r="BR13" s="159">
        <f t="shared" si="42"/>
        <v>3.4595644620777244</v>
      </c>
      <c r="BS13" s="159">
        <f t="shared" si="43"/>
        <v>2.9723018617850872</v>
      </c>
      <c r="BT13" s="159">
        <f t="shared" si="44"/>
        <v>7.5702437449954161</v>
      </c>
      <c r="BU13" s="159">
        <f t="shared" si="45"/>
        <v>16.638444694772723</v>
      </c>
      <c r="BV13" s="159">
        <f t="shared" si="46"/>
        <v>1.518699032551895</v>
      </c>
      <c r="BW13" s="159">
        <f t="shared" si="47"/>
        <v>3.4595644620777244</v>
      </c>
      <c r="BX13" s="159">
        <f t="shared" si="48"/>
        <v>2.9723018617850872</v>
      </c>
      <c r="BY13" s="159">
        <f t="shared" si="49"/>
        <v>10.498513852949687</v>
      </c>
      <c r="BZ13" s="159">
        <f t="shared" si="50"/>
        <v>13.452842348214427</v>
      </c>
      <c r="CA13" s="159">
        <f t="shared" si="51"/>
        <v>1.857582287749425</v>
      </c>
      <c r="CB13" s="159">
        <f t="shared" si="52"/>
        <v>6.7549867263036019</v>
      </c>
      <c r="CC13" s="159">
        <f t="shared" si="53"/>
        <v>7.4277945693968759</v>
      </c>
      <c r="CD13" s="159">
        <f t="shared" si="54"/>
        <v>11.42542919823774</v>
      </c>
      <c r="CE13" s="159">
        <f t="shared" si="68"/>
        <v>7.4277945693968759</v>
      </c>
      <c r="CF13" s="159">
        <f t="shared" si="55"/>
        <v>7.1807923328911603</v>
      </c>
      <c r="CG13" s="159">
        <f t="shared" si="56"/>
        <v>12.538969495015511</v>
      </c>
      <c r="CH13" s="159">
        <f t="shared" si="69"/>
        <v>7.1807923328911603</v>
      </c>
      <c r="CI13" s="159">
        <f t="shared" si="70"/>
        <v>4.1594745851623163</v>
      </c>
    </row>
    <row r="14" spans="1:87" x14ac:dyDescent="0.25">
      <c r="A14" t="str">
        <f>PLANTILLA!D16</f>
        <v>C. Rojas</v>
      </c>
      <c r="B14" t="s">
        <v>855</v>
      </c>
      <c r="C14" s="633">
        <f>PLANTILLA!E16</f>
        <v>31</v>
      </c>
      <c r="D14" s="633">
        <f ca="1">PLANTILLA!F16</f>
        <v>111</v>
      </c>
      <c r="E14" s="633" t="str">
        <f>PLANTILLA!G16</f>
        <v>TEC</v>
      </c>
      <c r="F14" s="290">
        <v>41653</v>
      </c>
      <c r="G14" s="497">
        <v>1.5</v>
      </c>
      <c r="H14" s="498">
        <f>PLANTILLA!I16</f>
        <v>11.3</v>
      </c>
      <c r="I14" s="341"/>
      <c r="J14" s="163">
        <f>PLANTILLA!X16</f>
        <v>0</v>
      </c>
      <c r="K14" s="163">
        <f>PLANTILLA!Y16</f>
        <v>8.6275555555555581</v>
      </c>
      <c r="L14" s="163">
        <f>PLANTILLA!Z16</f>
        <v>14.238017460317453</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4.079825048287625</v>
      </c>
      <c r="AC14" s="159">
        <f t="shared" si="6"/>
        <v>4.3589675355156441</v>
      </c>
      <c r="AD14" s="159">
        <f t="shared" si="7"/>
        <v>8.337390286184684</v>
      </c>
      <c r="AE14" s="159">
        <f t="shared" si="63"/>
        <v>2.179483767757822</v>
      </c>
      <c r="AF14" s="159">
        <f t="shared" si="8"/>
        <v>6.5997169898770416</v>
      </c>
      <c r="AG14" s="357">
        <f t="shared" si="9"/>
        <v>10.609127335117442</v>
      </c>
      <c r="AH14" s="159">
        <f t="shared" si="10"/>
        <v>4.7741073008028483</v>
      </c>
      <c r="AI14" s="159">
        <f t="shared" si="11"/>
        <v>2.8627343826219893</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16.182163216737472</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17.142122051628679</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15.102209527484867</v>
      </c>
      <c r="BF14" s="159">
        <f t="shared" si="30"/>
        <v>11.494358981675679</v>
      </c>
      <c r="BG14" s="159">
        <f t="shared" si="31"/>
        <v>3.1315792065060055</v>
      </c>
      <c r="BH14" s="159">
        <f t="shared" si="32"/>
        <v>5.59285517123039</v>
      </c>
      <c r="BI14" s="159">
        <f t="shared" si="33"/>
        <v>3.0443582787728309</v>
      </c>
      <c r="BJ14" s="159">
        <f t="shared" si="34"/>
        <v>6.5311485016705264</v>
      </c>
      <c r="BK14" s="159">
        <f t="shared" si="35"/>
        <v>11.289547412806012</v>
      </c>
      <c r="BL14" s="159">
        <f t="shared" si="36"/>
        <v>0.67569343874818366</v>
      </c>
      <c r="BM14" s="159">
        <f t="shared" si="37"/>
        <v>2.075698826436021</v>
      </c>
      <c r="BN14" s="159">
        <f t="shared" si="38"/>
        <v>0.78415288998694133</v>
      </c>
      <c r="BO14" s="159">
        <f t="shared" si="39"/>
        <v>5.2283472257467469</v>
      </c>
      <c r="BP14" s="159">
        <f t="shared" si="40"/>
        <v>16.610418504426235</v>
      </c>
      <c r="BQ14" s="159">
        <f t="shared" si="41"/>
        <v>1.7542041198270155</v>
      </c>
      <c r="BR14" s="159">
        <f t="shared" si="42"/>
        <v>3.2749914817101664</v>
      </c>
      <c r="BS14" s="159">
        <f t="shared" si="43"/>
        <v>2.8137250758354955</v>
      </c>
      <c r="BT14" s="159">
        <f t="shared" si="44"/>
        <v>7.7996655334910487</v>
      </c>
      <c r="BU14" s="159">
        <f t="shared" si="45"/>
        <v>14.311067887172838</v>
      </c>
      <c r="BV14" s="159">
        <f t="shared" si="46"/>
        <v>1.5722866555486583</v>
      </c>
      <c r="BW14" s="159">
        <f t="shared" si="47"/>
        <v>3.2749914817101664</v>
      </c>
      <c r="BX14" s="159">
        <f t="shared" si="48"/>
        <v>2.8137250758354955</v>
      </c>
      <c r="BY14" s="159">
        <f t="shared" si="49"/>
        <v>10.816679014577696</v>
      </c>
      <c r="BZ14" s="159">
        <f t="shared" si="50"/>
        <v>11.559523609223547</v>
      </c>
      <c r="CA14" s="159">
        <f t="shared" si="51"/>
        <v>1.9231274795140614</v>
      </c>
      <c r="CB14" s="159">
        <f t="shared" si="52"/>
        <v>6.9597015529612438</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4.2855305129071697</v>
      </c>
    </row>
    <row r="15" spans="1:87" x14ac:dyDescent="0.25">
      <c r="A15" t="str">
        <f>PLANTILLA!D17</f>
        <v>E. Gross</v>
      </c>
      <c r="B15" t="s">
        <v>855</v>
      </c>
      <c r="C15" s="633">
        <f>PLANTILLA!E17</f>
        <v>30</v>
      </c>
      <c r="D15" s="633">
        <f ca="1">PLANTILLA!F17</f>
        <v>105</v>
      </c>
      <c r="E15" s="633"/>
      <c r="F15" s="290">
        <v>41552</v>
      </c>
      <c r="G15" s="497">
        <v>1.5</v>
      </c>
      <c r="H15" s="498">
        <f>PLANTILLA!I17</f>
        <v>9.3000000000000007</v>
      </c>
      <c r="I15" s="341"/>
      <c r="J15" s="163">
        <f>PLANTILLA!X17</f>
        <v>0</v>
      </c>
      <c r="K15" s="163">
        <f>PLANTILLA!Y17</f>
        <v>10.549999999999995</v>
      </c>
      <c r="L15" s="163">
        <f>PLANTILLA!Z17</f>
        <v>12.869777777777777</v>
      </c>
      <c r="M15" s="163">
        <f>PLANTILLA!AA17</f>
        <v>5.1299999999999981</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3.7273390334522261</v>
      </c>
      <c r="AC15" s="159">
        <f t="shared" si="6"/>
        <v>5.0430154060711816</v>
      </c>
      <c r="AD15" s="159">
        <f t="shared" si="7"/>
        <v>9.6457675624059895</v>
      </c>
      <c r="AE15" s="159">
        <f t="shared" si="63"/>
        <v>2.5215077030355908</v>
      </c>
      <c r="AF15" s="159">
        <f t="shared" si="8"/>
        <v>6.0295190247021306</v>
      </c>
      <c r="AG15" s="357">
        <f t="shared" si="9"/>
        <v>12.274005750226156</v>
      </c>
      <c r="AH15" s="159">
        <f t="shared" si="10"/>
        <v>5.5233025876017701</v>
      </c>
      <c r="AI15" s="159">
        <f t="shared" si="11"/>
        <v>2.6154017587668985</v>
      </c>
      <c r="AJ15" s="357">
        <f t="shared" si="12"/>
        <v>4.6577306316662836</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14.784067426802107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15.66108837584969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13.797418859123578</v>
      </c>
      <c r="BF15" s="159">
        <f t="shared" si="30"/>
        <v>8.3366951216859295</v>
      </c>
      <c r="BG15" s="159">
        <f t="shared" si="31"/>
        <v>2.8995458541353312</v>
      </c>
      <c r="BH15" s="159">
        <f t="shared" si="32"/>
        <v>6.4705356400648757</v>
      </c>
      <c r="BI15" s="159">
        <f t="shared" si="33"/>
        <v>3.5221059978909839</v>
      </c>
      <c r="BJ15" s="159">
        <f t="shared" si="34"/>
        <v>5.9668746711987319</v>
      </c>
      <c r="BK15" s="159">
        <f t="shared" si="35"/>
        <v>7.7493354627148516</v>
      </c>
      <c r="BL15" s="159">
        <f t="shared" si="36"/>
        <v>0.62562815109973946</v>
      </c>
      <c r="BM15" s="159">
        <f t="shared" si="37"/>
        <v>2.4014359076529432</v>
      </c>
      <c r="BN15" s="159">
        <f t="shared" si="38"/>
        <v>0.90720912066888981</v>
      </c>
      <c r="BO15" s="159">
        <f t="shared" si="39"/>
        <v>4.7766319546341558</v>
      </c>
      <c r="BP15" s="159">
        <f t="shared" si="40"/>
        <v>11.362265429120479</v>
      </c>
      <c r="BQ15" s="159">
        <f t="shared" si="41"/>
        <v>1.6242269307397084</v>
      </c>
      <c r="BR15" s="159">
        <f t="shared" si="42"/>
        <v>3.7889322098524216</v>
      </c>
      <c r="BS15" s="159">
        <f t="shared" si="43"/>
        <v>3.2552797859295457</v>
      </c>
      <c r="BT15" s="159">
        <f t="shared" si="44"/>
        <v>7.1257952110116092</v>
      </c>
      <c r="BU15" s="159">
        <f t="shared" si="45"/>
        <v>9.7796521426636787</v>
      </c>
      <c r="BV15" s="159">
        <f t="shared" si="46"/>
        <v>1.4557885823667014</v>
      </c>
      <c r="BW15" s="159">
        <f t="shared" si="47"/>
        <v>3.7889322098524216</v>
      </c>
      <c r="BX15" s="159">
        <f t="shared" si="48"/>
        <v>3.2552797859295457</v>
      </c>
      <c r="BY15" s="159">
        <f t="shared" si="49"/>
        <v>9.8821467651611545</v>
      </c>
      <c r="BZ15" s="159">
        <f t="shared" si="50"/>
        <v>7.8828029852743615</v>
      </c>
      <c r="CA15" s="159">
        <f t="shared" si="51"/>
        <v>1.7806339685146431</v>
      </c>
      <c r="CB15" s="159">
        <f t="shared" si="52"/>
        <v>6.3584018805949745</v>
      </c>
      <c r="CC15" s="159">
        <f t="shared" si="53"/>
        <v>4.8814528215954667</v>
      </c>
      <c r="CD15" s="159">
        <f t="shared" si="54"/>
        <v>9.8976757334289758</v>
      </c>
      <c r="CE15" s="159">
        <f t="shared" si="68"/>
        <v>4.8814528215954667</v>
      </c>
      <c r="CF15" s="159">
        <f t="shared" si="55"/>
        <v>4.8295965025988021</v>
      </c>
      <c r="CG15" s="159">
        <f t="shared" si="56"/>
        <v>10.21086420876045</v>
      </c>
      <c r="CH15" s="159">
        <f t="shared" si="69"/>
        <v>4.8295965025988021</v>
      </c>
      <c r="CI15" s="159">
        <f t="shared" si="70"/>
        <v>3.9152720939624226</v>
      </c>
    </row>
    <row r="16" spans="1:87" x14ac:dyDescent="0.25">
      <c r="A16" t="str">
        <f>PLANTILLA!D18</f>
        <v>L. Bauman</v>
      </c>
      <c r="B16" t="s">
        <v>855</v>
      </c>
      <c r="C16" s="633">
        <f>PLANTILLA!E18</f>
        <v>30</v>
      </c>
      <c r="D16" s="633">
        <f ca="1">PLANTILLA!F18</f>
        <v>80</v>
      </c>
      <c r="E16" s="633"/>
      <c r="F16" s="290">
        <v>41686</v>
      </c>
      <c r="G16" s="497">
        <v>1.5</v>
      </c>
      <c r="H16" s="498">
        <f>PLANTILLA!I18</f>
        <v>8.1999999999999993</v>
      </c>
      <c r="I16" s="341"/>
      <c r="J16" s="163">
        <f>PLANTILLA!X18</f>
        <v>0</v>
      </c>
      <c r="K16" s="163">
        <f>PLANTILLA!Y18</f>
        <v>5.4644444444444451</v>
      </c>
      <c r="L16" s="163">
        <f>PLANTILLA!Z18</f>
        <v>14.331408994708985</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4.0578589365638384</v>
      </c>
      <c r="AC16" s="159">
        <f t="shared" si="6"/>
        <v>3.0931221816013936</v>
      </c>
      <c r="AD16" s="159">
        <f t="shared" si="7"/>
        <v>5.9162098870312372</v>
      </c>
      <c r="AE16" s="159">
        <f t="shared" si="63"/>
        <v>1.5465610908006968</v>
      </c>
      <c r="AF16" s="159">
        <f t="shared" si="8"/>
        <v>6.5641835738532679</v>
      </c>
      <c r="AG16" s="357">
        <f t="shared" si="9"/>
        <v>7.5282338811462495</v>
      </c>
      <c r="AH16" s="159">
        <f t="shared" si="10"/>
        <v>3.3877052465158122</v>
      </c>
      <c r="AI16" s="159">
        <f t="shared" si="11"/>
        <v>2.8473211865805084</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16.095037126538919</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17.049827464553942</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15.020897996272023</v>
      </c>
      <c r="BF16" s="159">
        <f t="shared" si="30"/>
        <v>7.3119490196921664</v>
      </c>
      <c r="BG16" s="159">
        <f t="shared" si="31"/>
        <v>2.8578788512326354</v>
      </c>
      <c r="BH16" s="159">
        <f t="shared" si="32"/>
        <v>3.9686885134303598</v>
      </c>
      <c r="BI16" s="159">
        <f t="shared" si="33"/>
        <v>2.1602758093724019</v>
      </c>
      <c r="BJ16" s="159">
        <f t="shared" si="34"/>
        <v>6.4959842639950525</v>
      </c>
      <c r="BK16" s="159">
        <f t="shared" si="35"/>
        <v>6.5769502426444921</v>
      </c>
      <c r="BL16" s="159">
        <f t="shared" si="36"/>
        <v>0.61663776043193785</v>
      </c>
      <c r="BM16" s="159">
        <f t="shared" si="37"/>
        <v>1.4729153245720923</v>
      </c>
      <c r="BN16" s="159">
        <f t="shared" si="38"/>
        <v>0.55643467817167935</v>
      </c>
      <c r="BO16" s="159">
        <f t="shared" si="39"/>
        <v>5.2001973766889522</v>
      </c>
      <c r="BP16" s="159">
        <f t="shared" si="40"/>
        <v>9.622426152220612</v>
      </c>
      <c r="BQ16" s="159">
        <f t="shared" si="41"/>
        <v>1.6008864934290696</v>
      </c>
      <c r="BR16" s="159">
        <f t="shared" si="42"/>
        <v>2.32393306765819</v>
      </c>
      <c r="BS16" s="159">
        <f t="shared" si="43"/>
        <v>1.9966185510866139</v>
      </c>
      <c r="BT16" s="159">
        <f t="shared" si="44"/>
        <v>7.7576714963720441</v>
      </c>
      <c r="BU16" s="159">
        <f t="shared" si="45"/>
        <v>8.2769676645882111</v>
      </c>
      <c r="BV16" s="159">
        <f t="shared" si="46"/>
        <v>1.4348686348512401</v>
      </c>
      <c r="BW16" s="159">
        <f t="shared" si="47"/>
        <v>2.32393306765819</v>
      </c>
      <c r="BX16" s="159">
        <f t="shared" si="48"/>
        <v>1.9966185510866139</v>
      </c>
      <c r="BY16" s="159">
        <f t="shared" si="49"/>
        <v>10.758441130133537</v>
      </c>
      <c r="BZ16" s="159">
        <f t="shared" si="50"/>
        <v>6.6627795305112354</v>
      </c>
      <c r="CA16" s="159">
        <f t="shared" si="51"/>
        <v>1.7550459335370538</v>
      </c>
      <c r="CB16" s="159">
        <f t="shared" si="52"/>
        <v>6.9222299506089016</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4.2624568661384856</v>
      </c>
    </row>
    <row r="17" spans="1:87" x14ac:dyDescent="0.25">
      <c r="A17" t="str">
        <f>PLANTILLA!D19</f>
        <v>W. Gelifini</v>
      </c>
      <c r="B17" t="s">
        <v>855</v>
      </c>
      <c r="C17" s="633">
        <f>PLANTILLA!E19</f>
        <v>29</v>
      </c>
      <c r="D17" s="633">
        <f ca="1">PLANTILLA!F19</f>
        <v>30</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str">
        <f>PLANTILLA!D20</f>
        <v>M. Amico</v>
      </c>
      <c r="B18" t="s">
        <v>855</v>
      </c>
      <c r="C18" s="633">
        <f>PLANTILLA!E20</f>
        <v>29</v>
      </c>
      <c r="D18" s="633">
        <f ca="1">PLANTILLA!F20</f>
        <v>37</v>
      </c>
      <c r="E18" s="633" t="str">
        <f>PLANTILLA!G20</f>
        <v>IMP</v>
      </c>
      <c r="F18" s="290">
        <v>41730</v>
      </c>
      <c r="G18" s="497">
        <v>1.5</v>
      </c>
      <c r="H18" s="498">
        <f>PLANTILLA!I20</f>
        <v>1.2</v>
      </c>
      <c r="I18" s="341"/>
      <c r="J18" s="163">
        <f>PLANTILLA!X20</f>
        <v>0</v>
      </c>
      <c r="K18" s="163">
        <f>PLANTILLA!Y20</f>
        <v>2.4961111111111101</v>
      </c>
      <c r="L18" s="163">
        <f>PLANTILLA!Z20</f>
        <v>7.3299999999999974</v>
      </c>
      <c r="M18" s="163">
        <f>PLANTILLA!AA20</f>
        <v>4.17</v>
      </c>
      <c r="N18" s="163">
        <f>PLANTILLA!AB20</f>
        <v>7.2649999999999988</v>
      </c>
      <c r="O18" s="163">
        <f>PLANTILLA!AC20</f>
        <v>4.3299999999999983</v>
      </c>
      <c r="P18" s="163">
        <f>PLANTILLA!AD20</f>
        <v>9.5</v>
      </c>
      <c r="Q18" s="163">
        <f t="shared" si="57"/>
        <v>2.5032638888888883</v>
      </c>
      <c r="R18" s="163">
        <f t="shared" si="58"/>
        <v>8.3611207383536659</v>
      </c>
      <c r="S18" s="163">
        <f t="shared" si="59"/>
        <v>0.50149999999999983</v>
      </c>
      <c r="T18" s="163">
        <f t="shared" si="60"/>
        <v>0.38484444444444443</v>
      </c>
      <c r="U18" s="163">
        <f t="shared" ca="1" si="0"/>
        <v>10.605574994730166</v>
      </c>
      <c r="V18" s="159">
        <f t="shared" si="1"/>
        <v>2.0905936370661018</v>
      </c>
      <c r="W18" s="159">
        <f t="shared" si="2"/>
        <v>3.1336445404188664</v>
      </c>
      <c r="X18" s="159">
        <f t="shared" si="61"/>
        <v>2.0905936370661018</v>
      </c>
      <c r="Y18" s="159">
        <f t="shared" si="3"/>
        <v>2.1164700306140984</v>
      </c>
      <c r="Z18" s="159">
        <f t="shared" si="4"/>
        <v>4.1016861058412761</v>
      </c>
      <c r="AA18" s="159">
        <f t="shared" si="62"/>
        <v>1.0582350153070492</v>
      </c>
      <c r="AB18" s="159">
        <f t="shared" si="5"/>
        <v>2.1266668487457787</v>
      </c>
      <c r="AC18" s="159">
        <f t="shared" si="6"/>
        <v>1.5504373480080025</v>
      </c>
      <c r="AD18" s="159">
        <f t="shared" si="7"/>
        <v>2.9655190545232424</v>
      </c>
      <c r="AE18" s="159">
        <f t="shared" si="63"/>
        <v>0.77521867400400124</v>
      </c>
      <c r="AF18" s="159">
        <f t="shared" si="8"/>
        <v>3.4401963729711134</v>
      </c>
      <c r="AG18" s="357">
        <f t="shared" si="9"/>
        <v>3.7735512173739743</v>
      </c>
      <c r="AH18" s="159">
        <f t="shared" si="10"/>
        <v>1.6980980478182883</v>
      </c>
      <c r="AI18" s="159">
        <f t="shared" si="11"/>
        <v>1.4922410241199375</v>
      </c>
      <c r="AJ18" s="357">
        <f t="shared" si="12"/>
        <v>3.3960380969013375</v>
      </c>
      <c r="AK18" s="159">
        <f t="shared" si="13"/>
        <v>3.0926713238043222</v>
      </c>
      <c r="AL18" s="159">
        <f t="shared" si="14"/>
        <v>2.9039937629356234</v>
      </c>
      <c r="AM18" s="159">
        <f t="shared" si="15"/>
        <v>1.8546310241199377</v>
      </c>
      <c r="AN18" s="159">
        <f t="shared" si="16"/>
        <v>1.1833455984822876</v>
      </c>
      <c r="AO18" s="159">
        <f t="shared" si="17"/>
        <v>1.1074552485771447</v>
      </c>
      <c r="AP18" s="159">
        <f t="shared" si="18"/>
        <v>2.436401546869718</v>
      </c>
      <c r="AQ18" s="159">
        <f t="shared" si="64"/>
        <v>0.55372762428857236</v>
      </c>
      <c r="AR18" s="159">
        <f t="shared" si="19"/>
        <v>8.4351827950252751</v>
      </c>
      <c r="AS18" s="159">
        <f t="shared" si="20"/>
        <v>1.1531747493149214</v>
      </c>
      <c r="AT18" s="159">
        <f t="shared" si="21"/>
        <v>2.0913234734559385</v>
      </c>
      <c r="AU18" s="159">
        <f t="shared" si="65"/>
        <v>0.57658737465746068</v>
      </c>
      <c r="AV18" s="159">
        <f t="shared" si="22"/>
        <v>0.77521867400400124</v>
      </c>
      <c r="AW18" s="159">
        <f t="shared" si="23"/>
        <v>1.6406744423365105</v>
      </c>
      <c r="AX18" s="159">
        <f t="shared" si="66"/>
        <v>0.38760933700200062</v>
      </c>
      <c r="AY18" s="159">
        <f t="shared" si="24"/>
        <v>8.9355749947301639</v>
      </c>
      <c r="AZ18" s="159">
        <f t="shared" si="25"/>
        <v>2.2442554736667315</v>
      </c>
      <c r="BA18" s="159">
        <f t="shared" si="26"/>
        <v>4.2713368220963206</v>
      </c>
      <c r="BB18" s="159">
        <f t="shared" si="67"/>
        <v>1.1221277368333658</v>
      </c>
      <c r="BC18" s="159">
        <f t="shared" si="27"/>
        <v>1.1935906567998114</v>
      </c>
      <c r="BD18" s="159">
        <f t="shared" si="28"/>
        <v>1.4273867648327641</v>
      </c>
      <c r="BE18" s="159">
        <f t="shared" si="29"/>
        <v>7.8722415703572741</v>
      </c>
      <c r="BF18" s="159">
        <f t="shared" si="30"/>
        <v>6.1094111703151164</v>
      </c>
      <c r="BG18" s="159">
        <f t="shared" si="31"/>
        <v>2.1378085737299695</v>
      </c>
      <c r="BH18" s="159">
        <f t="shared" si="32"/>
        <v>1.9893177613330189</v>
      </c>
      <c r="BI18" s="159">
        <f t="shared" si="33"/>
        <v>1.0828451319420969</v>
      </c>
      <c r="BJ18" s="159">
        <f t="shared" si="34"/>
        <v>3.4044540729921926</v>
      </c>
      <c r="BK18" s="159">
        <f t="shared" si="35"/>
        <v>5.669947545394165</v>
      </c>
      <c r="BL18" s="159">
        <f t="shared" si="36"/>
        <v>0.46126989972596855</v>
      </c>
      <c r="BM18" s="159">
        <f t="shared" si="37"/>
        <v>0.73830349905142967</v>
      </c>
      <c r="BN18" s="159">
        <f t="shared" si="38"/>
        <v>0.27891465519720682</v>
      </c>
      <c r="BO18" s="159">
        <f t="shared" si="39"/>
        <v>2.7253503733927</v>
      </c>
      <c r="BP18" s="159">
        <f t="shared" si="40"/>
        <v>8.3125594432229928</v>
      </c>
      <c r="BQ18" s="159">
        <f t="shared" si="41"/>
        <v>1.1975276242885722</v>
      </c>
      <c r="BR18" s="159">
        <f t="shared" si="42"/>
        <v>1.1648788540589223</v>
      </c>
      <c r="BS18" s="159">
        <f t="shared" si="43"/>
        <v>1.0008114098252714</v>
      </c>
      <c r="BT18" s="159">
        <f t="shared" si="44"/>
        <v>4.0656866226022244</v>
      </c>
      <c r="BU18" s="159">
        <f t="shared" si="45"/>
        <v>7.1545170941610232</v>
      </c>
      <c r="BV18" s="159">
        <f t="shared" si="46"/>
        <v>1.0733395743623499</v>
      </c>
      <c r="BW18" s="159">
        <f t="shared" si="47"/>
        <v>1.1648788540589223</v>
      </c>
      <c r="BX18" s="159">
        <f t="shared" si="48"/>
        <v>1.0008114098252714</v>
      </c>
      <c r="BY18" s="159">
        <f t="shared" si="49"/>
        <v>5.6383478216747331</v>
      </c>
      <c r="BZ18" s="159">
        <f t="shared" si="50"/>
        <v>5.766474620283498</v>
      </c>
      <c r="CA18" s="159">
        <f t="shared" si="51"/>
        <v>1.3128450992200642</v>
      </c>
      <c r="CB18" s="159">
        <f t="shared" si="52"/>
        <v>3.6278434478604469</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2.233893748682541</v>
      </c>
    </row>
    <row r="19" spans="1:87" x14ac:dyDescent="0.25">
      <c r="A19" t="str">
        <f>PLANTILLA!D21</f>
        <v>G. Kerschl</v>
      </c>
      <c r="B19" t="s">
        <v>855</v>
      </c>
      <c r="C19" s="669">
        <f>PLANTILLA!E21</f>
        <v>28</v>
      </c>
      <c r="D19" s="669">
        <f ca="1">PLANTILLA!F21</f>
        <v>107</v>
      </c>
      <c r="E19" s="669" t="str">
        <f>PLANTILLA!G21</f>
        <v>CAB</v>
      </c>
      <c r="F19" s="290">
        <v>43060</v>
      </c>
      <c r="G19" s="497">
        <v>2.5</v>
      </c>
      <c r="H19" s="498">
        <f>PLANTILLA!I21</f>
        <v>8.9</v>
      </c>
      <c r="I19" s="341"/>
      <c r="J19" s="163">
        <f>PLANTILLA!X21</f>
        <v>0</v>
      </c>
      <c r="K19" s="163">
        <f>PLANTILLA!Y21</f>
        <v>3</v>
      </c>
      <c r="L19" s="163">
        <f>PLANTILLA!Z21</f>
        <v>15</v>
      </c>
      <c r="M19" s="163">
        <f>PLANTILLA!AA21</f>
        <v>12.01</v>
      </c>
      <c r="N19" s="163">
        <f>PLANTILLA!AB21</f>
        <v>12</v>
      </c>
      <c r="O19" s="163">
        <f>PLANTILLA!AC21</f>
        <v>8</v>
      </c>
      <c r="P19" s="163">
        <f>PLANTILLA!AD21</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3.655450203430207</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4.466273095441986</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7.2248535367443889</v>
      </c>
      <c r="AG19" s="357">
        <f t="shared" ref="AG19" si="87">((K19+G19+(LOG(H19)*4/3))*0.92)</f>
        <v>6.2245850748177594</v>
      </c>
      <c r="AH19" s="159">
        <f t="shared" ref="AH19" si="88">(K19+G19+(LOG(H19)*4/3))*0.414</f>
        <v>2.8010632836679914</v>
      </c>
      <c r="AI19" s="159">
        <f t="shared" ref="AI19" si="89">((L19+G19+(LOG(H19)*4/3))*0.167)</f>
        <v>3.1338975081462674</v>
      </c>
      <c r="AJ19" s="357">
        <f t="shared" ref="AJ19" si="90">(M19+G19+(LOG(H19)*4/3))*0.588</f>
        <v>9.2762017652096116</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17.714965555030396</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18.765853342193218</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16.532716794472226</v>
      </c>
      <c r="BF19" s="159">
        <f t="shared" ref="BF19" si="112">((M19+G19+(LOG(H19)*4/3))*0.574)+((N19+G19+(LOG(H19)*4/3))*0.315)</f>
        <v>14.02158362120977</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7.1497901233756158</v>
      </c>
      <c r="BK19" s="159">
        <f t="shared" ref="BK19" si="117">((M19+G19+(LOG(H19)*4/3))*0.673)+((N19+G19+(LOG(H19)*4/3))*0.201)</f>
        <v>13.786085821076874</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5.7235852693689315</v>
      </c>
      <c r="BP19" s="159">
        <f t="shared" ref="BP19" si="122">((M19+G19+(LOG(H19)*4/3))*1)+((N19+G19+(LOG(H19)*4/3))*0.286)</f>
        <v>20.284887398060476</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8.538463270697914</v>
      </c>
      <c r="BU19" s="159">
        <f t="shared" ref="BU19" si="127">((M19+G19+(LOG(H19)*4/3))*0.864)+((N19+G19+(LOG(H19)*4/3))*0.244)</f>
        <v>17.477205503150085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11.841253458923921</v>
      </c>
      <c r="BZ19" s="159">
        <f t="shared" ref="BZ19" si="132">((M19+G19+(LOG(H19)*4/3))*0.702)+((N19+G19+(LOG(H19)*4/3))*0.193)</f>
        <v>14.117458741262929</v>
      </c>
      <c r="CA19" s="159">
        <f t="shared" ref="CA19" si="133">((N19+G19+(LOG(H19)*4/3))*0.148)</f>
        <v>2.333346294644596</v>
      </c>
      <c r="CB19" s="159">
        <f t="shared" ref="CB19" si="134">((L19+G19+(LOG(H19)*4/3))*0.406)</f>
        <v>7.618936456930447</v>
      </c>
      <c r="CC19" s="159">
        <f t="shared" ref="CC19" si="135">IF(E19="TEC",((M19+G19+(LOG(H19)*4/3))*0.15)+((N19+G19+(LOG(H19)*4/3))*0.324)+((O19+G19+(LOG(H19)*4/3))*0.127),(((M19+G19+(LOG(H19)*4/3))*0.144)+((N19+G19+(LOG(H19)*4/3))*0.25)+((O19+G19+(LOG(H19)*4/3))*0.127)))</f>
        <v>7.7074495912826659</v>
      </c>
      <c r="CD19" s="159">
        <f t="shared" ref="CD19" si="136">((N19+G19+(LOG(H19)*4/3))*0.543)+((O19+G19+(LOG(H19)*4/3))*0.583)</f>
        <v>15.420350863309562</v>
      </c>
      <c r="CE19" s="159">
        <f t="shared" ref="CE19" si="137">CC19</f>
        <v>7.7074495912826659</v>
      </c>
      <c r="CF19" s="159">
        <f t="shared" ref="CF19" si="138">((O19+1+(LOG(H19)*4/3))*0.26)+((M19+G19+(LOG(H19)*4/3))*0.221)+((N19+G19+(LOG(H19)*4/3))*0.142)</f>
        <v>8.3943366321863753</v>
      </c>
      <c r="CG19" s="159">
        <f t="shared" ref="CG19" si="139">((O19+G19+(LOG(H19)*4/3))*1)+((N19+G19+(LOG(H19)*4/3))*0.369)</f>
        <v>17.583453225462513</v>
      </c>
      <c r="CH19" s="159">
        <f t="shared" ref="CH19" si="140">CF19</f>
        <v>8.3943366321863753</v>
      </c>
      <c r="CI19" s="159">
        <f t="shared" ref="CI19" si="141">((L19+G19+(LOG(H19)*4/3))*0.25)</f>
        <v>4.6914633355483044</v>
      </c>
    </row>
    <row r="20" spans="1:87" x14ac:dyDescent="0.25">
      <c r="A20" t="str">
        <f>PLANTILLA!D22</f>
        <v>J. Limon</v>
      </c>
      <c r="B20" t="s">
        <v>855</v>
      </c>
      <c r="C20" s="633">
        <f>PLANTILLA!E22</f>
        <v>30</v>
      </c>
      <c r="D20" s="633">
        <f ca="1">PLANTILLA!F22</f>
        <v>5</v>
      </c>
      <c r="E20" s="633" t="str">
        <f>PLANTILLA!G22</f>
        <v>RAP</v>
      </c>
      <c r="F20" s="290">
        <v>41664</v>
      </c>
      <c r="G20" s="497">
        <v>1.5</v>
      </c>
      <c r="H20" s="498">
        <f>PLANTILLA!I22</f>
        <v>10.3</v>
      </c>
      <c r="I20" s="341"/>
      <c r="J20" s="163">
        <f>PLANTILLA!X22</f>
        <v>0</v>
      </c>
      <c r="K20" s="163">
        <f>PLANTILLA!Y22</f>
        <v>6.8376190476190493</v>
      </c>
      <c r="L20" s="163">
        <f>PLANTILLA!Z22</f>
        <v>8.625</v>
      </c>
      <c r="M20" s="163">
        <f>PLANTILLA!AA22</f>
        <v>8.7299999999999969</v>
      </c>
      <c r="N20" s="163">
        <f>PLANTILLA!AB22</f>
        <v>9.6900000000000013</v>
      </c>
      <c r="O20" s="163">
        <f>PLANTILLA!AC22</f>
        <v>8.5625000000000018</v>
      </c>
      <c r="P20" s="163">
        <f>PLANTILLA!AD22</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2.7311570126397746</v>
      </c>
      <c r="AC20" s="159">
        <f t="shared" si="6"/>
        <v>3.6620899612514077</v>
      </c>
      <c r="AD20" s="159">
        <f t="shared" si="7"/>
        <v>7.0044736560443592</v>
      </c>
      <c r="AE20" s="159">
        <f t="shared" si="63"/>
        <v>1.8310449806257039</v>
      </c>
      <c r="AF20" s="159">
        <f t="shared" si="8"/>
        <v>4.4180481086819885</v>
      </c>
      <c r="AG20" s="357">
        <f t="shared" si="9"/>
        <v>8.9130231861145379</v>
      </c>
      <c r="AH20" s="159">
        <f t="shared" si="10"/>
        <v>4.0108604337515414</v>
      </c>
      <c r="AI20" s="159">
        <f t="shared" si="11"/>
        <v>1.9164000887010184</v>
      </c>
      <c r="AJ20" s="357">
        <f t="shared" si="12"/>
        <v>6.8093043841688523</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10.832824453495576</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11.475449632940229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10.109871126620343</v>
      </c>
      <c r="BF20" s="357">
        <f t="shared" si="30"/>
        <v>10.597419723683862</v>
      </c>
      <c r="BG20" s="357">
        <f t="shared" si="31"/>
        <v>3.0222483615385953</v>
      </c>
      <c r="BH20" s="357">
        <f t="shared" si="32"/>
        <v>4.6987133100712501</v>
      </c>
      <c r="BI20" s="357">
        <f t="shared" si="33"/>
        <v>2.5576501316676499</v>
      </c>
      <c r="BJ20" s="357">
        <f t="shared" si="34"/>
        <v>4.3721463101502271</v>
      </c>
      <c r="BK20" s="357">
        <f t="shared" si="35"/>
        <v>10.314272979189759</v>
      </c>
      <c r="BL20" s="357">
        <f t="shared" si="36"/>
        <v>0.65210338091289199</v>
      </c>
      <c r="BM20" s="357">
        <f t="shared" si="37"/>
        <v>1.7438523625006703</v>
      </c>
      <c r="BN20" s="357">
        <f t="shared" si="38"/>
        <v>0.65878867027803101</v>
      </c>
      <c r="BO20" s="357">
        <f t="shared" si="39"/>
        <v>3.5000121380467699</v>
      </c>
      <c r="BP20" s="357">
        <f t="shared" si="40"/>
        <v>15.167018227961131</v>
      </c>
      <c r="BQ20" s="357">
        <f t="shared" si="41"/>
        <v>1.6929607004469311</v>
      </c>
      <c r="BR20" s="357">
        <f t="shared" si="42"/>
        <v>2.7514115052788353</v>
      </c>
      <c r="BS20" s="357">
        <f t="shared" si="43"/>
        <v>2.363888758056464</v>
      </c>
      <c r="BT20" s="357">
        <f t="shared" si="44"/>
        <v>5.2213295829878046</v>
      </c>
      <c r="BU20" s="357">
        <f t="shared" si="45"/>
        <v>13.065378193297772</v>
      </c>
      <c r="BV20" s="357">
        <f t="shared" si="46"/>
        <v>1.5173944055857678</v>
      </c>
      <c r="BW20" s="357">
        <f t="shared" si="47"/>
        <v>2.7514115052788353</v>
      </c>
      <c r="BX20" s="357">
        <f t="shared" si="48"/>
        <v>2.363888758056464</v>
      </c>
      <c r="BY20" s="357">
        <f t="shared" si="49"/>
        <v>7.2410087183852845</v>
      </c>
      <c r="BZ20" s="357">
        <f t="shared" si="50"/>
        <v>10.549782421481503</v>
      </c>
      <c r="CA20" s="357">
        <f t="shared" si="51"/>
        <v>1.8559865456751541</v>
      </c>
      <c r="CB20" s="357">
        <f t="shared" si="52"/>
        <v>4.6590325509737331</v>
      </c>
      <c r="CC20" s="357">
        <f t="shared" si="53"/>
        <v>6.2521417587618595</v>
      </c>
      <c r="CD20" s="357">
        <f t="shared" si="54"/>
        <v>13.463213786690702</v>
      </c>
      <c r="CE20" s="357">
        <f t="shared" si="68"/>
        <v>6.2521417587618595</v>
      </c>
      <c r="CF20" s="357">
        <f t="shared" si="55"/>
        <v>7.1773901213217624</v>
      </c>
      <c r="CG20" s="357">
        <f t="shared" si="56"/>
        <v>16.040375547495177</v>
      </c>
      <c r="CH20" s="357">
        <f t="shared" si="69"/>
        <v>7.1773901213217624</v>
      </c>
      <c r="CI20" s="357">
        <f t="shared" si="70"/>
        <v>2.8688624082350573</v>
      </c>
    </row>
    <row r="21" spans="1:87" x14ac:dyDescent="0.25">
      <c r="A21" t="str">
        <f>PLANTILLA!D23</f>
        <v>L. Calosso</v>
      </c>
      <c r="C21" s="633">
        <f>PLANTILLA!E23</f>
        <v>30</v>
      </c>
      <c r="D21" s="633">
        <f ca="1">PLANTILLA!F23</f>
        <v>74</v>
      </c>
      <c r="E21" s="633" t="str">
        <f>PLANTILLA!G23</f>
        <v>TEC</v>
      </c>
      <c r="F21" s="290">
        <v>41890</v>
      </c>
      <c r="G21" s="497">
        <v>1</v>
      </c>
      <c r="H21" s="498">
        <f>PLANTILLA!I23</f>
        <v>10.5</v>
      </c>
      <c r="I21" s="341"/>
      <c r="J21" s="163">
        <f>PLANTILLA!X23</f>
        <v>0</v>
      </c>
      <c r="K21" s="163">
        <f>PLANTILLA!Y23</f>
        <v>3.02</v>
      </c>
      <c r="L21" s="163">
        <f>PLANTILLA!Z23</f>
        <v>14.137609523809523</v>
      </c>
      <c r="M21" s="163">
        <f>PLANTILLA!AA23</f>
        <v>3.02</v>
      </c>
      <c r="N21" s="163">
        <f>PLANTILLA!AB23</f>
        <v>15.02</v>
      </c>
      <c r="O21" s="163">
        <f>PLANTILLA!AC23</f>
        <v>10</v>
      </c>
      <c r="P21" s="163">
        <f>PLANTILLA!AD23</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3.9268084709048598</v>
      </c>
      <c r="AC21" s="159">
        <f t="shared" si="6"/>
        <v>2.0342394067312486</v>
      </c>
      <c r="AD21" s="159">
        <f t="shared" si="7"/>
        <v>3.8908864843034197</v>
      </c>
      <c r="AE21" s="159">
        <f t="shared" si="63"/>
        <v>1.0171197033656243</v>
      </c>
      <c r="AF21" s="159">
        <f t="shared" si="8"/>
        <v>6.3521901735225681</v>
      </c>
      <c r="AG21" s="357">
        <f t="shared" si="9"/>
        <v>4.9510588735257901</v>
      </c>
      <c r="AH21" s="159">
        <f t="shared" si="10"/>
        <v>2.2279764930866057</v>
      </c>
      <c r="AI21" s="159">
        <f t="shared" si="11"/>
        <v>2.7553656077357633</v>
      </c>
      <c r="AJ21" s="357">
        <f t="shared" si="12"/>
        <v>3.1643724104708308</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15.575240321572217</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16.499195255902773</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14.535791020450343</v>
      </c>
      <c r="BF21" s="357">
        <f t="shared" si="30"/>
        <v>8.5642297158308995</v>
      </c>
      <c r="BG21" s="357">
        <f t="shared" si="31"/>
        <v>4.188962161434473</v>
      </c>
      <c r="BH21" s="357">
        <f t="shared" si="32"/>
        <v>2.6100690800652262</v>
      </c>
      <c r="BI21" s="357">
        <f t="shared" si="33"/>
        <v>1.4207386332726182</v>
      </c>
      <c r="BJ21" s="357">
        <f t="shared" si="34"/>
        <v>6.2861933924989568</v>
      </c>
      <c r="BK21" s="357">
        <f t="shared" si="35"/>
        <v>7.1155059298495011</v>
      </c>
      <c r="BL21" s="357">
        <f t="shared" si="36"/>
        <v>0.90384245806884889</v>
      </c>
      <c r="BM21" s="357">
        <f t="shared" si="37"/>
        <v>0.96868543177678501</v>
      </c>
      <c r="BN21" s="357">
        <f t="shared" si="38"/>
        <v>0.36594782978234103</v>
      </c>
      <c r="BO21" s="357">
        <f t="shared" si="39"/>
        <v>5.032254553050346</v>
      </c>
      <c r="BP21" s="357">
        <f t="shared" si="40"/>
        <v>10.352719251471919</v>
      </c>
      <c r="BQ21" s="357">
        <f t="shared" si="41"/>
        <v>2.3465140738325889</v>
      </c>
      <c r="BR21" s="357">
        <f t="shared" si="42"/>
        <v>1.528370347914483</v>
      </c>
      <c r="BS21" s="357">
        <f t="shared" si="43"/>
        <v>1.3131069186307531</v>
      </c>
      <c r="BT21" s="357">
        <f t="shared" si="44"/>
        <v>7.5071338414357616</v>
      </c>
      <c r="BU21" s="357">
        <f t="shared" si="45"/>
        <v>8.8907969911593216</v>
      </c>
      <c r="BV21" s="357">
        <f t="shared" si="46"/>
        <v>2.1031718735832832</v>
      </c>
      <c r="BW21" s="357">
        <f t="shared" si="47"/>
        <v>1.528370347914483</v>
      </c>
      <c r="BX21" s="357">
        <f t="shared" si="48"/>
        <v>1.3131069186307531</v>
      </c>
      <c r="BY21" s="357">
        <f t="shared" si="49"/>
        <v>10.410992206474649</v>
      </c>
      <c r="BZ21" s="357">
        <f t="shared" si="50"/>
        <v>7.1325192302234584</v>
      </c>
      <c r="CA21" s="357">
        <f t="shared" si="51"/>
        <v>2.5724746883498009</v>
      </c>
      <c r="CB21" s="357">
        <f t="shared" si="52"/>
        <v>6.6986732738965262</v>
      </c>
      <c r="CC21" s="357">
        <f t="shared" si="53"/>
        <v>8.0087930249880444</v>
      </c>
      <c r="CD21" s="357">
        <f t="shared" si="54"/>
        <v>16.645005534336999</v>
      </c>
      <c r="CE21" s="357">
        <f t="shared" si="68"/>
        <v>8.0087930249880444</v>
      </c>
      <c r="CF21" s="357">
        <f t="shared" si="55"/>
        <v>6.8715279110940948</v>
      </c>
      <c r="CG21" s="357">
        <f t="shared" si="56"/>
        <v>18.775390867235657</v>
      </c>
      <c r="CH21" s="357">
        <f t="shared" si="69"/>
        <v>6.8715279110940948</v>
      </c>
      <c r="CI21" s="357">
        <f t="shared" si="70"/>
        <v>4.1247988139756933</v>
      </c>
    </row>
    <row r="22" spans="1:87" x14ac:dyDescent="0.25">
      <c r="A22" t="str">
        <f>PLANTILLA!D24</f>
        <v>P .Trivadi</v>
      </c>
      <c r="B22" t="s">
        <v>855</v>
      </c>
      <c r="C22" s="633">
        <f>PLANTILLA!E24</f>
        <v>27</v>
      </c>
      <c r="D22" s="633">
        <f ca="1">PLANTILLA!F24</f>
        <v>36</v>
      </c>
      <c r="E22" s="633"/>
      <c r="F22" s="290">
        <v>41973</v>
      </c>
      <c r="G22" s="497">
        <v>1.5</v>
      </c>
      <c r="H22" s="498">
        <f>PLANTILLA!I24</f>
        <v>5.5</v>
      </c>
      <c r="I22" s="341"/>
      <c r="J22" s="163">
        <f>PLANTILLA!X24</f>
        <v>0</v>
      </c>
      <c r="K22" s="163">
        <f>PLANTILLA!Y24</f>
        <v>4.0199999999999996</v>
      </c>
      <c r="L22" s="163">
        <f>PLANTILLA!Z24</f>
        <v>5.5538722222222203</v>
      </c>
      <c r="M22" s="163">
        <f>PLANTILLA!AA24</f>
        <v>5.4899999999999993</v>
      </c>
      <c r="N22" s="163">
        <f>PLANTILLA!AB24</f>
        <v>10.799999999999999</v>
      </c>
      <c r="O22" s="163">
        <f>PLANTILLA!AC24</f>
        <v>8.384500000000001</v>
      </c>
      <c r="P22" s="163">
        <f>PLANTILLA!AD24</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1.9137633490217283</v>
      </c>
      <c r="AC22" s="159">
        <f t="shared" si="6"/>
        <v>2.4597027955050987</v>
      </c>
      <c r="AD22" s="159">
        <f t="shared" si="7"/>
        <v>4.7046696326724504</v>
      </c>
      <c r="AE22" s="159">
        <f t="shared" si="63"/>
        <v>1.2298513977525494</v>
      </c>
      <c r="AF22" s="159">
        <f t="shared" si="8"/>
        <v>3.0957936528292667</v>
      </c>
      <c r="AG22" s="357">
        <f t="shared" si="9"/>
        <v>5.9865782324462726</v>
      </c>
      <c r="AH22" s="159">
        <f t="shared" si="10"/>
        <v>2.6939602046008226</v>
      </c>
      <c r="AI22" s="159">
        <f t="shared" si="11"/>
        <v>1.3428507533051623</v>
      </c>
      <c r="AJ22" s="357">
        <f t="shared" si="12"/>
        <v>4.6905643485634867</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7.5907252162878631</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8.0410224748812116</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7.0841408003703474</v>
      </c>
      <c r="BF22" s="357">
        <f t="shared" si="30"/>
        <v>8.7643365746138429</v>
      </c>
      <c r="BG22" s="357">
        <f t="shared" si="31"/>
        <v>3.2022032108908167</v>
      </c>
      <c r="BH22" s="357">
        <f t="shared" si="32"/>
        <v>3.1559678725396108</v>
      </c>
      <c r="BI22" s="357">
        <f t="shared" si="33"/>
        <v>1.7178876667019738</v>
      </c>
      <c r="BJ22" s="357">
        <f t="shared" si="34"/>
        <v>3.0636295629297416</v>
      </c>
      <c r="BK22" s="357">
        <f t="shared" si="35"/>
        <v>8.0393393208239594</v>
      </c>
      <c r="BL22" s="357">
        <f t="shared" si="36"/>
        <v>0.69093181313826746</v>
      </c>
      <c r="BM22" s="357">
        <f t="shared" si="37"/>
        <v>1.1712870454786184</v>
      </c>
      <c r="BN22" s="357">
        <f t="shared" si="38"/>
        <v>0.44248621718081149</v>
      </c>
      <c r="BO22" s="357">
        <f t="shared" si="39"/>
        <v>2.4525118548387694</v>
      </c>
      <c r="BP22" s="357">
        <f t="shared" si="40"/>
        <v>11.777275224919462</v>
      </c>
      <c r="BQ22" s="357">
        <f t="shared" si="41"/>
        <v>1.793765284108964</v>
      </c>
      <c r="BR22" s="357">
        <f t="shared" si="42"/>
        <v>1.8480306717551536</v>
      </c>
      <c r="BS22" s="357">
        <f t="shared" si="43"/>
        <v>1.587744661648794</v>
      </c>
      <c r="BT22" s="357">
        <f t="shared" si="44"/>
        <v>3.6586652260709513</v>
      </c>
      <c r="BU22" s="357">
        <f t="shared" si="45"/>
        <v>10.134322479946162</v>
      </c>
      <c r="BV22" s="357">
        <f t="shared" si="46"/>
        <v>1.6077451805717378</v>
      </c>
      <c r="BW22" s="357">
        <f t="shared" si="47"/>
        <v>1.8480306717551536</v>
      </c>
      <c r="BX22" s="357">
        <f t="shared" si="48"/>
        <v>1.587744661648794</v>
      </c>
      <c r="BY22" s="357">
        <f t="shared" si="49"/>
        <v>5.073885181650045</v>
      </c>
      <c r="BZ22" s="357">
        <f t="shared" si="50"/>
        <v>8.1643794761297972</v>
      </c>
      <c r="CA22" s="357">
        <f t="shared" si="51"/>
        <v>1.9664982373935307</v>
      </c>
      <c r="CB22" s="357">
        <f t="shared" si="52"/>
        <v>3.2646551248017723</v>
      </c>
      <c r="CC22" s="357">
        <f t="shared" si="53"/>
        <v>5.8511967816353341</v>
      </c>
      <c r="CD22" s="357">
        <f t="shared" si="54"/>
        <v>13.553094684494026</v>
      </c>
      <c r="CE22" s="357">
        <f t="shared" si="68"/>
        <v>5.8511967816353341</v>
      </c>
      <c r="CF22" s="357">
        <f t="shared" si="55"/>
        <v>6.3463546074065516</v>
      </c>
      <c r="CG22" s="357">
        <f t="shared" si="56"/>
        <v>15.77460869589016</v>
      </c>
      <c r="CH22" s="357">
        <f t="shared" si="69"/>
        <v>6.3463546074065516</v>
      </c>
      <c r="CI22" s="357">
        <f t="shared" si="70"/>
        <v>2.0102556187203029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2018-01-11T15:23:22Z</dcterms:modified>
</cp:coreProperties>
</file>