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codeName="ThisWorkbook" defaultThemeVersion="124226"/>
  <xr:revisionPtr revIDLastSave="0" documentId="13_ncr:1_{518FEF89-9251-4A7C-8863-FF8CBFEFD7A1}" xr6:coauthVersionLast="33" xr6:coauthVersionMax="33" xr10:uidLastSave="{00000000-0000-0000-0000-000000000000}"/>
  <bookViews>
    <workbookView xWindow="240" yWindow="105" windowWidth="14805" windowHeight="8010" activeTab="1" xr2:uid="{00000000-000D-0000-FFFF-FFFF00000000}"/>
  </bookViews>
  <sheets>
    <sheet name="Hall_of_Fame" sheetId="22" r:id="rId1"/>
    <sheet name="Plantilla" sheetId="1" r:id="rId2"/>
    <sheet name="Juveniles" sheetId="27" r:id="rId3"/>
    <sheet name="Planning" sheetId="24" r:id="rId4"/>
    <sheet name="Economia" sheetId="28" r:id="rId5"/>
    <sheet name="Capitán" sheetId="12" r:id="rId6"/>
    <sheet name="CA_Calcutator" sheetId="25" r:id="rId7"/>
    <sheet name="EstudioConversion" sheetId="26" r:id="rId8"/>
    <sheet name="Entrenador" sheetId="9" r:id="rId9"/>
    <sheet name="Evaluacion Jugadores" sheetId="3" r:id="rId10"/>
    <sheet name="LAT" sheetId="10" r:id="rId11"/>
    <sheet name="PorteroTitular" sheetId="30" r:id="rId12"/>
    <sheet name="PorteroSuplente" sheetId="29" r:id="rId13"/>
  </sheets>
  <externalReferences>
    <externalReference r:id="rId14"/>
  </externalReferences>
  <definedNames>
    <definedName name="_xlchart.v1.0" hidden="1">EstudioConversion!$D$2:$D$48</definedName>
    <definedName name="_xlchart.v1.1" hidden="1">EstudioConversion!$H$2:$H$48</definedName>
  </definedNames>
  <calcPr calcId="179017"/>
  <pivotCaches>
    <pivotCache cacheId="133" r:id="rId15"/>
  </pivotCaches>
</workbook>
</file>

<file path=xl/calcChain.xml><?xml version="1.0" encoding="utf-8"?>
<calcChain xmlns="http://schemas.openxmlformats.org/spreadsheetml/2006/main">
  <c r="T15" i="28" l="1"/>
  <c r="S6" i="28"/>
  <c r="H11" i="28"/>
  <c r="E17" i="28"/>
  <c r="T8" i="28"/>
  <c r="T6" i="28"/>
  <c r="Y9" i="1" l="1"/>
  <c r="Y7" i="1"/>
  <c r="Y15" i="1"/>
  <c r="Y11" i="1"/>
  <c r="Y14" i="1"/>
  <c r="Y13" i="1"/>
  <c r="Y8" i="1"/>
  <c r="Y12" i="1"/>
  <c r="Y6" i="1"/>
  <c r="AE19" i="1"/>
  <c r="Y4" i="1"/>
  <c r="G5" i="30" l="1"/>
  <c r="G7" i="30"/>
  <c r="G4" i="30"/>
  <c r="G3" i="30"/>
  <c r="V4" i="30" l="1"/>
  <c r="V5" i="30"/>
  <c r="V6" i="30"/>
  <c r="V7" i="30"/>
  <c r="V8" i="30"/>
  <c r="V9" i="30"/>
  <c r="V10" i="30"/>
  <c r="V3" i="30"/>
  <c r="O4" i="30"/>
  <c r="N4" i="30"/>
  <c r="M4" i="30"/>
  <c r="L4" i="30"/>
  <c r="K4" i="30"/>
  <c r="J4" i="30"/>
  <c r="I4" i="30"/>
  <c r="H4" i="30"/>
  <c r="A4" i="30"/>
  <c r="O3" i="30"/>
  <c r="N3" i="30"/>
  <c r="M3" i="30"/>
  <c r="L3" i="30"/>
  <c r="K3" i="30"/>
  <c r="J3" i="30"/>
  <c r="I3" i="30"/>
  <c r="H3" i="30"/>
  <c r="A3" i="30"/>
  <c r="U10" i="29" l="1"/>
  <c r="S10" i="29"/>
  <c r="T10" i="29"/>
  <c r="M4" i="29"/>
  <c r="R4" i="29" l="1"/>
  <c r="Q4" i="29"/>
  <c r="P4" i="29"/>
  <c r="O4" i="29"/>
  <c r="N4" i="29"/>
  <c r="L4" i="29"/>
  <c r="K4" i="29"/>
  <c r="F4" i="29"/>
  <c r="G4" i="29" s="1"/>
  <c r="A4" i="29"/>
  <c r="R3" i="29"/>
  <c r="Q3" i="29"/>
  <c r="P3" i="29"/>
  <c r="O3" i="29"/>
  <c r="N3" i="29"/>
  <c r="M3" i="29"/>
  <c r="L3" i="29"/>
  <c r="K3" i="29"/>
  <c r="F3" i="29"/>
  <c r="H3" i="29" s="1"/>
  <c r="A3" i="29"/>
  <c r="X26" i="1"/>
  <c r="X25" i="1"/>
  <c r="G3" i="29" l="1"/>
  <c r="H4" i="29"/>
  <c r="H21" i="26" l="1"/>
  <c r="E21" i="26"/>
  <c r="E48" i="26" l="1"/>
  <c r="H48" i="26"/>
  <c r="E22" i="26" l="1"/>
  <c r="H22" i="26"/>
  <c r="E23" i="26"/>
  <c r="H23" i="26"/>
  <c r="N8" i="26"/>
  <c r="E24" i="26"/>
  <c r="H24" i="26"/>
  <c r="E4" i="26"/>
  <c r="H4" i="26"/>
  <c r="E35" i="26"/>
  <c r="H35" i="26"/>
  <c r="E36" i="26"/>
  <c r="H36" i="26"/>
  <c r="E37" i="26"/>
  <c r="H37" i="26"/>
  <c r="E38" i="26"/>
  <c r="H38" i="26"/>
  <c r="E39" i="26"/>
  <c r="H39" i="26"/>
  <c r="E25" i="26"/>
  <c r="H25" i="26"/>
  <c r="E26" i="26"/>
  <c r="H26" i="26"/>
  <c r="E5" i="26"/>
  <c r="H5" i="26"/>
  <c r="E27" i="26"/>
  <c r="H27" i="26"/>
  <c r="E6" i="26"/>
  <c r="H6" i="26"/>
  <c r="E7" i="26"/>
  <c r="H7" i="26"/>
  <c r="E3" i="26"/>
  <c r="H3" i="26"/>
  <c r="E47" i="26" l="1"/>
  <c r="H47" i="26"/>
  <c r="E2" i="26" l="1"/>
  <c r="H2" i="26"/>
  <c r="E45" i="26" l="1"/>
  <c r="H45" i="26"/>
  <c r="Q15" i="28" l="1"/>
  <c r="AE17" i="1" l="1"/>
  <c r="N7" i="26" l="1"/>
  <c r="E46" i="26"/>
  <c r="H46" i="26"/>
  <c r="Y16" i="1" l="1"/>
  <c r="E44" i="26" l="1"/>
  <c r="H44" i="26"/>
  <c r="AE18" i="1" l="1"/>
  <c r="AB18" i="1"/>
  <c r="N3" i="26"/>
  <c r="N4" i="26"/>
  <c r="N5" i="26"/>
  <c r="N6" i="26"/>
  <c r="N2" i="26"/>
  <c r="E42" i="26" l="1"/>
  <c r="H42" i="26"/>
  <c r="E41" i="26"/>
  <c r="H41" i="26"/>
  <c r="E40" i="26"/>
  <c r="H40" i="26"/>
  <c r="H13" i="28" l="1"/>
  <c r="E43" i="26" l="1"/>
  <c r="H43" i="26"/>
  <c r="G15" i="27"/>
  <c r="Y14" i="27"/>
  <c r="Z14" i="27"/>
  <c r="F14" i="27"/>
  <c r="AB16" i="1" l="1"/>
  <c r="AE21" i="1"/>
  <c r="AB21" i="1"/>
  <c r="AE16" i="1"/>
  <c r="AE20" i="1"/>
  <c r="AB20" i="1"/>
  <c r="AB17" i="1"/>
  <c r="AB15" i="1"/>
  <c r="AB14" i="1"/>
  <c r="AB9" i="1"/>
  <c r="AB7" i="1"/>
  <c r="AB8" i="1"/>
  <c r="AB11" i="1"/>
  <c r="AB13" i="1"/>
  <c r="AB12" i="1"/>
  <c r="O6" i="28" l="1"/>
  <c r="O38" i="28" l="1"/>
  <c r="N10" i="28"/>
  <c r="E34" i="26" l="1"/>
  <c r="H34" i="26"/>
  <c r="Y8" i="27" l="1"/>
  <c r="Z8" i="27"/>
  <c r="F8" i="27"/>
  <c r="H7" i="28" l="1"/>
  <c r="H5" i="28" s="1"/>
  <c r="E18" i="28"/>
  <c r="E7" i="28"/>
  <c r="E5" i="28"/>
  <c r="N38" i="28"/>
  <c r="P3" i="28"/>
  <c r="N11" i="28"/>
  <c r="W15" i="28"/>
  <c r="X15" i="28" s="1"/>
  <c r="Y15" i="28" s="1"/>
  <c r="Z15" i="28" s="1"/>
  <c r="AA15" i="28" s="1"/>
  <c r="AB15" i="28" s="1"/>
  <c r="AC15" i="28" s="1"/>
  <c r="AD15" i="28" s="1"/>
  <c r="T7" i="28"/>
  <c r="W7" i="28" s="1"/>
  <c r="X7" i="28" s="1"/>
  <c r="Y7" i="28" s="1"/>
  <c r="Z7" i="28" s="1"/>
  <c r="AA7" i="28" s="1"/>
  <c r="AB7" i="28" s="1"/>
  <c r="AC7" i="28" s="1"/>
  <c r="AD7" i="28" s="1"/>
  <c r="M5" i="28"/>
  <c r="M4" i="28"/>
  <c r="N4" i="28" s="1"/>
  <c r="AD38" i="28"/>
  <c r="AC38" i="28"/>
  <c r="AB38" i="28"/>
  <c r="AA38" i="28"/>
  <c r="Z38" i="28"/>
  <c r="Y38" i="28"/>
  <c r="X38" i="28"/>
  <c r="W38" i="28"/>
  <c r="V38" i="28"/>
  <c r="S38" i="28"/>
  <c r="R38" i="28"/>
  <c r="Q38" i="28"/>
  <c r="P38" i="28"/>
  <c r="A31" i="28"/>
  <c r="A30" i="28"/>
  <c r="A29" i="28"/>
  <c r="N27" i="28"/>
  <c r="O27" i="28" s="1"/>
  <c r="P27" i="28" s="1"/>
  <c r="Q27" i="28" s="1"/>
  <c r="R27" i="28" s="1"/>
  <c r="S27" i="28" s="1"/>
  <c r="T27" i="28" s="1"/>
  <c r="U27" i="28" s="1"/>
  <c r="V27" i="28" s="1"/>
  <c r="W27" i="28" s="1"/>
  <c r="X27" i="28" s="1"/>
  <c r="Y27" i="28" s="1"/>
  <c r="Z27" i="28" s="1"/>
  <c r="AA27" i="28" s="1"/>
  <c r="AB27" i="28" s="1"/>
  <c r="AC27" i="28" s="1"/>
  <c r="AD27" i="28" s="1"/>
  <c r="A26" i="28"/>
  <c r="P24" i="28"/>
  <c r="Q24" i="28" s="1"/>
  <c r="O24" i="28"/>
  <c r="L24" i="28"/>
  <c r="A32" i="28" s="1"/>
  <c r="O23" i="28"/>
  <c r="P23" i="28" s="1"/>
  <c r="Q23" i="28" s="1"/>
  <c r="X22" i="28"/>
  <c r="Y22" i="28" s="1"/>
  <c r="Z22" i="28" s="1"/>
  <c r="AA22" i="28" s="1"/>
  <c r="AB22" i="28" s="1"/>
  <c r="AC22" i="28" s="1"/>
  <c r="AD22" i="28" s="1"/>
  <c r="P21" i="28"/>
  <c r="Q21" i="28" s="1"/>
  <c r="O21" i="28"/>
  <c r="P20" i="28"/>
  <c r="Q20" i="28" s="1"/>
  <c r="R20" i="28" s="1"/>
  <c r="S20" i="28" s="1"/>
  <c r="T20" i="28" s="1"/>
  <c r="W20" i="28" s="1"/>
  <c r="X20" i="28" s="1"/>
  <c r="Y20" i="28" s="1"/>
  <c r="Z20" i="28" s="1"/>
  <c r="AA20" i="28" s="1"/>
  <c r="AB20" i="28" s="1"/>
  <c r="AC20" i="28" s="1"/>
  <c r="AD20" i="28" s="1"/>
  <c r="N25" i="28"/>
  <c r="O19" i="28"/>
  <c r="P19" i="28" s="1"/>
  <c r="L19" i="28"/>
  <c r="A28" i="28" s="1"/>
  <c r="O18" i="28"/>
  <c r="L18" i="28"/>
  <c r="A27" i="28" s="1"/>
  <c r="M17" i="28"/>
  <c r="H23" i="28" s="1"/>
  <c r="O16" i="28"/>
  <c r="P16" i="28" s="1"/>
  <c r="L16" i="28"/>
  <c r="A25" i="28" s="1"/>
  <c r="L15" i="28"/>
  <c r="A24" i="28" s="1"/>
  <c r="O13" i="28"/>
  <c r="P13" i="28" s="1"/>
  <c r="D13" i="28"/>
  <c r="D27" i="28" s="1"/>
  <c r="A13" i="28"/>
  <c r="M12" i="28"/>
  <c r="E31" i="28" s="1"/>
  <c r="D12" i="28"/>
  <c r="D26" i="28" s="1"/>
  <c r="A12" i="28"/>
  <c r="A11" i="28"/>
  <c r="X10" i="28"/>
  <c r="Y10" i="28" s="1"/>
  <c r="Z10" i="28" s="1"/>
  <c r="AA10" i="28" s="1"/>
  <c r="AB10" i="28" s="1"/>
  <c r="AC10" i="28" s="1"/>
  <c r="AD10" i="28" s="1"/>
  <c r="A10" i="28"/>
  <c r="M9" i="28"/>
  <c r="A9" i="28"/>
  <c r="M8" i="28"/>
  <c r="A8" i="28"/>
  <c r="A7" i="28"/>
  <c r="O14" i="28"/>
  <c r="M6" i="28"/>
  <c r="E32" i="28" s="1"/>
  <c r="A6" i="28"/>
  <c r="O1" i="28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s="1"/>
  <c r="AB1" i="28" s="1"/>
  <c r="AC1" i="28" s="1"/>
  <c r="AD1" i="28" s="1"/>
  <c r="Q3" i="28" l="1"/>
  <c r="R3" i="28" s="1"/>
  <c r="S3" i="28" s="1"/>
  <c r="M22" i="28"/>
  <c r="H31" i="28" s="1"/>
  <c r="E15" i="28"/>
  <c r="P14" i="28"/>
  <c r="X11" i="28"/>
  <c r="Y11" i="28" s="1"/>
  <c r="Z11" i="28" s="1"/>
  <c r="AA11" i="28" s="1"/>
  <c r="AB11" i="28" s="1"/>
  <c r="AC11" i="28" s="1"/>
  <c r="AD11" i="28" s="1"/>
  <c r="Q19" i="28"/>
  <c r="R19" i="28" s="1"/>
  <c r="S19" i="28" s="1"/>
  <c r="T19" i="28" s="1"/>
  <c r="U19" i="28" s="1"/>
  <c r="V19" i="28" s="1"/>
  <c r="W19" i="28" s="1"/>
  <c r="X19" i="28" s="1"/>
  <c r="Y19" i="28" s="1"/>
  <c r="Z19" i="28" s="1"/>
  <c r="AA19" i="28" s="1"/>
  <c r="AB19" i="28" s="1"/>
  <c r="AC19" i="28" s="1"/>
  <c r="AD19" i="28" s="1"/>
  <c r="R23" i="28"/>
  <c r="S23" i="28" s="1"/>
  <c r="T23" i="28" s="1"/>
  <c r="U23" i="28" s="1"/>
  <c r="V23" i="28" s="1"/>
  <c r="W23" i="28" s="1"/>
  <c r="X23" i="28" s="1"/>
  <c r="Y23" i="28" s="1"/>
  <c r="Z23" i="28" s="1"/>
  <c r="AA23" i="28" s="1"/>
  <c r="AB23" i="28" s="1"/>
  <c r="AC23" i="28" s="1"/>
  <c r="AD23" i="28" s="1"/>
  <c r="E22" i="28"/>
  <c r="R24" i="28"/>
  <c r="S24" i="28" s="1"/>
  <c r="T24" i="28" s="1"/>
  <c r="U24" i="28" s="1"/>
  <c r="V24" i="28" s="1"/>
  <c r="W24" i="28" s="1"/>
  <c r="X24" i="28" s="1"/>
  <c r="Y24" i="28" s="1"/>
  <c r="Z24" i="28" s="1"/>
  <c r="AA24" i="28" s="1"/>
  <c r="AB24" i="28" s="1"/>
  <c r="AC24" i="28" s="1"/>
  <c r="AD24" i="28" s="1"/>
  <c r="R21" i="28"/>
  <c r="S21" i="28" s="1"/>
  <c r="T21" i="28" s="1"/>
  <c r="U21" i="28" s="1"/>
  <c r="V21" i="28" s="1"/>
  <c r="W21" i="28" s="1"/>
  <c r="X21" i="28" s="1"/>
  <c r="Y21" i="28" s="1"/>
  <c r="Z21" i="28" s="1"/>
  <c r="AA21" i="28" s="1"/>
  <c r="AB21" i="28" s="1"/>
  <c r="AC21" i="28" s="1"/>
  <c r="AD21" i="28" s="1"/>
  <c r="E11" i="28"/>
  <c r="O4" i="28"/>
  <c r="P4" i="28" s="1"/>
  <c r="Q4" i="28" s="1"/>
  <c r="Q13" i="28"/>
  <c r="R13" i="28" s="1"/>
  <c r="S13" i="28" s="1"/>
  <c r="T13" i="28" s="1"/>
  <c r="U13" i="28" s="1"/>
  <c r="V13" i="28" s="1"/>
  <c r="W13" i="28" s="1"/>
  <c r="X13" i="28" s="1"/>
  <c r="Y13" i="28" s="1"/>
  <c r="Z13" i="28" s="1"/>
  <c r="AA13" i="28" s="1"/>
  <c r="AB13" i="28" s="1"/>
  <c r="AC13" i="28" s="1"/>
  <c r="AD13" i="28" s="1"/>
  <c r="Q16" i="28"/>
  <c r="R16" i="28" s="1"/>
  <c r="S16" i="28" s="1"/>
  <c r="T16" i="28" s="1"/>
  <c r="U16" i="28" s="1"/>
  <c r="V16" i="28" s="1"/>
  <c r="W16" i="28" s="1"/>
  <c r="X16" i="28" s="1"/>
  <c r="Y16" i="28" s="1"/>
  <c r="Z16" i="28" s="1"/>
  <c r="AA16" i="28" s="1"/>
  <c r="AB16" i="28" s="1"/>
  <c r="AC16" i="28" s="1"/>
  <c r="AD16" i="28" s="1"/>
  <c r="P18" i="28"/>
  <c r="Q18" i="28" s="1"/>
  <c r="R18" i="28" s="1"/>
  <c r="S18" i="28" s="1"/>
  <c r="T18" i="28" s="1"/>
  <c r="U18" i="28" s="1"/>
  <c r="V18" i="28" s="1"/>
  <c r="W18" i="28" s="1"/>
  <c r="X18" i="28" s="1"/>
  <c r="Y18" i="28" s="1"/>
  <c r="Z18" i="28" s="1"/>
  <c r="AA18" i="28" s="1"/>
  <c r="AB18" i="28" s="1"/>
  <c r="AC18" i="28" s="1"/>
  <c r="AD18" i="28" s="1"/>
  <c r="M10" i="28"/>
  <c r="N14" i="28"/>
  <c r="O25" i="28"/>
  <c r="M20" i="28"/>
  <c r="N5" i="28"/>
  <c r="M24" i="28" l="1"/>
  <c r="H32" i="28" s="1"/>
  <c r="M23" i="28"/>
  <c r="E27" i="28" s="1"/>
  <c r="M19" i="28"/>
  <c r="H30" i="28" s="1"/>
  <c r="T3" i="28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R4" i="28"/>
  <c r="S4" i="28" s="1"/>
  <c r="T4" i="28" s="1"/>
  <c r="U4" i="28" s="1"/>
  <c r="V4" i="28" s="1"/>
  <c r="W4" i="28" s="1"/>
  <c r="X4" i="28" s="1"/>
  <c r="Y4" i="28" s="1"/>
  <c r="Z4" i="28" s="1"/>
  <c r="AA4" i="28" s="1"/>
  <c r="AB4" i="28" s="1"/>
  <c r="AC4" i="28" s="1"/>
  <c r="AD4" i="28" s="1"/>
  <c r="S14" i="28"/>
  <c r="Q14" i="28"/>
  <c r="N26" i="28"/>
  <c r="O5" i="28" s="1"/>
  <c r="O26" i="28" s="1"/>
  <c r="P5" i="28" s="1"/>
  <c r="E25" i="28"/>
  <c r="Q25" i="28"/>
  <c r="H19" i="28"/>
  <c r="M18" i="28"/>
  <c r="E21" i="28"/>
  <c r="M16" i="28"/>
  <c r="M13" i="28"/>
  <c r="T14" i="28"/>
  <c r="M21" i="28"/>
  <c r="M11" i="28"/>
  <c r="E34" i="28"/>
  <c r="P25" i="28"/>
  <c r="R14" i="28"/>
  <c r="E13" i="28" l="1"/>
  <c r="U14" i="28"/>
  <c r="H29" i="28"/>
  <c r="R25" i="28"/>
  <c r="E26" i="28"/>
  <c r="E24" i="28" s="1"/>
  <c r="E12" i="28"/>
  <c r="P26" i="28"/>
  <c r="Q5" i="28" s="1"/>
  <c r="Q26" i="28" s="1"/>
  <c r="R5" i="28" s="1"/>
  <c r="H28" i="28"/>
  <c r="H18" i="28"/>
  <c r="H24" i="28"/>
  <c r="E30" i="28"/>
  <c r="S25" i="28" l="1"/>
  <c r="R26" i="28"/>
  <c r="S5" i="28" s="1"/>
  <c r="V14" i="28"/>
  <c r="H22" i="28"/>
  <c r="E10" i="28"/>
  <c r="T25" i="28" l="1"/>
  <c r="W14" i="28"/>
  <c r="S26" i="28"/>
  <c r="T5" i="28" s="1"/>
  <c r="T26" i="28" l="1"/>
  <c r="U5" i="28" s="1"/>
  <c r="X14" i="28"/>
  <c r="U25" i="28"/>
  <c r="U26" i="28" l="1"/>
  <c r="V5" i="28" s="1"/>
  <c r="V25" i="28"/>
  <c r="Y14" i="28"/>
  <c r="V26" i="28" l="1"/>
  <c r="V41" i="28" s="1"/>
  <c r="Z14" i="28"/>
  <c r="W25" i="28"/>
  <c r="W5" i="28" l="1"/>
  <c r="W26" i="28"/>
  <c r="X5" i="28" s="1"/>
  <c r="AA14" i="28"/>
  <c r="X25" i="28"/>
  <c r="X26" i="28" l="1"/>
  <c r="Y5" i="28" s="1"/>
  <c r="Y25" i="28"/>
  <c r="AB14" i="28"/>
  <c r="Y26" i="28" l="1"/>
  <c r="Z5" i="28" s="1"/>
  <c r="AC14" i="28"/>
  <c r="Z25" i="28"/>
  <c r="Z26" i="28" l="1"/>
  <c r="AA5" i="28" s="1"/>
  <c r="AA25" i="28"/>
  <c r="AD14" i="28"/>
  <c r="M14" i="28" s="1"/>
  <c r="M7" i="28"/>
  <c r="AA26" i="28" l="1"/>
  <c r="AB5" i="28" s="1"/>
  <c r="A15" i="28"/>
  <c r="B12" i="28"/>
  <c r="B8" i="28"/>
  <c r="B9" i="28"/>
  <c r="B6" i="28"/>
  <c r="B10" i="28"/>
  <c r="B11" i="28"/>
  <c r="B13" i="28"/>
  <c r="B7" i="28"/>
  <c r="E33" i="28"/>
  <c r="AB25" i="28"/>
  <c r="AB26" i="28" l="1"/>
  <c r="AC5" i="28" s="1"/>
  <c r="B14" i="28"/>
  <c r="AC25" i="28"/>
  <c r="E29" i="28"/>
  <c r="AC26" i="28" l="1"/>
  <c r="AD5" i="28" s="1"/>
  <c r="E35" i="28"/>
  <c r="F29" i="28" s="1"/>
  <c r="AD25" i="28"/>
  <c r="M25" i="28" s="1"/>
  <c r="M15" i="28"/>
  <c r="H27" i="28" l="1"/>
  <c r="B24" i="28"/>
  <c r="A35" i="28"/>
  <c r="B31" i="28"/>
  <c r="B26" i="28"/>
  <c r="B29" i="28"/>
  <c r="B32" i="28"/>
  <c r="B28" i="28"/>
  <c r="B30" i="28"/>
  <c r="B25" i="28"/>
  <c r="B27" i="28"/>
  <c r="M26" i="28"/>
  <c r="F8" i="28"/>
  <c r="F16" i="28"/>
  <c r="F6" i="28"/>
  <c r="F17" i="28"/>
  <c r="F7" i="28"/>
  <c r="F32" i="28"/>
  <c r="F18" i="28"/>
  <c r="F31" i="28"/>
  <c r="F19" i="28"/>
  <c r="F15" i="28"/>
  <c r="F5" i="28"/>
  <c r="F22" i="28"/>
  <c r="F11" i="28"/>
  <c r="F21" i="28"/>
  <c r="F13" i="28"/>
  <c r="F25" i="28"/>
  <c r="F34" i="28"/>
  <c r="F27" i="28"/>
  <c r="F26" i="28"/>
  <c r="F24" i="28"/>
  <c r="F30" i="28"/>
  <c r="F12" i="28"/>
  <c r="F10" i="28"/>
  <c r="F33" i="28"/>
  <c r="AD26" i="28"/>
  <c r="F35" i="28" l="1"/>
  <c r="B33" i="28"/>
  <c r="H26" i="28"/>
  <c r="H16" i="28" l="1"/>
  <c r="H10" i="28" l="1"/>
  <c r="H35" i="28" l="1"/>
  <c r="I10" i="28" s="1"/>
  <c r="I15" i="28" l="1"/>
  <c r="I11" i="28"/>
  <c r="I35" i="28"/>
  <c r="I12" i="28"/>
  <c r="I6" i="28"/>
  <c r="I14" i="28"/>
  <c r="I13" i="28"/>
  <c r="I23" i="28"/>
  <c r="I7" i="28"/>
  <c r="I5" i="28"/>
  <c r="I31" i="28"/>
  <c r="I30" i="28"/>
  <c r="I32" i="28"/>
  <c r="I19" i="28"/>
  <c r="I29" i="28"/>
  <c r="I28" i="28"/>
  <c r="I24" i="28"/>
  <c r="I18" i="28"/>
  <c r="I22" i="28"/>
  <c r="H36" i="28"/>
  <c r="I27" i="28"/>
  <c r="I26" i="28"/>
  <c r="I16" i="28"/>
  <c r="AN115" i="27" l="1"/>
  <c r="AN114" i="27"/>
  <c r="AN113" i="27"/>
  <c r="AN112" i="27"/>
  <c r="AN111" i="27"/>
  <c r="AN110" i="27"/>
  <c r="AN109" i="27"/>
  <c r="AN108" i="27"/>
  <c r="AN107" i="27"/>
  <c r="AN106" i="27"/>
  <c r="AN105" i="27"/>
  <c r="AN104" i="27"/>
  <c r="AN103" i="27"/>
  <c r="AN102" i="27"/>
  <c r="AN101" i="27"/>
  <c r="AN100" i="27"/>
  <c r="AN99" i="27"/>
  <c r="AN98" i="27"/>
  <c r="B32" i="27"/>
  <c r="D21" i="27" s="1"/>
  <c r="Z28" i="27"/>
  <c r="Y28" i="27"/>
  <c r="G28" i="27"/>
  <c r="F28" i="27" s="1"/>
  <c r="Z27" i="27"/>
  <c r="Y27" i="27"/>
  <c r="G27" i="27"/>
  <c r="F27" i="27" s="1"/>
  <c r="Z26" i="27"/>
  <c r="Y26" i="27"/>
  <c r="G26" i="27"/>
  <c r="F26" i="27" s="1"/>
  <c r="Z21" i="27"/>
  <c r="Y21" i="27"/>
  <c r="F21" i="27"/>
  <c r="Z25" i="27"/>
  <c r="Y25" i="27"/>
  <c r="Z24" i="27"/>
  <c r="Y24" i="27"/>
  <c r="G24" i="27"/>
  <c r="F24" i="27" s="1"/>
  <c r="Z23" i="27"/>
  <c r="Y23" i="27"/>
  <c r="G23" i="27"/>
  <c r="F23" i="27" s="1"/>
  <c r="Z18" i="27"/>
  <c r="Y18" i="27"/>
  <c r="F18" i="27"/>
  <c r="Z17" i="27"/>
  <c r="Y17" i="27"/>
  <c r="F17" i="27"/>
  <c r="Z16" i="27"/>
  <c r="Y16" i="27"/>
  <c r="F16" i="27"/>
  <c r="Z15" i="27"/>
  <c r="Y15" i="27"/>
  <c r="F15" i="27"/>
  <c r="Z10" i="27"/>
  <c r="Y10" i="27"/>
  <c r="F10" i="27"/>
  <c r="Z22" i="27"/>
  <c r="Y22" i="27"/>
  <c r="F22" i="27"/>
  <c r="Z9" i="27"/>
  <c r="Y9" i="27"/>
  <c r="F9" i="27"/>
  <c r="Z7" i="27"/>
  <c r="Y7" i="27"/>
  <c r="F7" i="27"/>
  <c r="AJ6" i="27"/>
  <c r="AJ13" i="27" s="1"/>
  <c r="AJ20" i="27" s="1"/>
  <c r="AI6" i="27"/>
  <c r="AI13" i="27" s="1"/>
  <c r="AI20" i="27" s="1"/>
  <c r="AH6" i="27"/>
  <c r="AH13" i="27" s="1"/>
  <c r="AH20" i="27" s="1"/>
  <c r="AG6" i="27"/>
  <c r="AG13" i="27" s="1"/>
  <c r="AG20" i="27" s="1"/>
  <c r="AF6" i="27"/>
  <c r="AF13" i="27" s="1"/>
  <c r="AF20" i="27" s="1"/>
  <c r="AE6" i="27"/>
  <c r="AE13" i="27" s="1"/>
  <c r="AE20" i="27" s="1"/>
  <c r="AD6" i="27"/>
  <c r="AD13" i="27" s="1"/>
  <c r="AD20" i="27" s="1"/>
  <c r="AC6" i="27"/>
  <c r="AC13" i="27" s="1"/>
  <c r="AC20" i="27" s="1"/>
  <c r="AA6" i="27"/>
  <c r="AA13" i="27" s="1"/>
  <c r="AA20" i="27" s="1"/>
  <c r="Z6" i="27"/>
  <c r="Z13" i="27" s="1"/>
  <c r="Z20" i="27" s="1"/>
  <c r="Y6" i="27"/>
  <c r="Y13" i="27" s="1"/>
  <c r="Y20" i="27" s="1"/>
  <c r="X6" i="27"/>
  <c r="X13" i="27" s="1"/>
  <c r="X20" i="27" s="1"/>
  <c r="W6" i="27"/>
  <c r="W13" i="27" s="1"/>
  <c r="W20" i="27" s="1"/>
  <c r="V6" i="27"/>
  <c r="V13" i="27" s="1"/>
  <c r="V20" i="27" s="1"/>
  <c r="U6" i="27"/>
  <c r="U13" i="27" s="1"/>
  <c r="U20" i="27" s="1"/>
  <c r="T6" i="27"/>
  <c r="T13" i="27" s="1"/>
  <c r="T20" i="27" s="1"/>
  <c r="S6" i="27"/>
  <c r="S13" i="27" s="1"/>
  <c r="S20" i="27" s="1"/>
  <c r="R6" i="27"/>
  <c r="R13" i="27" s="1"/>
  <c r="R20" i="27" s="1"/>
  <c r="Q6" i="27"/>
  <c r="Q13" i="27" s="1"/>
  <c r="Q20" i="27" s="1"/>
  <c r="P6" i="27"/>
  <c r="P13" i="27" s="1"/>
  <c r="P20" i="27" s="1"/>
  <c r="O6" i="27"/>
  <c r="O13" i="27" s="1"/>
  <c r="O20" i="27" s="1"/>
  <c r="N6" i="27"/>
  <c r="N13" i="27" s="1"/>
  <c r="N20" i="27" s="1"/>
  <c r="M6" i="27"/>
  <c r="M13" i="27" s="1"/>
  <c r="M20" i="27" s="1"/>
  <c r="L6" i="27"/>
  <c r="L13" i="27" s="1"/>
  <c r="L20" i="27" s="1"/>
  <c r="J6" i="27"/>
  <c r="J13" i="27" s="1"/>
  <c r="J20" i="27" s="1"/>
  <c r="I6" i="27"/>
  <c r="I13" i="27" s="1"/>
  <c r="I20" i="27" s="1"/>
  <c r="H6" i="27"/>
  <c r="H13" i="27" s="1"/>
  <c r="H20" i="27" s="1"/>
  <c r="G6" i="27"/>
  <c r="G13" i="27" s="1"/>
  <c r="G20" i="27" s="1"/>
  <c r="Z3" i="27"/>
  <c r="Y3" i="27"/>
  <c r="F3" i="27"/>
  <c r="D14" i="27" l="1"/>
  <c r="B36" i="27"/>
  <c r="B33" i="27" s="1"/>
  <c r="D26" i="27"/>
  <c r="E33" i="26"/>
  <c r="H33" i="26"/>
  <c r="D17" i="27" l="1"/>
  <c r="D8" i="27"/>
  <c r="D3" i="27"/>
  <c r="D16" i="27"/>
  <c r="D18" i="27"/>
  <c r="D22" i="27"/>
  <c r="D27" i="27"/>
  <c r="D24" i="27"/>
  <c r="D23" i="27"/>
  <c r="D25" i="27"/>
  <c r="D10" i="27"/>
  <c r="D15" i="27"/>
  <c r="D7" i="27"/>
  <c r="D28" i="27"/>
  <c r="D9" i="27"/>
  <c r="E32" i="26"/>
  <c r="H32" i="26"/>
  <c r="E31" i="26" l="1"/>
  <c r="H31" i="26"/>
  <c r="E8" i="26" l="1"/>
  <c r="H8" i="26"/>
  <c r="E9" i="26"/>
  <c r="H9" i="26"/>
  <c r="E11" i="26"/>
  <c r="E10" i="26"/>
  <c r="E13" i="26"/>
  <c r="E12" i="26"/>
  <c r="E15" i="26"/>
  <c r="E14" i="26"/>
  <c r="E16" i="26"/>
  <c r="E28" i="26"/>
  <c r="E17" i="26"/>
  <c r="E19" i="26"/>
  <c r="E18" i="26"/>
  <c r="E29" i="26"/>
  <c r="H29" i="26"/>
  <c r="H18" i="26"/>
  <c r="H19" i="26"/>
  <c r="H17" i="26"/>
  <c r="H28" i="26"/>
  <c r="H16" i="26"/>
  <c r="H14" i="26"/>
  <c r="H15" i="26"/>
  <c r="H12" i="26"/>
  <c r="H13" i="26"/>
  <c r="H10" i="26"/>
  <c r="H11" i="26"/>
  <c r="E30" i="26"/>
  <c r="H30" i="26"/>
  <c r="E20" i="26"/>
  <c r="H20" i="26"/>
  <c r="U6" i="10" l="1"/>
  <c r="U7" i="10"/>
  <c r="U8" i="10"/>
  <c r="U9" i="10"/>
  <c r="U12" i="10"/>
  <c r="U13" i="10"/>
  <c r="U14" i="10"/>
  <c r="U15" i="10"/>
  <c r="U11" i="10"/>
  <c r="T12" i="10"/>
  <c r="T13" i="10"/>
  <c r="T14" i="10"/>
  <c r="T15" i="10"/>
  <c r="T11" i="10"/>
  <c r="S12" i="10"/>
  <c r="S13" i="10"/>
  <c r="S14" i="10"/>
  <c r="S15" i="10"/>
  <c r="S11" i="10"/>
  <c r="R12" i="10"/>
  <c r="R13" i="10"/>
  <c r="R14" i="10"/>
  <c r="R15" i="10"/>
  <c r="R11" i="10"/>
  <c r="Q12" i="10"/>
  <c r="Q13" i="10"/>
  <c r="Q14" i="10"/>
  <c r="Q15" i="10"/>
  <c r="Q11" i="10"/>
  <c r="P12" i="10"/>
  <c r="P13" i="10"/>
  <c r="P14" i="10"/>
  <c r="P15" i="10"/>
  <c r="P11" i="10"/>
  <c r="L6" i="10" l="1"/>
  <c r="L7" i="10"/>
  <c r="L8" i="10"/>
  <c r="L9" i="10"/>
  <c r="M9" i="10" s="1"/>
  <c r="L11" i="10"/>
  <c r="L12" i="10"/>
  <c r="L13" i="10"/>
  <c r="L15" i="10"/>
  <c r="L14" i="10"/>
  <c r="E5" i="10"/>
  <c r="F5" i="10"/>
  <c r="G5" i="10"/>
  <c r="H5" i="10"/>
  <c r="I5" i="10"/>
  <c r="J5" i="10"/>
  <c r="K5" i="10"/>
  <c r="E6" i="10"/>
  <c r="F6" i="10"/>
  <c r="G6" i="10"/>
  <c r="I6" i="10"/>
  <c r="J6" i="10"/>
  <c r="K6" i="10"/>
  <c r="E7" i="10"/>
  <c r="F7" i="10"/>
  <c r="G7" i="10"/>
  <c r="H7" i="10"/>
  <c r="I7" i="10"/>
  <c r="J7" i="10"/>
  <c r="K7" i="10"/>
  <c r="E8" i="10"/>
  <c r="F8" i="10"/>
  <c r="G8" i="10"/>
  <c r="I8" i="10"/>
  <c r="J8" i="10"/>
  <c r="K8" i="10"/>
  <c r="E9" i="10"/>
  <c r="F9" i="10"/>
  <c r="G9" i="10"/>
  <c r="H9" i="10"/>
  <c r="I9" i="10"/>
  <c r="J9" i="10"/>
  <c r="K9" i="10"/>
  <c r="E10" i="10"/>
  <c r="F10" i="10"/>
  <c r="G10" i="10"/>
  <c r="I10" i="10"/>
  <c r="K10" i="10"/>
  <c r="E11" i="10"/>
  <c r="F11" i="10"/>
  <c r="G11" i="10"/>
  <c r="K11" i="10"/>
  <c r="E12" i="10"/>
  <c r="F12" i="10"/>
  <c r="G12" i="10"/>
  <c r="H12" i="10"/>
  <c r="I12" i="10"/>
  <c r="K12" i="10"/>
  <c r="E13" i="10"/>
  <c r="F13" i="10"/>
  <c r="G13" i="10"/>
  <c r="H13" i="10"/>
  <c r="K13" i="10"/>
  <c r="E14" i="10"/>
  <c r="F14" i="10"/>
  <c r="G14" i="10"/>
  <c r="I14" i="10"/>
  <c r="K14" i="10"/>
  <c r="E15" i="10"/>
  <c r="F15" i="10"/>
  <c r="G15" i="10"/>
  <c r="K15" i="10"/>
  <c r="E16" i="10"/>
  <c r="F16" i="10"/>
  <c r="G16" i="10"/>
  <c r="H16" i="10"/>
  <c r="I16" i="10"/>
  <c r="J16" i="10"/>
  <c r="K16" i="10"/>
  <c r="E17" i="10"/>
  <c r="F17" i="10"/>
  <c r="G17" i="10"/>
  <c r="H17" i="10"/>
  <c r="I17" i="10"/>
  <c r="J17" i="10"/>
  <c r="K17" i="10"/>
  <c r="E18" i="10"/>
  <c r="F18" i="10"/>
  <c r="G18" i="10"/>
  <c r="H18" i="10"/>
  <c r="K18" i="10"/>
  <c r="E19" i="10"/>
  <c r="F19" i="10"/>
  <c r="G19" i="10"/>
  <c r="H19" i="10"/>
  <c r="I19" i="10"/>
  <c r="J19" i="10"/>
  <c r="K19" i="10"/>
  <c r="E20" i="10"/>
  <c r="F20" i="10"/>
  <c r="G20" i="10"/>
  <c r="H20" i="10"/>
  <c r="I20" i="10"/>
  <c r="J20" i="10"/>
  <c r="K20" i="10"/>
  <c r="E21" i="10"/>
  <c r="F21" i="10"/>
  <c r="G21" i="10"/>
  <c r="H21" i="10"/>
  <c r="I21" i="10"/>
  <c r="J21" i="10"/>
  <c r="K21" i="10"/>
  <c r="F4" i="10"/>
  <c r="G4" i="10"/>
  <c r="H4" i="10"/>
  <c r="I4" i="10"/>
  <c r="J4" i="10"/>
  <c r="K4" i="10"/>
  <c r="E4" i="10"/>
  <c r="F3" i="10"/>
  <c r="G3" i="10"/>
  <c r="H3" i="10"/>
  <c r="I3" i="10"/>
  <c r="J3" i="10"/>
  <c r="K3" i="10"/>
  <c r="E3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C4" i="10"/>
  <c r="B4" i="10"/>
  <c r="A4" i="10"/>
  <c r="O7" i="10" l="1"/>
  <c r="O11" i="10"/>
  <c r="M8" i="10"/>
  <c r="N8" i="10"/>
  <c r="O15" i="10"/>
  <c r="O8" i="10"/>
  <c r="M11" i="10"/>
  <c r="M15" i="10"/>
  <c r="N9" i="10"/>
  <c r="N15" i="10"/>
  <c r="M7" i="10"/>
  <c r="N7" i="10"/>
  <c r="N11" i="10"/>
  <c r="M14" i="10"/>
  <c r="O6" i="10"/>
  <c r="M12" i="10"/>
  <c r="N13" i="10"/>
  <c r="O14" i="10"/>
  <c r="M13" i="10"/>
  <c r="N12" i="10"/>
  <c r="O13" i="10"/>
  <c r="M6" i="10"/>
  <c r="N14" i="10"/>
  <c r="O12" i="10"/>
  <c r="N6" i="10"/>
  <c r="R19" i="3" l="1"/>
  <c r="T19" i="3"/>
  <c r="J4" i="3"/>
  <c r="K4" i="3"/>
  <c r="L4" i="3"/>
  <c r="T4" i="3" s="1"/>
  <c r="M4" i="3"/>
  <c r="N4" i="3"/>
  <c r="O4" i="3"/>
  <c r="R4" i="3" s="1"/>
  <c r="P4" i="3"/>
  <c r="S4" i="3" s="1"/>
  <c r="Q4" i="3"/>
  <c r="J5" i="3"/>
  <c r="K5" i="3"/>
  <c r="L5" i="3"/>
  <c r="M5" i="3"/>
  <c r="O5" i="3"/>
  <c r="P5" i="3"/>
  <c r="S5" i="3" s="1"/>
  <c r="Q5" i="3"/>
  <c r="J6" i="3"/>
  <c r="K6" i="3"/>
  <c r="L6" i="3"/>
  <c r="M6" i="3"/>
  <c r="N6" i="3"/>
  <c r="O6" i="3"/>
  <c r="P6" i="3"/>
  <c r="S6" i="3" s="1"/>
  <c r="Q6" i="3"/>
  <c r="J7" i="3"/>
  <c r="K7" i="3"/>
  <c r="L7" i="3"/>
  <c r="T7" i="3" s="1"/>
  <c r="M7" i="3"/>
  <c r="O7" i="3"/>
  <c r="P7" i="3"/>
  <c r="S7" i="3" s="1"/>
  <c r="Q7" i="3"/>
  <c r="J8" i="3"/>
  <c r="K8" i="3"/>
  <c r="L8" i="3"/>
  <c r="T8" i="3" s="1"/>
  <c r="M8" i="3"/>
  <c r="N8" i="3"/>
  <c r="O8" i="3"/>
  <c r="P8" i="3"/>
  <c r="S8" i="3" s="1"/>
  <c r="Q8" i="3"/>
  <c r="J9" i="3"/>
  <c r="K9" i="3"/>
  <c r="L9" i="3"/>
  <c r="M9" i="3"/>
  <c r="O9" i="3"/>
  <c r="R9" i="3" s="1"/>
  <c r="Q9" i="3"/>
  <c r="J10" i="3"/>
  <c r="K10" i="3"/>
  <c r="L10" i="3"/>
  <c r="T10" i="3" s="1"/>
  <c r="M10" i="3"/>
  <c r="Q10" i="3"/>
  <c r="J11" i="3"/>
  <c r="K11" i="3"/>
  <c r="L11" i="3"/>
  <c r="R11" i="3" s="1"/>
  <c r="M11" i="3"/>
  <c r="N11" i="3"/>
  <c r="O11" i="3"/>
  <c r="Q11" i="3"/>
  <c r="J12" i="3"/>
  <c r="K12" i="3"/>
  <c r="L12" i="3"/>
  <c r="T12" i="3" s="1"/>
  <c r="M12" i="3"/>
  <c r="N12" i="3"/>
  <c r="Q12" i="3"/>
  <c r="J13" i="3"/>
  <c r="AS13" i="3" s="1"/>
  <c r="K13" i="3"/>
  <c r="L13" i="3"/>
  <c r="M13" i="3"/>
  <c r="O13" i="3"/>
  <c r="Q13" i="3"/>
  <c r="J14" i="3"/>
  <c r="K14" i="3"/>
  <c r="L14" i="3"/>
  <c r="T14" i="3" s="1"/>
  <c r="M14" i="3"/>
  <c r="Q14" i="3"/>
  <c r="J15" i="3"/>
  <c r="K15" i="3"/>
  <c r="L15" i="3"/>
  <c r="T15" i="3" s="1"/>
  <c r="M15" i="3"/>
  <c r="N15" i="3"/>
  <c r="O15" i="3"/>
  <c r="P15" i="3"/>
  <c r="S15" i="3" s="1"/>
  <c r="Q15" i="3"/>
  <c r="J16" i="3"/>
  <c r="K16" i="3"/>
  <c r="L16" i="3"/>
  <c r="T16" i="3" s="1"/>
  <c r="M16" i="3"/>
  <c r="N16" i="3"/>
  <c r="O16" i="3"/>
  <c r="P16" i="3"/>
  <c r="S16" i="3" s="1"/>
  <c r="Q16" i="3"/>
  <c r="J17" i="3"/>
  <c r="K17" i="3"/>
  <c r="L17" i="3"/>
  <c r="T17" i="3" s="1"/>
  <c r="M17" i="3"/>
  <c r="N17" i="3"/>
  <c r="Q17" i="3"/>
  <c r="J18" i="3"/>
  <c r="K18" i="3"/>
  <c r="L18" i="3"/>
  <c r="T18" i="3" s="1"/>
  <c r="M18" i="3"/>
  <c r="N18" i="3"/>
  <c r="O18" i="3"/>
  <c r="R18" i="3" s="1"/>
  <c r="P18" i="3"/>
  <c r="S18" i="3" s="1"/>
  <c r="Q18" i="3"/>
  <c r="J19" i="3"/>
  <c r="K19" i="3"/>
  <c r="L19" i="3"/>
  <c r="M19" i="3"/>
  <c r="N19" i="3"/>
  <c r="O19" i="3"/>
  <c r="P19" i="3"/>
  <c r="S19" i="3" s="1"/>
  <c r="Q19" i="3"/>
  <c r="J20" i="3"/>
  <c r="K20" i="3"/>
  <c r="L20" i="3"/>
  <c r="T20" i="3" s="1"/>
  <c r="M20" i="3"/>
  <c r="N20" i="3"/>
  <c r="O20" i="3"/>
  <c r="R20" i="3" s="1"/>
  <c r="P20" i="3"/>
  <c r="S20" i="3" s="1"/>
  <c r="Q20" i="3"/>
  <c r="A20" i="3"/>
  <c r="B20" i="3"/>
  <c r="D20" i="3"/>
  <c r="E20" i="3"/>
  <c r="F20" i="3"/>
  <c r="G20" i="3" s="1"/>
  <c r="A19" i="3"/>
  <c r="B19" i="3"/>
  <c r="D19" i="3"/>
  <c r="E19" i="3"/>
  <c r="F19" i="3"/>
  <c r="H19" i="3" s="1"/>
  <c r="G19" i="3"/>
  <c r="A4" i="3"/>
  <c r="B4" i="3"/>
  <c r="D4" i="3"/>
  <c r="E4" i="3"/>
  <c r="F4" i="3"/>
  <c r="H4" i="3" s="1"/>
  <c r="A5" i="3"/>
  <c r="B5" i="3"/>
  <c r="D5" i="3"/>
  <c r="E5" i="3"/>
  <c r="F5" i="3"/>
  <c r="G5" i="3" s="1"/>
  <c r="A6" i="3"/>
  <c r="B6" i="3"/>
  <c r="D6" i="3"/>
  <c r="E6" i="3"/>
  <c r="F6" i="3"/>
  <c r="G6" i="3" s="1"/>
  <c r="A7" i="3"/>
  <c r="B7" i="3"/>
  <c r="D7" i="3"/>
  <c r="E7" i="3"/>
  <c r="F7" i="3"/>
  <c r="G7" i="3" s="1"/>
  <c r="A8" i="3"/>
  <c r="B8" i="3"/>
  <c r="D8" i="3"/>
  <c r="E8" i="3"/>
  <c r="F8" i="3"/>
  <c r="G8" i="3" s="1"/>
  <c r="A9" i="3"/>
  <c r="B9" i="3"/>
  <c r="D9" i="3"/>
  <c r="E9" i="3"/>
  <c r="F9" i="3"/>
  <c r="H9" i="3" s="1"/>
  <c r="A10" i="3"/>
  <c r="B10" i="3"/>
  <c r="D10" i="3"/>
  <c r="E10" i="3"/>
  <c r="F10" i="3"/>
  <c r="G10" i="3" s="1"/>
  <c r="A11" i="3"/>
  <c r="B11" i="3"/>
  <c r="D11" i="3"/>
  <c r="E11" i="3"/>
  <c r="F11" i="3"/>
  <c r="G11" i="3" s="1"/>
  <c r="A12" i="3"/>
  <c r="B12" i="3"/>
  <c r="D12" i="3"/>
  <c r="E12" i="3"/>
  <c r="F12" i="3"/>
  <c r="H12" i="3" s="1"/>
  <c r="G12" i="3"/>
  <c r="A13" i="3"/>
  <c r="B13" i="3"/>
  <c r="D13" i="3"/>
  <c r="E13" i="3"/>
  <c r="F13" i="3"/>
  <c r="G13" i="3" s="1"/>
  <c r="I13" i="3"/>
  <c r="A14" i="3"/>
  <c r="B14" i="3"/>
  <c r="D14" i="3"/>
  <c r="E14" i="3"/>
  <c r="F14" i="3"/>
  <c r="H14" i="3" s="1"/>
  <c r="A15" i="3"/>
  <c r="B15" i="3"/>
  <c r="D15" i="3"/>
  <c r="E15" i="3"/>
  <c r="F15" i="3"/>
  <c r="G15" i="3" s="1"/>
  <c r="A16" i="3"/>
  <c r="B16" i="3"/>
  <c r="D16" i="3"/>
  <c r="E16" i="3"/>
  <c r="F16" i="3"/>
  <c r="G16" i="3" s="1"/>
  <c r="A17" i="3"/>
  <c r="B17" i="3"/>
  <c r="D17" i="3"/>
  <c r="E17" i="3"/>
  <c r="F17" i="3"/>
  <c r="H17" i="3" s="1"/>
  <c r="A18" i="3"/>
  <c r="B18" i="3"/>
  <c r="D18" i="3"/>
  <c r="E18" i="3"/>
  <c r="F18" i="3"/>
  <c r="G18" i="3" s="1"/>
  <c r="D3" i="3"/>
  <c r="R3" i="12"/>
  <c r="R4" i="12"/>
  <c r="S10" i="12"/>
  <c r="Q11" i="12"/>
  <c r="O13" i="12"/>
  <c r="O9" i="12"/>
  <c r="A4" i="12"/>
  <c r="B4" i="12"/>
  <c r="C4" i="12"/>
  <c r="G4" i="12" s="1"/>
  <c r="D4" i="12"/>
  <c r="E4" i="12" s="1"/>
  <c r="F4" i="12" s="1"/>
  <c r="A5" i="12"/>
  <c r="B5" i="12"/>
  <c r="C5" i="12"/>
  <c r="D5" i="12"/>
  <c r="E5" i="12" s="1"/>
  <c r="F5" i="12" s="1"/>
  <c r="Q4" i="12" s="1"/>
  <c r="G5" i="12"/>
  <c r="H5" i="12"/>
  <c r="S4" i="12" s="1"/>
  <c r="A6" i="12"/>
  <c r="O7" i="12" s="1"/>
  <c r="B6" i="12"/>
  <c r="C6" i="12"/>
  <c r="D6" i="12"/>
  <c r="E6" i="12" s="1"/>
  <c r="F6" i="12" s="1"/>
  <c r="Q7" i="12" s="1"/>
  <c r="G6" i="12"/>
  <c r="H6" i="12" s="1"/>
  <c r="S7" i="12" s="1"/>
  <c r="A7" i="12"/>
  <c r="O6" i="12" s="1"/>
  <c r="B7" i="12"/>
  <c r="C7" i="12"/>
  <c r="G7" i="12" s="1"/>
  <c r="R6" i="12" s="1"/>
  <c r="D7" i="12"/>
  <c r="E7" i="12" s="1"/>
  <c r="F7" i="12" s="1"/>
  <c r="Q6" i="12" s="1"/>
  <c r="A8" i="12"/>
  <c r="B8" i="12"/>
  <c r="C8" i="12"/>
  <c r="G8" i="12" s="1"/>
  <c r="D8" i="12"/>
  <c r="E8" i="12" s="1"/>
  <c r="F8" i="12" s="1"/>
  <c r="A9" i="12"/>
  <c r="B9" i="12"/>
  <c r="C9" i="12"/>
  <c r="G9" i="12" s="1"/>
  <c r="H9" i="12" s="1"/>
  <c r="D9" i="12"/>
  <c r="E9" i="12" s="1"/>
  <c r="F9" i="12" s="1"/>
  <c r="A10" i="12"/>
  <c r="O8" i="12" s="1"/>
  <c r="B10" i="12"/>
  <c r="C10" i="12"/>
  <c r="G10" i="12" s="1"/>
  <c r="D10" i="12"/>
  <c r="E10" i="12" s="1"/>
  <c r="A11" i="12"/>
  <c r="B11" i="12"/>
  <c r="C11" i="12"/>
  <c r="G11" i="12" s="1"/>
  <c r="D11" i="12"/>
  <c r="E11" i="12" s="1"/>
  <c r="F11" i="12" s="1"/>
  <c r="A12" i="12"/>
  <c r="O3" i="12" s="1"/>
  <c r="B12" i="12"/>
  <c r="C12" i="12"/>
  <c r="G12" i="12" s="1"/>
  <c r="D12" i="12"/>
  <c r="E12" i="12" s="1"/>
  <c r="A13" i="12"/>
  <c r="O11" i="12" s="1"/>
  <c r="B13" i="12"/>
  <c r="C13" i="12"/>
  <c r="D13" i="12"/>
  <c r="E13" i="12" s="1"/>
  <c r="F13" i="12" s="1"/>
  <c r="G13" i="12"/>
  <c r="I13" i="12" s="1"/>
  <c r="A14" i="12"/>
  <c r="B14" i="12"/>
  <c r="C14" i="12"/>
  <c r="D14" i="12"/>
  <c r="E14" i="12" s="1"/>
  <c r="G14" i="12"/>
  <c r="H14" i="12" s="1"/>
  <c r="A15" i="12"/>
  <c r="B15" i="12"/>
  <c r="C15" i="12"/>
  <c r="G15" i="12" s="1"/>
  <c r="R9" i="12" s="1"/>
  <c r="D15" i="12"/>
  <c r="E15" i="12" s="1"/>
  <c r="F15" i="12" s="1"/>
  <c r="Q9" i="12" s="1"/>
  <c r="A16" i="12"/>
  <c r="B16" i="12"/>
  <c r="C16" i="12"/>
  <c r="G16" i="12" s="1"/>
  <c r="D16" i="12"/>
  <c r="E16" i="12" s="1"/>
  <c r="F16" i="12" s="1"/>
  <c r="A17" i="12"/>
  <c r="B17" i="12"/>
  <c r="C17" i="12"/>
  <c r="G17" i="12" s="1"/>
  <c r="D17" i="12"/>
  <c r="E17" i="12" s="1"/>
  <c r="F17" i="12" s="1"/>
  <c r="A18" i="12"/>
  <c r="B18" i="12"/>
  <c r="C18" i="12"/>
  <c r="G18" i="12" s="1"/>
  <c r="H18" i="12" s="1"/>
  <c r="D18" i="12"/>
  <c r="E18" i="12" s="1"/>
  <c r="A19" i="12"/>
  <c r="B19" i="12"/>
  <c r="C19" i="12"/>
  <c r="G19" i="12" s="1"/>
  <c r="R13" i="12" s="1"/>
  <c r="D19" i="12"/>
  <c r="E19" i="12" s="1"/>
  <c r="F19" i="12" s="1"/>
  <c r="Q13" i="12" s="1"/>
  <c r="A20" i="12"/>
  <c r="O12" i="12" s="1"/>
  <c r="B20" i="12"/>
  <c r="C20" i="12"/>
  <c r="G20" i="12" s="1"/>
  <c r="R12" i="12" s="1"/>
  <c r="D20" i="12"/>
  <c r="E20" i="12" s="1"/>
  <c r="P12" i="12" s="1"/>
  <c r="D3" i="12"/>
  <c r="C3" i="12"/>
  <c r="B3" i="12"/>
  <c r="A3" i="12"/>
  <c r="O5" i="12" s="1"/>
  <c r="R12" i="25"/>
  <c r="G9" i="3" l="1"/>
  <c r="T9" i="3"/>
  <c r="G14" i="3"/>
  <c r="AN13" i="3"/>
  <c r="R16" i="3"/>
  <c r="R15" i="3"/>
  <c r="R8" i="3"/>
  <c r="R7" i="3"/>
  <c r="H11" i="3"/>
  <c r="BW13" i="3"/>
  <c r="BF13" i="3"/>
  <c r="CE13" i="3"/>
  <c r="AC13" i="3"/>
  <c r="BE13" i="3"/>
  <c r="F12" i="12"/>
  <c r="Q3" i="12" s="1"/>
  <c r="P3" i="12"/>
  <c r="P9" i="12"/>
  <c r="H18" i="3"/>
  <c r="BR13" i="3"/>
  <c r="BH13" i="3"/>
  <c r="I14" i="12"/>
  <c r="F14" i="12"/>
  <c r="Q10" i="12" s="1"/>
  <c r="I10" i="12"/>
  <c r="F10" i="12"/>
  <c r="Q8" i="12" s="1"/>
  <c r="P8" i="12"/>
  <c r="H10" i="12"/>
  <c r="R8" i="12"/>
  <c r="I17" i="12"/>
  <c r="H17" i="12"/>
  <c r="J17" i="12" s="1"/>
  <c r="P13" i="12"/>
  <c r="R11" i="12"/>
  <c r="BU13" i="3"/>
  <c r="AT13" i="3"/>
  <c r="AV13" i="3" s="1"/>
  <c r="I18" i="12"/>
  <c r="F20" i="12"/>
  <c r="Q12" i="12" s="1"/>
  <c r="H13" i="12"/>
  <c r="I9" i="12"/>
  <c r="R10" i="12"/>
  <c r="W13" i="3"/>
  <c r="Y13" i="3" s="1"/>
  <c r="R6" i="3"/>
  <c r="R5" i="3"/>
  <c r="BP13" i="3"/>
  <c r="J6" i="12"/>
  <c r="I6" i="12"/>
  <c r="P11" i="12"/>
  <c r="R7" i="12"/>
  <c r="P6" i="12"/>
  <c r="BM13" i="3"/>
  <c r="AJ13" i="3"/>
  <c r="BX13" i="3"/>
  <c r="BA13" i="3"/>
  <c r="BC13" i="3" s="1"/>
  <c r="AG13" i="3"/>
  <c r="F18" i="12"/>
  <c r="J18" i="12" s="1"/>
  <c r="P7" i="12"/>
  <c r="BK13" i="3"/>
  <c r="AZ13" i="3"/>
  <c r="H20" i="3"/>
  <c r="BN13" i="3"/>
  <c r="BD13" i="3"/>
  <c r="R13" i="3"/>
  <c r="AO13" i="3" s="1"/>
  <c r="AM13" i="3"/>
  <c r="BT13" i="3"/>
  <c r="AL13" i="3"/>
  <c r="AX13" i="3"/>
  <c r="AW13" i="3"/>
  <c r="AY13" i="3" s="1"/>
  <c r="T6" i="3"/>
  <c r="H10" i="3"/>
  <c r="AE13" i="3"/>
  <c r="AD13" i="3"/>
  <c r="AF13" i="3" s="1"/>
  <c r="BS13" i="3"/>
  <c r="BJ13" i="3"/>
  <c r="AA13" i="3"/>
  <c r="BI13" i="3"/>
  <c r="AQ13" i="3"/>
  <c r="AI13" i="3"/>
  <c r="Z13" i="3"/>
  <c r="AB13" i="3" s="1"/>
  <c r="AP13" i="3"/>
  <c r="AR13" i="3" s="1"/>
  <c r="AH13" i="3"/>
  <c r="X13" i="3"/>
  <c r="T13" i="3"/>
  <c r="BO13" i="3"/>
  <c r="U13" i="3"/>
  <c r="V13" i="3" s="1"/>
  <c r="T11" i="3"/>
  <c r="T5" i="3"/>
  <c r="H6" i="3"/>
  <c r="G17" i="3"/>
  <c r="G4" i="3"/>
  <c r="H13" i="3"/>
  <c r="H5" i="3"/>
  <c r="H16" i="3"/>
  <c r="H8" i="3"/>
  <c r="H15" i="3"/>
  <c r="H7" i="3"/>
  <c r="H16" i="12"/>
  <c r="J16" i="12" s="1"/>
  <c r="I16" i="12"/>
  <c r="H20" i="12"/>
  <c r="I20" i="12"/>
  <c r="H12" i="12"/>
  <c r="I12" i="12"/>
  <c r="H15" i="12"/>
  <c r="I15" i="12"/>
  <c r="J5" i="12"/>
  <c r="I8" i="12"/>
  <c r="H8" i="12"/>
  <c r="J8" i="12" s="1"/>
  <c r="H7" i="12"/>
  <c r="I7" i="12"/>
  <c r="H11" i="12"/>
  <c r="J11" i="12" s="1"/>
  <c r="I11" i="12"/>
  <c r="H19" i="12"/>
  <c r="I19" i="12"/>
  <c r="J9" i="12"/>
  <c r="I5" i="12"/>
  <c r="I4" i="12"/>
  <c r="H4" i="12"/>
  <c r="J4" i="12" s="1"/>
  <c r="G30" i="24"/>
  <c r="H3" i="25"/>
  <c r="H14" i="25" s="1"/>
  <c r="O14" i="25" s="1"/>
  <c r="A3" i="25"/>
  <c r="A4" i="25"/>
  <c r="H6" i="25" s="1"/>
  <c r="H17" i="25" s="1"/>
  <c r="A5" i="25"/>
  <c r="H5" i="25" s="1"/>
  <c r="H16" i="25" s="1"/>
  <c r="O16" i="25" s="1"/>
  <c r="A6" i="25"/>
  <c r="H2" i="25" s="1"/>
  <c r="H13" i="25" s="1"/>
  <c r="O13" i="25" s="1"/>
  <c r="A7" i="25"/>
  <c r="A8" i="25"/>
  <c r="A9" i="25"/>
  <c r="A10" i="25"/>
  <c r="H4" i="25" s="1"/>
  <c r="H15" i="25" s="1"/>
  <c r="O15" i="25" s="1"/>
  <c r="A11" i="25"/>
  <c r="A12" i="25"/>
  <c r="A13" i="25"/>
  <c r="A14" i="25"/>
  <c r="A15" i="25"/>
  <c r="A16" i="25"/>
  <c r="A17" i="25"/>
  <c r="A18" i="25"/>
  <c r="A19" i="25"/>
  <c r="A2" i="25"/>
  <c r="K1" i="25"/>
  <c r="R1" i="25" s="1"/>
  <c r="J13" i="12" l="1"/>
  <c r="S11" i="12"/>
  <c r="J19" i="12"/>
  <c r="S13" i="12"/>
  <c r="J10" i="12"/>
  <c r="S8" i="12"/>
  <c r="J15" i="12"/>
  <c r="S9" i="12"/>
  <c r="J12" i="12"/>
  <c r="S3" i="12"/>
  <c r="J7" i="12"/>
  <c r="S6" i="12"/>
  <c r="J20" i="12"/>
  <c r="S12" i="12"/>
  <c r="J14" i="12"/>
  <c r="O5" i="25"/>
  <c r="O4" i="25"/>
  <c r="O2" i="25"/>
  <c r="O3" i="25"/>
  <c r="AE5" i="1"/>
  <c r="AS8" i="24" l="1"/>
  <c r="AS26" i="24"/>
  <c r="AB22" i="24" l="1"/>
  <c r="AB23" i="24"/>
  <c r="AB24" i="24"/>
  <c r="AB25" i="24"/>
  <c r="AB26" i="24"/>
  <c r="AB27" i="24"/>
  <c r="AB28" i="24"/>
  <c r="AB29" i="24"/>
  <c r="AB30" i="24"/>
  <c r="AB31" i="24"/>
  <c r="AB32" i="24"/>
  <c r="AB33" i="24"/>
  <c r="AB21" i="24"/>
  <c r="AJ26" i="24"/>
  <c r="AJ29" i="24"/>
  <c r="AJ30" i="24"/>
  <c r="AH36" i="24"/>
  <c r="AH35" i="24"/>
  <c r="AH34" i="24"/>
  <c r="AH33" i="24"/>
  <c r="AH32" i="24"/>
  <c r="AH31" i="24"/>
  <c r="AH30" i="24"/>
  <c r="AH29" i="24"/>
  <c r="AH28" i="24"/>
  <c r="AH27" i="24"/>
  <c r="AH26" i="24"/>
  <c r="AH25" i="24"/>
  <c r="AH24" i="24"/>
  <c r="AH23" i="24"/>
  <c r="AH22" i="24"/>
  <c r="AE33" i="24"/>
  <c r="AE32" i="24"/>
  <c r="AE31" i="24"/>
  <c r="AE30" i="24"/>
  <c r="AE29" i="24"/>
  <c r="AE28" i="24"/>
  <c r="AE27" i="24"/>
  <c r="AE26" i="24"/>
  <c r="AE25" i="24"/>
  <c r="AE24" i="24"/>
  <c r="AE22" i="24"/>
  <c r="AM26" i="24"/>
  <c r="AM29" i="24"/>
  <c r="AM30" i="24"/>
  <c r="AM34" i="24"/>
  <c r="AM35" i="24"/>
  <c r="AM36" i="24"/>
  <c r="AH21" i="24"/>
  <c r="N26" i="24"/>
  <c r="Y26" i="24"/>
  <c r="Z26" i="24"/>
  <c r="AO22" i="24"/>
  <c r="AO23" i="24"/>
  <c r="AO24" i="24"/>
  <c r="AO25" i="24"/>
  <c r="AO26" i="24"/>
  <c r="AO27" i="24"/>
  <c r="AO28" i="24"/>
  <c r="AO31" i="24"/>
  <c r="AO32" i="24"/>
  <c r="AO33" i="24"/>
  <c r="AO34" i="24"/>
  <c r="AO35" i="24"/>
  <c r="AO36" i="24"/>
  <c r="AO21" i="24"/>
  <c r="Y35" i="24"/>
  <c r="Z35" i="24"/>
  <c r="Y36" i="24"/>
  <c r="Z36" i="24"/>
  <c r="Y34" i="24"/>
  <c r="Z34" i="24"/>
  <c r="Y30" i="24"/>
  <c r="Z30" i="24"/>
  <c r="Y29" i="24"/>
  <c r="Z29" i="24"/>
  <c r="N35" i="24"/>
  <c r="N36" i="24"/>
  <c r="N34" i="24"/>
  <c r="P36" i="24"/>
  <c r="O36" i="24"/>
  <c r="H36" i="24"/>
  <c r="G36" i="24"/>
  <c r="P35" i="24"/>
  <c r="O35" i="24"/>
  <c r="H35" i="24"/>
  <c r="G35" i="24"/>
  <c r="N30" i="24"/>
  <c r="AH13" i="24"/>
  <c r="AH9" i="24"/>
  <c r="AH7" i="24"/>
  <c r="AH3" i="24"/>
  <c r="N29" i="24"/>
  <c r="O22" i="24" l="1"/>
  <c r="Q22" i="24"/>
  <c r="R22" i="24"/>
  <c r="T22" i="24"/>
  <c r="U22" i="24"/>
  <c r="O23" i="24"/>
  <c r="Q23" i="24"/>
  <c r="R23" i="24"/>
  <c r="T23" i="24"/>
  <c r="U23" i="24"/>
  <c r="O24" i="24"/>
  <c r="Q24" i="24"/>
  <c r="R24" i="24"/>
  <c r="T24" i="24"/>
  <c r="U24" i="24"/>
  <c r="O25" i="24"/>
  <c r="Q25" i="24"/>
  <c r="R25" i="24"/>
  <c r="T25" i="24"/>
  <c r="U25" i="24"/>
  <c r="O26" i="24"/>
  <c r="R26" i="24"/>
  <c r="T26" i="24"/>
  <c r="U26" i="24"/>
  <c r="O27" i="24"/>
  <c r="Q27" i="24"/>
  <c r="R27" i="24"/>
  <c r="T27" i="24"/>
  <c r="U27" i="24"/>
  <c r="O28" i="24"/>
  <c r="Q28" i="24"/>
  <c r="R28" i="24"/>
  <c r="T28" i="24"/>
  <c r="U28" i="24"/>
  <c r="O29" i="24"/>
  <c r="O30" i="24"/>
  <c r="O31" i="24"/>
  <c r="Q31" i="24"/>
  <c r="R31" i="24"/>
  <c r="T31" i="24"/>
  <c r="U31" i="24"/>
  <c r="O32" i="24"/>
  <c r="Q32" i="24"/>
  <c r="R32" i="24"/>
  <c r="T32" i="24"/>
  <c r="U32" i="24"/>
  <c r="O33" i="24"/>
  <c r="Q33" i="24"/>
  <c r="R33" i="24"/>
  <c r="T33" i="24"/>
  <c r="U33" i="24"/>
  <c r="Q21" i="24"/>
  <c r="R21" i="24"/>
  <c r="S21" i="24"/>
  <c r="T21" i="24"/>
  <c r="U21" i="24"/>
  <c r="O21" i="24"/>
  <c r="N22" i="24"/>
  <c r="N23" i="24"/>
  <c r="N24" i="24"/>
  <c r="N25" i="24"/>
  <c r="N27" i="24"/>
  <c r="N28" i="24"/>
  <c r="N31" i="24"/>
  <c r="N32" i="24"/>
  <c r="N33" i="24"/>
  <c r="N21" i="24"/>
  <c r="H22" i="24"/>
  <c r="J22" i="24"/>
  <c r="H23" i="24"/>
  <c r="J23" i="24"/>
  <c r="H24" i="24"/>
  <c r="H25" i="24"/>
  <c r="G26" i="24"/>
  <c r="J26" i="24"/>
  <c r="L26" i="24"/>
  <c r="M26" i="24"/>
  <c r="H27" i="24"/>
  <c r="J27" i="24"/>
  <c r="H28" i="24"/>
  <c r="J28" i="24"/>
  <c r="G29" i="24"/>
  <c r="H31" i="24"/>
  <c r="J31" i="24"/>
  <c r="H32" i="24"/>
  <c r="J32" i="24"/>
  <c r="H33" i="24"/>
  <c r="J33" i="24"/>
  <c r="G34" i="24"/>
  <c r="H34" i="24"/>
  <c r="H21" i="24"/>
  <c r="AS25" i="24"/>
  <c r="D21" i="24"/>
  <c r="AH15" i="24" l="1"/>
  <c r="AH14" i="24"/>
  <c r="AH10" i="24"/>
  <c r="AH6" i="24"/>
  <c r="AH5" i="24"/>
  <c r="AH4" i="24"/>
  <c r="AB15" i="24"/>
  <c r="AB14" i="24"/>
  <c r="AB13" i="24"/>
  <c r="AB9" i="24"/>
  <c r="AB7" i="24"/>
  <c r="AB6" i="24"/>
  <c r="AB5" i="24"/>
  <c r="AB4" i="24"/>
  <c r="AB3" i="24"/>
  <c r="AJ4" i="24" l="1"/>
  <c r="P22" i="24" s="1"/>
  <c r="AJ22" i="24" s="1"/>
  <c r="AJ5" i="24"/>
  <c r="P23" i="24" s="1"/>
  <c r="AJ23" i="24" s="1"/>
  <c r="AJ6" i="24"/>
  <c r="P24" i="24" s="1"/>
  <c r="AJ24" i="24" s="1"/>
  <c r="AJ7" i="24"/>
  <c r="P25" i="24" s="1"/>
  <c r="AJ25" i="24" s="1"/>
  <c r="AJ9" i="24"/>
  <c r="P27" i="24" s="1"/>
  <c r="AJ27" i="24" s="1"/>
  <c r="AJ10" i="24"/>
  <c r="P28" i="24" s="1"/>
  <c r="AJ28" i="24" s="1"/>
  <c r="AJ13" i="24"/>
  <c r="P31" i="24" s="1"/>
  <c r="AJ31" i="24" s="1"/>
  <c r="AJ14" i="24"/>
  <c r="P32" i="24" s="1"/>
  <c r="AJ32" i="24" s="1"/>
  <c r="AJ15" i="24"/>
  <c r="P33" i="24" s="1"/>
  <c r="AJ33" i="24" s="1"/>
  <c r="AJ3" i="24"/>
  <c r="P21" i="24" s="1"/>
  <c r="AJ21" i="24" s="1"/>
  <c r="AI4" i="24"/>
  <c r="AK4" i="24"/>
  <c r="AL4" i="24"/>
  <c r="AM4" i="24"/>
  <c r="S22" i="24" s="1"/>
  <c r="AM22" i="24" s="1"/>
  <c r="AN4" i="24"/>
  <c r="AO4" i="24"/>
  <c r="AI5" i="24"/>
  <c r="AK5" i="24"/>
  <c r="AL5" i="24"/>
  <c r="AM5" i="24"/>
  <c r="S23" i="24" s="1"/>
  <c r="AM23" i="24" s="1"/>
  <c r="AN5" i="24"/>
  <c r="AO5" i="24"/>
  <c r="AI6" i="24"/>
  <c r="AK6" i="24"/>
  <c r="AL6" i="24"/>
  <c r="AM6" i="24"/>
  <c r="S24" i="24" s="1"/>
  <c r="AM24" i="24" s="1"/>
  <c r="AN6" i="24"/>
  <c r="AO6" i="24"/>
  <c r="AI7" i="24"/>
  <c r="AK7" i="24"/>
  <c r="AL7" i="24"/>
  <c r="AM7" i="24"/>
  <c r="S25" i="24" s="1"/>
  <c r="AM25" i="24" s="1"/>
  <c r="AN7" i="24"/>
  <c r="AO7" i="24"/>
  <c r="AI8" i="24"/>
  <c r="AK8" i="24"/>
  <c r="AL8" i="24"/>
  <c r="AM8" i="24"/>
  <c r="AN8" i="24"/>
  <c r="AO8" i="24"/>
  <c r="AI9" i="24"/>
  <c r="AK9" i="24"/>
  <c r="AL9" i="24"/>
  <c r="AM9" i="24"/>
  <c r="S27" i="24" s="1"/>
  <c r="AM27" i="24" s="1"/>
  <c r="AN9" i="24"/>
  <c r="AO9" i="24"/>
  <c r="AI10" i="24"/>
  <c r="AK10" i="24"/>
  <c r="AL10" i="24"/>
  <c r="AM10" i="24"/>
  <c r="S28" i="24" s="1"/>
  <c r="AM28" i="24" s="1"/>
  <c r="AN10" i="24"/>
  <c r="AO10" i="24"/>
  <c r="AI11" i="24"/>
  <c r="AK11" i="24"/>
  <c r="AL11" i="24"/>
  <c r="AM11" i="24"/>
  <c r="AN11" i="24"/>
  <c r="AO11" i="24"/>
  <c r="AI12" i="24"/>
  <c r="AK12" i="24"/>
  <c r="AL12" i="24"/>
  <c r="AM12" i="24"/>
  <c r="AN12" i="24"/>
  <c r="AO12" i="24"/>
  <c r="AI13" i="24"/>
  <c r="AK13" i="24"/>
  <c r="AL13" i="24"/>
  <c r="AM13" i="24"/>
  <c r="S31" i="24" s="1"/>
  <c r="AM31" i="24" s="1"/>
  <c r="AN13" i="24"/>
  <c r="AO13" i="24"/>
  <c r="AI14" i="24"/>
  <c r="AK14" i="24"/>
  <c r="AL14" i="24"/>
  <c r="AM14" i="24"/>
  <c r="S32" i="24" s="1"/>
  <c r="AM32" i="24" s="1"/>
  <c r="AN14" i="24"/>
  <c r="AO14" i="24"/>
  <c r="AI15" i="24"/>
  <c r="AK15" i="24"/>
  <c r="AL15" i="24"/>
  <c r="AM15" i="24"/>
  <c r="S33" i="24" s="1"/>
  <c r="AM33" i="24" s="1"/>
  <c r="AN15" i="24"/>
  <c r="AO15" i="24"/>
  <c r="AI16" i="24"/>
  <c r="AK16" i="24"/>
  <c r="AL16" i="24"/>
  <c r="AM16" i="24"/>
  <c r="AN16" i="24"/>
  <c r="AO16" i="24"/>
  <c r="AI17" i="24"/>
  <c r="AK17" i="24"/>
  <c r="AL17" i="24"/>
  <c r="AM17" i="24"/>
  <c r="AN17" i="24"/>
  <c r="AO17" i="24"/>
  <c r="AI18" i="24"/>
  <c r="AK18" i="24"/>
  <c r="AL18" i="24"/>
  <c r="AM18" i="24"/>
  <c r="AN18" i="24"/>
  <c r="AO18" i="24"/>
  <c r="AA8" i="1" l="1"/>
  <c r="AA15" i="1"/>
  <c r="AA11" i="1"/>
  <c r="AA14" i="1"/>
  <c r="H15" i="10" l="1"/>
  <c r="N14" i="3"/>
  <c r="H8" i="10"/>
  <c r="N7" i="3"/>
  <c r="H14" i="10"/>
  <c r="N13" i="3"/>
  <c r="H11" i="10"/>
  <c r="N10" i="3"/>
  <c r="AA6" i="1"/>
  <c r="H6" i="10" l="1"/>
  <c r="N5" i="3"/>
  <c r="BL13" i="3"/>
  <c r="BQ13" i="3"/>
  <c r="AK13" i="3"/>
  <c r="BG13" i="3"/>
  <c r="BV13" i="3"/>
  <c r="N19" i="1"/>
  <c r="I18" i="3" s="1"/>
  <c r="AJ18" i="3" l="1"/>
  <c r="AZ18" i="3"/>
  <c r="BH18" i="3"/>
  <c r="BP18" i="3"/>
  <c r="BX18" i="3"/>
  <c r="AC18" i="3"/>
  <c r="AK18" i="3"/>
  <c r="AS18" i="3"/>
  <c r="BA18" i="3"/>
  <c r="BC18" i="3" s="1"/>
  <c r="BI18" i="3"/>
  <c r="BQ18" i="3"/>
  <c r="BY18" i="3"/>
  <c r="CA18" i="3" s="1"/>
  <c r="AD18" i="3"/>
  <c r="AF18" i="3" s="1"/>
  <c r="AL18" i="3"/>
  <c r="AT18" i="3"/>
  <c r="AV18" i="3" s="1"/>
  <c r="BB18" i="3"/>
  <c r="BJ18" i="3"/>
  <c r="BR18" i="3"/>
  <c r="BZ18" i="3"/>
  <c r="W18" i="3"/>
  <c r="Y18" i="3" s="1"/>
  <c r="AE18" i="3"/>
  <c r="AM18" i="3"/>
  <c r="AU18" i="3"/>
  <c r="BK18" i="3"/>
  <c r="BS18" i="3"/>
  <c r="Z18" i="3"/>
  <c r="AB18" i="3" s="1"/>
  <c r="AH18" i="3"/>
  <c r="AP18" i="3"/>
  <c r="AR18" i="3" s="1"/>
  <c r="AX18" i="3"/>
  <c r="BF18" i="3"/>
  <c r="BN18" i="3"/>
  <c r="BV18" i="3"/>
  <c r="BO18" i="3"/>
  <c r="BU18" i="3"/>
  <c r="AG18" i="3"/>
  <c r="BW18" i="3"/>
  <c r="X18" i="3"/>
  <c r="BM18" i="3"/>
  <c r="AA18" i="3"/>
  <c r="AW18" i="3"/>
  <c r="AY18" i="3" s="1"/>
  <c r="BT18" i="3"/>
  <c r="BD18" i="3"/>
  <c r="AI18" i="3"/>
  <c r="BE18" i="3"/>
  <c r="CB18" i="3"/>
  <c r="CD18" i="3" s="1"/>
  <c r="AN18" i="3"/>
  <c r="BG18" i="3"/>
  <c r="CC18" i="3"/>
  <c r="AO18" i="3"/>
  <c r="BL18" i="3"/>
  <c r="CE18" i="3"/>
  <c r="AQ18" i="3"/>
  <c r="U18" i="3"/>
  <c r="V18" i="3" s="1"/>
  <c r="N3" i="24"/>
  <c r="H3" i="24"/>
  <c r="I3" i="24"/>
  <c r="J3" i="24"/>
  <c r="K3" i="24"/>
  <c r="L3" i="24"/>
  <c r="M3" i="24"/>
  <c r="G3" i="24"/>
  <c r="E3" i="24"/>
  <c r="I2" i="1"/>
  <c r="O2" i="1"/>
  <c r="Q2" i="1"/>
  <c r="V2" i="1"/>
  <c r="T2" i="1"/>
  <c r="N4" i="1"/>
  <c r="F3" i="30" s="1"/>
  <c r="F5" i="30" l="1"/>
  <c r="P5" i="30" s="1"/>
  <c r="F6" i="30"/>
  <c r="F7" i="30"/>
  <c r="F10" i="30"/>
  <c r="F8" i="30"/>
  <c r="F9" i="30"/>
  <c r="P3" i="30"/>
  <c r="Q3" i="30"/>
  <c r="I3" i="3"/>
  <c r="J3" i="29"/>
  <c r="E21" i="24"/>
  <c r="Y21" i="24" s="1"/>
  <c r="Y3" i="24"/>
  <c r="D24" i="24"/>
  <c r="D25" i="24"/>
  <c r="N7" i="24"/>
  <c r="H7" i="24"/>
  <c r="I7" i="24"/>
  <c r="J7" i="24"/>
  <c r="K7" i="24"/>
  <c r="L7" i="24"/>
  <c r="M7" i="24"/>
  <c r="G7" i="24"/>
  <c r="E7" i="24"/>
  <c r="Q5" i="30" l="1"/>
  <c r="Q8" i="30"/>
  <c r="P8" i="30"/>
  <c r="Q7" i="30"/>
  <c r="P7" i="30"/>
  <c r="Q6" i="30"/>
  <c r="P6" i="30"/>
  <c r="P9" i="30"/>
  <c r="Q9" i="30"/>
  <c r="Q10" i="30"/>
  <c r="P10" i="30"/>
  <c r="S3" i="29"/>
  <c r="T3" i="29"/>
  <c r="Y7" i="24"/>
  <c r="E25" i="24" s="1"/>
  <c r="Y25" i="24" s="1"/>
  <c r="N20" i="1"/>
  <c r="I19" i="3" s="1"/>
  <c r="U19" i="3" l="1"/>
  <c r="V19" i="3" s="1"/>
  <c r="W19" i="3"/>
  <c r="Y19" i="3" s="1"/>
  <c r="AE19" i="3"/>
  <c r="AM19" i="3"/>
  <c r="AU19" i="3"/>
  <c r="BK19" i="3"/>
  <c r="BS19" i="3"/>
  <c r="X19" i="3"/>
  <c r="AN19" i="3"/>
  <c r="BD19" i="3"/>
  <c r="BL19" i="3"/>
  <c r="BT19" i="3"/>
  <c r="CB19" i="3"/>
  <c r="CD19" i="3" s="1"/>
  <c r="AG19" i="3"/>
  <c r="AO19" i="3"/>
  <c r="AW19" i="3"/>
  <c r="AY19" i="3" s="1"/>
  <c r="BE19" i="3"/>
  <c r="BM19" i="3"/>
  <c r="BU19" i="3"/>
  <c r="CC19" i="3"/>
  <c r="Z19" i="3"/>
  <c r="AB19" i="3" s="1"/>
  <c r="AH19" i="3"/>
  <c r="AP19" i="3"/>
  <c r="AR19" i="3" s="1"/>
  <c r="AX19" i="3"/>
  <c r="BF19" i="3"/>
  <c r="BN19" i="3"/>
  <c r="BV19" i="3"/>
  <c r="AC19" i="3"/>
  <c r="AK19" i="3"/>
  <c r="AS19" i="3"/>
  <c r="BA19" i="3"/>
  <c r="BC19" i="3" s="1"/>
  <c r="BI19" i="3"/>
  <c r="BQ19" i="3"/>
  <c r="BY19" i="3"/>
  <c r="CA19" i="3" s="1"/>
  <c r="BR19" i="3"/>
  <c r="AZ19" i="3"/>
  <c r="AI19" i="3"/>
  <c r="BX19" i="3"/>
  <c r="AJ19" i="3"/>
  <c r="BZ19" i="3"/>
  <c r="AT19" i="3"/>
  <c r="AV19" i="3" s="1"/>
  <c r="AD19" i="3"/>
  <c r="AF19" i="3" s="1"/>
  <c r="BW19" i="3"/>
  <c r="BB19" i="3"/>
  <c r="BG19" i="3"/>
  <c r="AL19" i="3"/>
  <c r="BH19" i="3"/>
  <c r="CE19" i="3"/>
  <c r="AQ19" i="3"/>
  <c r="BJ19" i="3"/>
  <c r="BO19" i="3"/>
  <c r="AA19" i="3"/>
  <c r="BP19" i="3"/>
  <c r="N21" i="1"/>
  <c r="I20" i="3" s="1"/>
  <c r="Z20" i="3" l="1"/>
  <c r="AB20" i="3" s="1"/>
  <c r="AH20" i="3"/>
  <c r="AP20" i="3"/>
  <c r="AR20" i="3" s="1"/>
  <c r="AX20" i="3"/>
  <c r="BF20" i="3"/>
  <c r="BN20" i="3"/>
  <c r="BV20" i="3"/>
  <c r="BY20" i="3"/>
  <c r="CA20" i="3" s="1"/>
  <c r="AA20" i="3"/>
  <c r="AI20" i="3"/>
  <c r="AQ20" i="3"/>
  <c r="BG20" i="3"/>
  <c r="BO20" i="3"/>
  <c r="BW20" i="3"/>
  <c r="CE20" i="3"/>
  <c r="BQ20" i="3"/>
  <c r="AJ20" i="3"/>
  <c r="AZ20" i="3"/>
  <c r="BH20" i="3"/>
  <c r="BP20" i="3"/>
  <c r="BX20" i="3"/>
  <c r="AC20" i="3"/>
  <c r="AK20" i="3"/>
  <c r="AS20" i="3"/>
  <c r="BA20" i="3"/>
  <c r="BC20" i="3" s="1"/>
  <c r="BI20" i="3"/>
  <c r="X20" i="3"/>
  <c r="AN20" i="3"/>
  <c r="BD20" i="3"/>
  <c r="BL20" i="3"/>
  <c r="BT20" i="3"/>
  <c r="CB20" i="3"/>
  <c r="CD20" i="3" s="1"/>
  <c r="AE20" i="3"/>
  <c r="BB20" i="3"/>
  <c r="BU20" i="3"/>
  <c r="AL20" i="3"/>
  <c r="BE20" i="3"/>
  <c r="AD20" i="3"/>
  <c r="AF20" i="3" s="1"/>
  <c r="BS20" i="3"/>
  <c r="AG20" i="3"/>
  <c r="BZ20" i="3"/>
  <c r="AM20" i="3"/>
  <c r="BJ20" i="3"/>
  <c r="CC20" i="3"/>
  <c r="AO20" i="3"/>
  <c r="BK20" i="3"/>
  <c r="W20" i="3"/>
  <c r="Y20" i="3" s="1"/>
  <c r="AT20" i="3"/>
  <c r="AV20" i="3" s="1"/>
  <c r="BM20" i="3"/>
  <c r="AU20" i="3"/>
  <c r="BR20" i="3"/>
  <c r="AW20" i="3"/>
  <c r="AY20" i="3" s="1"/>
  <c r="U20" i="3"/>
  <c r="V20" i="3" s="1"/>
  <c r="N6" i="24" l="1"/>
  <c r="H6" i="24"/>
  <c r="I6" i="24"/>
  <c r="J6" i="24"/>
  <c r="AD6" i="24" s="1"/>
  <c r="J24" i="24" s="1"/>
  <c r="K6" i="24"/>
  <c r="L6" i="24"/>
  <c r="M6" i="24"/>
  <c r="G6" i="24"/>
  <c r="E6" i="24"/>
  <c r="N7" i="1"/>
  <c r="S6" i="29" l="1"/>
  <c r="T6" i="29"/>
  <c r="I6" i="3"/>
  <c r="AK6" i="3" s="1"/>
  <c r="E24" i="24"/>
  <c r="Y24" i="24" s="1"/>
  <c r="Y6" i="24"/>
  <c r="N9" i="1"/>
  <c r="AC6" i="3" l="1"/>
  <c r="Z6" i="3"/>
  <c r="AB6" i="3" s="1"/>
  <c r="BN6" i="3"/>
  <c r="AH6" i="3"/>
  <c r="BV6" i="3"/>
  <c r="AW6" i="3"/>
  <c r="AY6" i="3" s="1"/>
  <c r="AO6" i="3"/>
  <c r="CE6" i="3"/>
  <c r="AN6" i="3"/>
  <c r="BW6" i="3"/>
  <c r="BO6" i="3"/>
  <c r="BK6" i="3"/>
  <c r="AP6" i="3"/>
  <c r="AR6" i="3" s="1"/>
  <c r="BS6" i="3"/>
  <c r="BZ6" i="3"/>
  <c r="AE6" i="3"/>
  <c r="BF6" i="3"/>
  <c r="BU6" i="3"/>
  <c r="W6" i="3"/>
  <c r="Y6" i="3" s="1"/>
  <c r="BJ6" i="3"/>
  <c r="V6" i="3"/>
  <c r="BH6" i="3"/>
  <c r="U6" i="3"/>
  <c r="AI6" i="3"/>
  <c r="BP6" i="3"/>
  <c r="AT6" i="3"/>
  <c r="AV6" i="3" s="1"/>
  <c r="BB6" i="3"/>
  <c r="BE6" i="3"/>
  <c r="BY6" i="3"/>
  <c r="CA6" i="3" s="1"/>
  <c r="AG6" i="3"/>
  <c r="BR6" i="3"/>
  <c r="AJ6" i="3"/>
  <c r="BG6" i="3"/>
  <c r="BL6" i="3"/>
  <c r="BQ6" i="3"/>
  <c r="AX6" i="3"/>
  <c r="BX6" i="3"/>
  <c r="AQ6" i="3"/>
  <c r="BD6" i="3"/>
  <c r="BI6" i="3"/>
  <c r="BM6" i="3"/>
  <c r="X6" i="3"/>
  <c r="BA6" i="3"/>
  <c r="BC6" i="3" s="1"/>
  <c r="S8" i="29"/>
  <c r="T8" i="29"/>
  <c r="AL6" i="3"/>
  <c r="AZ6" i="3"/>
  <c r="AA6" i="3"/>
  <c r="CB6" i="3"/>
  <c r="CD6" i="3" s="1"/>
  <c r="AU6" i="3"/>
  <c r="AS6" i="3"/>
  <c r="AD6" i="3"/>
  <c r="AF6" i="3" s="1"/>
  <c r="CC6" i="3"/>
  <c r="BT6" i="3"/>
  <c r="AM6" i="3"/>
  <c r="I8" i="3"/>
  <c r="AI8" i="3" s="1"/>
  <c r="AC8" i="3" l="1"/>
  <c r="BU8" i="3"/>
  <c r="BM8" i="3"/>
  <c r="AM8" i="3"/>
  <c r="AU8" i="3"/>
  <c r="AT8" i="3"/>
  <c r="AV8" i="3" s="1"/>
  <c r="BL8" i="3"/>
  <c r="BY8" i="3"/>
  <c r="CA8" i="3" s="1"/>
  <c r="BD8" i="3"/>
  <c r="AH8" i="3"/>
  <c r="AL8" i="3"/>
  <c r="AP8" i="3"/>
  <c r="AR8" i="3" s="1"/>
  <c r="AK8" i="3"/>
  <c r="AA8" i="3"/>
  <c r="BT8" i="3"/>
  <c r="BH8" i="3"/>
  <c r="BE8" i="3"/>
  <c r="AE8" i="3"/>
  <c r="AD8" i="3"/>
  <c r="AF8" i="3" s="1"/>
  <c r="CE8" i="3"/>
  <c r="AN8" i="3"/>
  <c r="W8" i="3"/>
  <c r="Y8" i="3" s="1"/>
  <c r="U8" i="3"/>
  <c r="V8" i="3" s="1"/>
  <c r="AG8" i="3"/>
  <c r="BR8" i="3"/>
  <c r="BI8" i="3"/>
  <c r="BG8" i="3"/>
  <c r="AX8" i="3"/>
  <c r="AW8" i="3"/>
  <c r="AY8" i="3" s="1"/>
  <c r="BW8" i="3"/>
  <c r="BZ8" i="3"/>
  <c r="BQ8" i="3"/>
  <c r="BF8" i="3"/>
  <c r="AZ8" i="3"/>
  <c r="BN8" i="3"/>
  <c r="AJ8" i="3"/>
  <c r="BS8" i="3"/>
  <c r="BJ8" i="3"/>
  <c r="BA8" i="3"/>
  <c r="BC8" i="3" s="1"/>
  <c r="AQ8" i="3"/>
  <c r="BP8" i="3"/>
  <c r="CB8" i="3"/>
  <c r="CD8" i="3" s="1"/>
  <c r="AO8" i="3"/>
  <c r="BO8" i="3"/>
  <c r="BV8" i="3"/>
  <c r="Z8" i="3"/>
  <c r="AB8" i="3" s="1"/>
  <c r="BX8" i="3"/>
  <c r="X8" i="3"/>
  <c r="CC8" i="3"/>
  <c r="BK8" i="3"/>
  <c r="BB8" i="3"/>
  <c r="AS8" i="3"/>
  <c r="H10" i="10"/>
  <c r="N9" i="3"/>
  <c r="AC26" i="24"/>
  <c r="AF26" i="24"/>
  <c r="D22" i="24"/>
  <c r="D23" i="24"/>
  <c r="AD4" i="24" l="1"/>
  <c r="AD5" i="24"/>
  <c r="AD23" i="24" s="1"/>
  <c r="AD15" i="24"/>
  <c r="AD14" i="24"/>
  <c r="U21" i="1"/>
  <c r="AP21" i="1"/>
  <c r="AO21" i="1"/>
  <c r="AN21" i="1"/>
  <c r="AM21" i="1"/>
  <c r="AG21" i="1"/>
  <c r="AL21" i="1"/>
  <c r="AK21" i="1"/>
  <c r="AJ21" i="1"/>
  <c r="AI21" i="1"/>
  <c r="AH21" i="1"/>
  <c r="W21" i="1"/>
  <c r="R21" i="1"/>
  <c r="S21" i="1"/>
  <c r="P21" i="1"/>
  <c r="K21" i="1"/>
  <c r="L21" i="1"/>
  <c r="J21" i="1"/>
  <c r="C19" i="25" l="1"/>
  <c r="B19" i="25"/>
  <c r="N15" i="24"/>
  <c r="N14" i="24"/>
  <c r="N13" i="24"/>
  <c r="N10" i="24"/>
  <c r="N9" i="24"/>
  <c r="N5" i="24"/>
  <c r="N4" i="24"/>
  <c r="H5" i="24"/>
  <c r="I5" i="24"/>
  <c r="AC5" i="24" s="1"/>
  <c r="J5" i="24"/>
  <c r="K5" i="24"/>
  <c r="AE5" i="24" s="1"/>
  <c r="K23" i="24" s="1"/>
  <c r="L5" i="24"/>
  <c r="AF5" i="24" s="1"/>
  <c r="M5" i="24"/>
  <c r="G5" i="24"/>
  <c r="AA5" i="24" s="1"/>
  <c r="G23" i="24" s="1"/>
  <c r="E5" i="24"/>
  <c r="H4" i="24"/>
  <c r="I4" i="24"/>
  <c r="AC4" i="24" s="1"/>
  <c r="I22" i="24" s="1"/>
  <c r="J4" i="24"/>
  <c r="K4" i="24"/>
  <c r="AE4" i="24" s="1"/>
  <c r="K22" i="24" s="1"/>
  <c r="L4" i="24"/>
  <c r="AF4" i="24" s="1"/>
  <c r="L22" i="24" s="1"/>
  <c r="M4" i="24"/>
  <c r="AG4" i="24" s="1"/>
  <c r="M22" i="24" s="1"/>
  <c r="G4" i="24"/>
  <c r="AA4" i="24" s="1"/>
  <c r="G22" i="24" s="1"/>
  <c r="E4" i="24"/>
  <c r="H13" i="24"/>
  <c r="I13" i="24"/>
  <c r="AC13" i="24" s="1"/>
  <c r="I31" i="24" s="1"/>
  <c r="J13" i="24"/>
  <c r="K13" i="24"/>
  <c r="AE13" i="24" s="1"/>
  <c r="K31" i="24" s="1"/>
  <c r="M13" i="24"/>
  <c r="AG13" i="24" s="1"/>
  <c r="M31" i="24" s="1"/>
  <c r="H14" i="24"/>
  <c r="I14" i="24"/>
  <c r="AC14" i="24" s="1"/>
  <c r="I32" i="24" s="1"/>
  <c r="J14" i="24"/>
  <c r="K14" i="24"/>
  <c r="AE14" i="24" s="1"/>
  <c r="K32" i="24" s="1"/>
  <c r="M14" i="24"/>
  <c r="AG14" i="24" s="1"/>
  <c r="M32" i="24" s="1"/>
  <c r="H15" i="24"/>
  <c r="I15" i="24"/>
  <c r="AC15" i="24" s="1"/>
  <c r="I33" i="24" s="1"/>
  <c r="J15" i="24"/>
  <c r="M15" i="24"/>
  <c r="AG15" i="24" s="1"/>
  <c r="M33" i="24" s="1"/>
  <c r="H9" i="24"/>
  <c r="I9" i="24"/>
  <c r="AC9" i="24" s="1"/>
  <c r="I27" i="24" s="1"/>
  <c r="J9" i="24"/>
  <c r="M9" i="24"/>
  <c r="AG9" i="24" s="1"/>
  <c r="M27" i="24" s="1"/>
  <c r="H10" i="24"/>
  <c r="I10" i="24"/>
  <c r="AC10" i="24" s="1"/>
  <c r="I28" i="24" s="1"/>
  <c r="J10" i="24"/>
  <c r="M10" i="24"/>
  <c r="AG10" i="24" s="1"/>
  <c r="M28" i="24" s="1"/>
  <c r="G15" i="24"/>
  <c r="AA15" i="24" s="1"/>
  <c r="G33" i="24" s="1"/>
  <c r="G14" i="24"/>
  <c r="AA14" i="24" s="1"/>
  <c r="G32" i="24" s="1"/>
  <c r="G13" i="24"/>
  <c r="AA13" i="24" s="1"/>
  <c r="G31" i="24" s="1"/>
  <c r="G10" i="24"/>
  <c r="AA10" i="24" s="1"/>
  <c r="G28" i="24" s="1"/>
  <c r="G9" i="24"/>
  <c r="AA9" i="24" s="1"/>
  <c r="G27" i="24" s="1"/>
  <c r="E15" i="24"/>
  <c r="E14" i="24"/>
  <c r="E13" i="24"/>
  <c r="E10" i="24"/>
  <c r="E9" i="24"/>
  <c r="AL36" i="24"/>
  <c r="AN34" i="24"/>
  <c r="AN33" i="24"/>
  <c r="AL33" i="24"/>
  <c r="AK33" i="24"/>
  <c r="AL32" i="24"/>
  <c r="AL28" i="24"/>
  <c r="AD28" i="24"/>
  <c r="AN27" i="24"/>
  <c r="AL27" i="24"/>
  <c r="AD27" i="24"/>
  <c r="AN26" i="24"/>
  <c r="AK26" i="24"/>
  <c r="AL26" i="24"/>
  <c r="AN25" i="24"/>
  <c r="AK25" i="24"/>
  <c r="AN24" i="24"/>
  <c r="AK24" i="24"/>
  <c r="AI24" i="24"/>
  <c r="AN23" i="24"/>
  <c r="AK23" i="24"/>
  <c r="AN22" i="24"/>
  <c r="AL22" i="24"/>
  <c r="AI21" i="24"/>
  <c r="AH19" i="24"/>
  <c r="AN21" i="24"/>
  <c r="Z20" i="24"/>
  <c r="Y20" i="24"/>
  <c r="F20" i="24"/>
  <c r="E20" i="24"/>
  <c r="D20" i="24"/>
  <c r="AN36" i="24"/>
  <c r="AK36" i="24"/>
  <c r="AJ36" i="24"/>
  <c r="AG18" i="24"/>
  <c r="AF18" i="24"/>
  <c r="AF36" i="24" s="1"/>
  <c r="AE18" i="24"/>
  <c r="AD18" i="24"/>
  <c r="AD36" i="24" s="1"/>
  <c r="AC18" i="24"/>
  <c r="AC36" i="24" s="1"/>
  <c r="AB18" i="24"/>
  <c r="AB36" i="24" s="1"/>
  <c r="AA18" i="24"/>
  <c r="AA36" i="24" s="1"/>
  <c r="V18" i="24"/>
  <c r="AP17" i="24"/>
  <c r="AN35" i="24"/>
  <c r="AL35" i="24"/>
  <c r="AK35" i="24"/>
  <c r="AJ35" i="24"/>
  <c r="AI35" i="24"/>
  <c r="AG17" i="24"/>
  <c r="AF17" i="24"/>
  <c r="AF35" i="24" s="1"/>
  <c r="AE17" i="24"/>
  <c r="AD17" i="24"/>
  <c r="AD35" i="24" s="1"/>
  <c r="AC17" i="24"/>
  <c r="AC35" i="24" s="1"/>
  <c r="AB17" i="24"/>
  <c r="AB35" i="24" s="1"/>
  <c r="AA17" i="24"/>
  <c r="AA35" i="24" s="1"/>
  <c r="V17" i="24"/>
  <c r="AL34" i="24"/>
  <c r="AK34" i="24"/>
  <c r="P34" i="24"/>
  <c r="AJ34" i="24" s="1"/>
  <c r="O34" i="24"/>
  <c r="AI34" i="24" s="1"/>
  <c r="AG16" i="24"/>
  <c r="AF16" i="24"/>
  <c r="AF34" i="24" s="1"/>
  <c r="AE16" i="24"/>
  <c r="AD16" i="24"/>
  <c r="AD34" i="24" s="1"/>
  <c r="AC16" i="24"/>
  <c r="AC34" i="24" s="1"/>
  <c r="AB16" i="24"/>
  <c r="AB34" i="24" s="1"/>
  <c r="AA16" i="24"/>
  <c r="AA34" i="24" s="1"/>
  <c r="V16" i="24"/>
  <c r="AI33" i="24"/>
  <c r="AD33" i="24"/>
  <c r="V15" i="24"/>
  <c r="AE15" i="1" s="1"/>
  <c r="AN32" i="24"/>
  <c r="AK32" i="24"/>
  <c r="AD32" i="24"/>
  <c r="V14" i="24"/>
  <c r="AE12" i="1" s="1"/>
  <c r="AN31" i="24"/>
  <c r="AL31" i="24"/>
  <c r="AK31" i="24"/>
  <c r="AD31" i="24"/>
  <c r="V13" i="24"/>
  <c r="AE14" i="1" s="1"/>
  <c r="AN30" i="24"/>
  <c r="AL30" i="24"/>
  <c r="AK30" i="24"/>
  <c r="AG12" i="24"/>
  <c r="AF12" i="24"/>
  <c r="AF30" i="24" s="1"/>
  <c r="AE12" i="24"/>
  <c r="AD12" i="24"/>
  <c r="AD30" i="24" s="1"/>
  <c r="AC12" i="24"/>
  <c r="AC30" i="24" s="1"/>
  <c r="AB12" i="24"/>
  <c r="AA12" i="24"/>
  <c r="AA30" i="24" s="1"/>
  <c r="V12" i="24"/>
  <c r="AN29" i="24"/>
  <c r="AL29" i="24"/>
  <c r="AK29" i="24"/>
  <c r="AI29" i="24"/>
  <c r="AG11" i="24"/>
  <c r="AF11" i="24"/>
  <c r="AF29" i="24" s="1"/>
  <c r="AE11" i="24"/>
  <c r="AD11" i="24"/>
  <c r="AD29" i="24" s="1"/>
  <c r="AC11" i="24"/>
  <c r="AC29" i="24" s="1"/>
  <c r="AB11" i="24"/>
  <c r="AA11" i="24"/>
  <c r="AA29" i="24" s="1"/>
  <c r="V11" i="24"/>
  <c r="AN28" i="24"/>
  <c r="AI28" i="24"/>
  <c r="V10" i="24"/>
  <c r="AE13" i="1" s="1"/>
  <c r="AK27" i="24"/>
  <c r="AI27" i="24"/>
  <c r="V9" i="24"/>
  <c r="AE11" i="1" s="1"/>
  <c r="AG8" i="24"/>
  <c r="AF8" i="24"/>
  <c r="AE8" i="24"/>
  <c r="AD8" i="24"/>
  <c r="AD26" i="24" s="1"/>
  <c r="AC8" i="24"/>
  <c r="AB8" i="24"/>
  <c r="AA8" i="24"/>
  <c r="AA26" i="24" s="1"/>
  <c r="V8" i="24"/>
  <c r="AL25" i="24"/>
  <c r="AG7" i="24"/>
  <c r="M25" i="24" s="1"/>
  <c r="AF7" i="24"/>
  <c r="AE7" i="24"/>
  <c r="K25" i="24" s="1"/>
  <c r="AD7" i="24"/>
  <c r="J25" i="24" s="1"/>
  <c r="AC7" i="24"/>
  <c r="AA7" i="24"/>
  <c r="G25" i="24" s="1"/>
  <c r="V7" i="24"/>
  <c r="AE9" i="1" s="1"/>
  <c r="AL24" i="24"/>
  <c r="AG6" i="24"/>
  <c r="M24" i="24" s="1"/>
  <c r="AF6" i="24"/>
  <c r="AE6" i="24"/>
  <c r="K24" i="24" s="1"/>
  <c r="AC6" i="24"/>
  <c r="AA6" i="24"/>
  <c r="G24" i="24" s="1"/>
  <c r="V6" i="24"/>
  <c r="AE7" i="1" s="1"/>
  <c r="AL23" i="24"/>
  <c r="AG5" i="24"/>
  <c r="M23" i="24" s="1"/>
  <c r="V5" i="24"/>
  <c r="AE8" i="1" s="1"/>
  <c r="AK22" i="24"/>
  <c r="AD22" i="24"/>
  <c r="V4" i="24"/>
  <c r="AE6" i="1" s="1"/>
  <c r="AO3" i="24"/>
  <c r="AN3" i="24"/>
  <c r="AM3" i="24"/>
  <c r="AM21" i="24" s="1"/>
  <c r="AL3" i="24"/>
  <c r="AL21" i="24" s="1"/>
  <c r="AK3" i="24"/>
  <c r="AI3" i="24"/>
  <c r="AP3" i="24" s="1"/>
  <c r="AG3" i="24"/>
  <c r="M21" i="24" s="1"/>
  <c r="AF3" i="24"/>
  <c r="AE3" i="24"/>
  <c r="AD3" i="24"/>
  <c r="AC3" i="24"/>
  <c r="AA3" i="24"/>
  <c r="G21" i="24" s="1"/>
  <c r="AA21" i="24" s="1"/>
  <c r="V3" i="24"/>
  <c r="AE4" i="1" s="1"/>
  <c r="AH1" i="24"/>
  <c r="E28" i="24" l="1"/>
  <c r="Y28" i="24" s="1"/>
  <c r="Y10" i="24"/>
  <c r="E31" i="24"/>
  <c r="Y31" i="24" s="1"/>
  <c r="Y13" i="24"/>
  <c r="Y14" i="24"/>
  <c r="E32" i="24" s="1"/>
  <c r="Y32" i="24" s="1"/>
  <c r="Y15" i="24"/>
  <c r="E33" i="24" s="1"/>
  <c r="Y33" i="24" s="1"/>
  <c r="E27" i="24"/>
  <c r="Y27" i="24" s="1"/>
  <c r="Y9" i="24"/>
  <c r="E22" i="24"/>
  <c r="Y22" i="24" s="1"/>
  <c r="Y4" i="24"/>
  <c r="Y5" i="24"/>
  <c r="E23" i="24" s="1"/>
  <c r="Y23" i="24" s="1"/>
  <c r="D19" i="25"/>
  <c r="F19" i="25" s="1"/>
  <c r="L24" i="24"/>
  <c r="AF24" i="24" s="1"/>
  <c r="L23" i="24"/>
  <c r="AF23" i="24" s="1"/>
  <c r="L25" i="24"/>
  <c r="AF25" i="24" s="1"/>
  <c r="I21" i="24"/>
  <c r="AC21" i="24" s="1"/>
  <c r="J21" i="24"/>
  <c r="AD21" i="24" s="1"/>
  <c r="L21" i="24"/>
  <c r="AF21" i="24" s="1"/>
  <c r="I25" i="24"/>
  <c r="AC25" i="24" s="1"/>
  <c r="K21" i="24"/>
  <c r="AE21" i="24" s="1"/>
  <c r="I24" i="24"/>
  <c r="AC24" i="24" s="1"/>
  <c r="I23" i="24"/>
  <c r="AC23" i="24" s="1"/>
  <c r="AP15" i="24"/>
  <c r="AP14" i="24"/>
  <c r="AP7" i="24"/>
  <c r="AA25" i="24"/>
  <c r="AD25" i="24"/>
  <c r="AD24" i="24"/>
  <c r="AA24" i="24"/>
  <c r="AA22" i="24"/>
  <c r="AA32" i="24"/>
  <c r="AA33" i="24"/>
  <c r="AC22" i="24"/>
  <c r="AC28" i="24"/>
  <c r="AC33" i="24"/>
  <c r="AC27" i="24"/>
  <c r="AA27" i="24"/>
  <c r="AC32" i="24"/>
  <c r="AA28" i="24"/>
  <c r="AC31" i="24"/>
  <c r="AA23" i="24"/>
  <c r="AF22" i="24"/>
  <c r="AA31" i="24"/>
  <c r="N1" i="24"/>
  <c r="N19" i="24"/>
  <c r="AP35" i="24"/>
  <c r="AP24" i="24"/>
  <c r="AI23" i="24"/>
  <c r="V23" i="24"/>
  <c r="AK21" i="24"/>
  <c r="V21" i="24"/>
  <c r="AI31" i="24"/>
  <c r="V31" i="24"/>
  <c r="AP34" i="24"/>
  <c r="AI22" i="24"/>
  <c r="V22" i="24"/>
  <c r="V29" i="24"/>
  <c r="AI25" i="24"/>
  <c r="AK28" i="24"/>
  <c r="V28" i="24"/>
  <c r="AP9" i="24"/>
  <c r="V34" i="24"/>
  <c r="AP11" i="24"/>
  <c r="AP12" i="24"/>
  <c r="V24" i="24"/>
  <c r="AP5" i="24"/>
  <c r="AP27" i="24"/>
  <c r="AP6" i="24"/>
  <c r="AP8" i="24"/>
  <c r="V27" i="24"/>
  <c r="V33" i="24"/>
  <c r="V35" i="24"/>
  <c r="AI30" i="24"/>
  <c r="AP30" i="24" s="1"/>
  <c r="V30" i="24"/>
  <c r="AP13" i="24"/>
  <c r="AP16" i="24"/>
  <c r="AP18" i="24"/>
  <c r="AP4" i="24"/>
  <c r="AI36" i="24"/>
  <c r="AP36" i="24" s="1"/>
  <c r="V36" i="24"/>
  <c r="AP29" i="24"/>
  <c r="V26" i="24"/>
  <c r="AI26" i="24"/>
  <c r="AP10" i="24"/>
  <c r="AP33" i="24"/>
  <c r="E19" i="25" l="1"/>
  <c r="AP28" i="24"/>
  <c r="V25" i="24"/>
  <c r="V32" i="24"/>
  <c r="AI32" i="24"/>
  <c r="AP21" i="24"/>
  <c r="AP26" i="24"/>
  <c r="AP22" i="24"/>
  <c r="AP23" i="24"/>
  <c r="AP25" i="24"/>
  <c r="AP31" i="24"/>
  <c r="AP32" i="24" l="1"/>
  <c r="AP6" i="1" l="1"/>
  <c r="W6" i="1"/>
  <c r="U6" i="1"/>
  <c r="S6" i="1"/>
  <c r="R6" i="1"/>
  <c r="P6" i="1"/>
  <c r="N6" i="1"/>
  <c r="J6" i="1"/>
  <c r="K6" i="1"/>
  <c r="L6" i="1"/>
  <c r="S5" i="29" l="1"/>
  <c r="T5" i="29"/>
  <c r="I5" i="3"/>
  <c r="AX5" i="3" s="1"/>
  <c r="AI6" i="1"/>
  <c r="B4" i="25"/>
  <c r="I6" i="25" s="1"/>
  <c r="I17" i="25" s="1"/>
  <c r="C4" i="25"/>
  <c r="J6" i="25" s="1"/>
  <c r="J17" i="25" s="1"/>
  <c r="AL6" i="1"/>
  <c r="AN6" i="1"/>
  <c r="AJ6" i="1"/>
  <c r="AG6" i="1"/>
  <c r="AK6" i="1"/>
  <c r="AM6" i="1"/>
  <c r="AH6" i="1"/>
  <c r="AO6" i="1"/>
  <c r="X5" i="3" l="1"/>
  <c r="AP5" i="3"/>
  <c r="AR5" i="3" s="1"/>
  <c r="AH5" i="3"/>
  <c r="AA5" i="3"/>
  <c r="BO5" i="3"/>
  <c r="AW5" i="3"/>
  <c r="AY5" i="3" s="1"/>
  <c r="AE5" i="3"/>
  <c r="CB5" i="3"/>
  <c r="CD5" i="3" s="1"/>
  <c r="Z5" i="3"/>
  <c r="AB5" i="3" s="1"/>
  <c r="BK5" i="3"/>
  <c r="AO5" i="3"/>
  <c r="AT5" i="3"/>
  <c r="AV5" i="3" s="1"/>
  <c r="BE5" i="3"/>
  <c r="BI5" i="3"/>
  <c r="BB5" i="3"/>
  <c r="AG5" i="3"/>
  <c r="AS5" i="3"/>
  <c r="V5" i="3"/>
  <c r="BM5" i="3"/>
  <c r="BU5" i="3"/>
  <c r="AK5" i="3"/>
  <c r="BP5" i="3"/>
  <c r="CC5" i="3"/>
  <c r="W5" i="3"/>
  <c r="Y5" i="3" s="1"/>
  <c r="BG5" i="3"/>
  <c r="BR5" i="3"/>
  <c r="BH5" i="3"/>
  <c r="BS5" i="3"/>
  <c r="AM5" i="3"/>
  <c r="BJ5" i="3"/>
  <c r="BV5" i="3"/>
  <c r="BT5" i="3"/>
  <c r="BY5" i="3"/>
  <c r="CA5" i="3" s="1"/>
  <c r="AZ5" i="3"/>
  <c r="BL5" i="3"/>
  <c r="BQ5" i="3"/>
  <c r="AJ5" i="3"/>
  <c r="BZ5" i="3"/>
  <c r="BA5" i="3"/>
  <c r="BC5" i="3" s="1"/>
  <c r="BN5" i="3"/>
  <c r="U5" i="3"/>
  <c r="AU5" i="3"/>
  <c r="AI5" i="3"/>
  <c r="BD5" i="3"/>
  <c r="AL5" i="3"/>
  <c r="AC5" i="3"/>
  <c r="BF5" i="3"/>
  <c r="AQ5" i="3"/>
  <c r="CE5" i="3"/>
  <c r="BW5" i="3"/>
  <c r="AN5" i="3"/>
  <c r="AD5" i="3"/>
  <c r="AF5" i="3" s="1"/>
  <c r="BX5" i="3"/>
  <c r="K17" i="25"/>
  <c r="K6" i="25"/>
  <c r="D4" i="25"/>
  <c r="W8" i="1"/>
  <c r="U8" i="1"/>
  <c r="AP8" i="1"/>
  <c r="R8" i="1"/>
  <c r="S8" i="1"/>
  <c r="P8" i="1"/>
  <c r="N8" i="1"/>
  <c r="J8" i="1"/>
  <c r="K8" i="1"/>
  <c r="L8" i="1"/>
  <c r="T7" i="29" l="1"/>
  <c r="S7" i="29"/>
  <c r="I7" i="3"/>
  <c r="AH7" i="3" s="1"/>
  <c r="E4" i="25"/>
  <c r="L6" i="25" s="1"/>
  <c r="F4" i="25"/>
  <c r="M6" i="25" s="1"/>
  <c r="AH8" i="1"/>
  <c r="C6" i="25"/>
  <c r="J2" i="25" s="1"/>
  <c r="J13" i="25" s="1"/>
  <c r="B6" i="25"/>
  <c r="I2" i="25" s="1"/>
  <c r="I13" i="25" s="1"/>
  <c r="AM8" i="1"/>
  <c r="AL8" i="1"/>
  <c r="AK8" i="1"/>
  <c r="AN8" i="1"/>
  <c r="AJ8" i="1"/>
  <c r="AI8" i="1"/>
  <c r="AG8" i="1"/>
  <c r="AO8" i="1"/>
  <c r="W7" i="3" l="1"/>
  <c r="Y7" i="3" s="1"/>
  <c r="AP7" i="3"/>
  <c r="AR7" i="3" s="1"/>
  <c r="Z7" i="3"/>
  <c r="AB7" i="3" s="1"/>
  <c r="AE7" i="3"/>
  <c r="AU7" i="3"/>
  <c r="BM7" i="3"/>
  <c r="CB7" i="3"/>
  <c r="CD7" i="3" s="1"/>
  <c r="AG7" i="3"/>
  <c r="AT7" i="3"/>
  <c r="AV7" i="3" s="1"/>
  <c r="AL7" i="3"/>
  <c r="BX7" i="3"/>
  <c r="U7" i="3"/>
  <c r="V7" i="3" s="1"/>
  <c r="BE7" i="3"/>
  <c r="BW7" i="3"/>
  <c r="CC7" i="3"/>
  <c r="BH7" i="3"/>
  <c r="AC7" i="3"/>
  <c r="AK7" i="3"/>
  <c r="BO7" i="3"/>
  <c r="BA7" i="3"/>
  <c r="BC7" i="3" s="1"/>
  <c r="BY7" i="3"/>
  <c r="CA7" i="3" s="1"/>
  <c r="AA7" i="3"/>
  <c r="AS7" i="3"/>
  <c r="BB7" i="3"/>
  <c r="BG7" i="3"/>
  <c r="AI7" i="3"/>
  <c r="AW7" i="3"/>
  <c r="AY7" i="3" s="1"/>
  <c r="AM7" i="3"/>
  <c r="AD7" i="3"/>
  <c r="AF7" i="3" s="1"/>
  <c r="BV7" i="3"/>
  <c r="BS7" i="3"/>
  <c r="BK7" i="3"/>
  <c r="BZ7" i="3"/>
  <c r="AZ7" i="3"/>
  <c r="BF7" i="3"/>
  <c r="BU7" i="3"/>
  <c r="AO7" i="3"/>
  <c r="BR7" i="3"/>
  <c r="CE7" i="3"/>
  <c r="AX7" i="3"/>
  <c r="BT7" i="3"/>
  <c r="BL7" i="3"/>
  <c r="BQ7" i="3"/>
  <c r="BI7" i="3"/>
  <c r="BJ7" i="3"/>
  <c r="AJ7" i="3"/>
  <c r="BN7" i="3"/>
  <c r="BD7" i="3"/>
  <c r="X7" i="3"/>
  <c r="AN7" i="3"/>
  <c r="BP7" i="3"/>
  <c r="AQ7" i="3"/>
  <c r="Q13" i="25"/>
  <c r="K2" i="25"/>
  <c r="S4" i="25"/>
  <c r="Q2" i="25"/>
  <c r="P2" i="25"/>
  <c r="P13" i="25"/>
  <c r="T4" i="25"/>
  <c r="D6" i="25"/>
  <c r="AF2" i="1"/>
  <c r="AE2" i="1"/>
  <c r="AD2" i="1"/>
  <c r="R2" i="25" l="1"/>
  <c r="K13" i="25"/>
  <c r="E6" i="25"/>
  <c r="L2" i="25" s="1"/>
  <c r="F6" i="25"/>
  <c r="M2" i="25" s="1"/>
  <c r="AP7" i="1"/>
  <c r="AH7" i="1"/>
  <c r="AI7" i="1"/>
  <c r="AJ7" i="1"/>
  <c r="AK7" i="1"/>
  <c r="AL7" i="1"/>
  <c r="AG7" i="1"/>
  <c r="AM7" i="1"/>
  <c r="AN7" i="1"/>
  <c r="AO7" i="1"/>
  <c r="U7" i="1"/>
  <c r="W7" i="1"/>
  <c r="R7" i="1"/>
  <c r="S7" i="1"/>
  <c r="P7" i="1"/>
  <c r="J7" i="1"/>
  <c r="K7" i="1"/>
  <c r="L7" i="1"/>
  <c r="B5" i="25" l="1"/>
  <c r="I5" i="25" s="1"/>
  <c r="I16" i="25" s="1"/>
  <c r="C5" i="25"/>
  <c r="J5" i="25" s="1"/>
  <c r="J16" i="25" s="1"/>
  <c r="A3" i="3"/>
  <c r="B3" i="3"/>
  <c r="E3" i="3"/>
  <c r="F3" i="3"/>
  <c r="G3" i="3" s="1"/>
  <c r="J3" i="3"/>
  <c r="K3" i="3"/>
  <c r="L3" i="3"/>
  <c r="M3" i="3"/>
  <c r="N3" i="3"/>
  <c r="O3" i="3"/>
  <c r="P3" i="3"/>
  <c r="Q3" i="3"/>
  <c r="Q16" i="25" l="1"/>
  <c r="K5" i="25"/>
  <c r="Q5" i="25"/>
  <c r="P5" i="25"/>
  <c r="P16" i="25"/>
  <c r="D5" i="25"/>
  <c r="R3" i="3"/>
  <c r="T3" i="3"/>
  <c r="H3" i="3"/>
  <c r="S3" i="3"/>
  <c r="CE3" i="3"/>
  <c r="AP19" i="1"/>
  <c r="AH19" i="1"/>
  <c r="AI19" i="1"/>
  <c r="AJ19" i="1"/>
  <c r="AK19" i="1"/>
  <c r="AL19" i="1"/>
  <c r="AG19" i="1"/>
  <c r="AM19" i="1"/>
  <c r="AN19" i="1"/>
  <c r="AO19" i="1"/>
  <c r="U19" i="1"/>
  <c r="W19" i="1"/>
  <c r="R19" i="1"/>
  <c r="S19" i="1"/>
  <c r="P19" i="1"/>
  <c r="J19" i="1"/>
  <c r="K19" i="1"/>
  <c r="L19" i="1"/>
  <c r="AP4" i="1"/>
  <c r="AH4" i="1"/>
  <c r="AI4" i="1"/>
  <c r="AJ4" i="1"/>
  <c r="AK4" i="1"/>
  <c r="AL4" i="1"/>
  <c r="AG4" i="1"/>
  <c r="AM4" i="1"/>
  <c r="AN4" i="1"/>
  <c r="AO4" i="1"/>
  <c r="U4" i="1"/>
  <c r="W4" i="1"/>
  <c r="R4" i="1"/>
  <c r="S4" i="1"/>
  <c r="P4" i="1"/>
  <c r="J4" i="1"/>
  <c r="K4" i="1"/>
  <c r="L4" i="1"/>
  <c r="K16" i="25" l="1"/>
  <c r="R5" i="25"/>
  <c r="F5" i="25"/>
  <c r="M5" i="25" s="1"/>
  <c r="E5" i="25"/>
  <c r="L5" i="25" s="1"/>
  <c r="C2" i="25"/>
  <c r="B2" i="25"/>
  <c r="B17" i="25"/>
  <c r="C17" i="25"/>
  <c r="CB3" i="3"/>
  <c r="CD3" i="3" s="1"/>
  <c r="CC3" i="3"/>
  <c r="BZ3" i="3"/>
  <c r="BX3" i="3"/>
  <c r="BY3" i="3"/>
  <c r="CA3" i="3" s="1"/>
  <c r="BV3" i="3"/>
  <c r="BW3" i="3"/>
  <c r="BT3" i="3"/>
  <c r="BU3" i="3"/>
  <c r="BR3" i="3"/>
  <c r="BS3" i="3"/>
  <c r="BP3" i="3"/>
  <c r="BQ3" i="3"/>
  <c r="BN3" i="3"/>
  <c r="BO3" i="3"/>
  <c r="BL3" i="3"/>
  <c r="BM3" i="3"/>
  <c r="BJ3" i="3"/>
  <c r="BK3" i="3"/>
  <c r="BH3" i="3"/>
  <c r="BI3" i="3"/>
  <c r="BF3" i="3"/>
  <c r="BG3" i="3"/>
  <c r="BD3" i="3"/>
  <c r="BE3" i="3"/>
  <c r="BA3" i="3"/>
  <c r="BC3" i="3" s="1"/>
  <c r="BB3" i="3"/>
  <c r="AX3" i="3"/>
  <c r="AZ3" i="3"/>
  <c r="AU3" i="3"/>
  <c r="AW3" i="3"/>
  <c r="AY3" i="3" s="1"/>
  <c r="AS3" i="3"/>
  <c r="AT3" i="3"/>
  <c r="AV3" i="3" s="1"/>
  <c r="AP3" i="3"/>
  <c r="AR3" i="3" s="1"/>
  <c r="AQ3" i="3"/>
  <c r="AN3" i="3"/>
  <c r="AO3" i="3"/>
  <c r="AL3" i="3"/>
  <c r="AM3" i="3"/>
  <c r="AJ3" i="3"/>
  <c r="AK3" i="3"/>
  <c r="AH3" i="3"/>
  <c r="AI3" i="3"/>
  <c r="AE3" i="3"/>
  <c r="AG3" i="3"/>
  <c r="AC3" i="3"/>
  <c r="AD3" i="3"/>
  <c r="AF3" i="3" s="1"/>
  <c r="Z3" i="3"/>
  <c r="AB3" i="3" s="1"/>
  <c r="AA3" i="3"/>
  <c r="W3" i="3"/>
  <c r="Y3" i="3" s="1"/>
  <c r="X3" i="3"/>
  <c r="U3" i="3"/>
  <c r="V3" i="3" s="1"/>
  <c r="U5" i="1"/>
  <c r="AP5" i="1"/>
  <c r="W5" i="1"/>
  <c r="R5" i="1"/>
  <c r="S5" i="1"/>
  <c r="P5" i="1"/>
  <c r="N5" i="1"/>
  <c r="F4" i="30" s="1"/>
  <c r="J5" i="1"/>
  <c r="K5" i="1"/>
  <c r="L5" i="1"/>
  <c r="P4" i="30" l="1"/>
  <c r="Q4" i="30"/>
  <c r="I4" i="3"/>
  <c r="AO4" i="3" s="1"/>
  <c r="J4" i="29"/>
  <c r="R13" i="25"/>
  <c r="D17" i="25"/>
  <c r="B3" i="25"/>
  <c r="C3" i="25"/>
  <c r="AH5" i="1"/>
  <c r="AO5" i="1"/>
  <c r="AN5" i="1"/>
  <c r="AM5" i="1"/>
  <c r="AG5" i="1"/>
  <c r="AL5" i="1"/>
  <c r="AK5" i="1"/>
  <c r="AJ5" i="1"/>
  <c r="AI5" i="1"/>
  <c r="AC18" i="1"/>
  <c r="AC15" i="1"/>
  <c r="AC14" i="1"/>
  <c r="AC11" i="1"/>
  <c r="AC13" i="1"/>
  <c r="AC12" i="1"/>
  <c r="AN4" i="3" l="1"/>
  <c r="BP4" i="3"/>
  <c r="BD4" i="3"/>
  <c r="AJ4" i="3"/>
  <c r="BR4" i="3"/>
  <c r="AT4" i="3"/>
  <c r="AV4" i="3" s="1"/>
  <c r="BA4" i="3"/>
  <c r="BC4" i="3" s="1"/>
  <c r="AS4" i="3"/>
  <c r="AL4" i="3"/>
  <c r="CE4" i="3"/>
  <c r="BB4" i="3"/>
  <c r="BO4" i="3"/>
  <c r="CB4" i="3"/>
  <c r="CD4" i="3" s="1"/>
  <c r="AQ4" i="3"/>
  <c r="U4" i="3"/>
  <c r="V4" i="3" s="1"/>
  <c r="BH4" i="3"/>
  <c r="AA4" i="3"/>
  <c r="AH4" i="3"/>
  <c r="Z4" i="3"/>
  <c r="AB4" i="3" s="1"/>
  <c r="CC4" i="3"/>
  <c r="BJ4" i="3"/>
  <c r="BX4" i="3"/>
  <c r="BQ4" i="3"/>
  <c r="AI4" i="3"/>
  <c r="BU4" i="3"/>
  <c r="BM4" i="3"/>
  <c r="BV4" i="3"/>
  <c r="AG4" i="3"/>
  <c r="X4" i="3"/>
  <c r="AZ4" i="3"/>
  <c r="AK4" i="3"/>
  <c r="BN4" i="3"/>
  <c r="BS4" i="3"/>
  <c r="BZ4" i="3"/>
  <c r="AD4" i="3"/>
  <c r="AF4" i="3" s="1"/>
  <c r="AC4" i="3"/>
  <c r="AX4" i="3"/>
  <c r="BK4" i="3"/>
  <c r="AU4" i="3"/>
  <c r="AM4" i="3"/>
  <c r="BY4" i="3"/>
  <c r="CA4" i="3" s="1"/>
  <c r="BW4" i="3"/>
  <c r="BF4" i="3"/>
  <c r="BE4" i="3"/>
  <c r="AE4" i="3"/>
  <c r="AW4" i="3"/>
  <c r="AY4" i="3" s="1"/>
  <c r="W4" i="3"/>
  <c r="Y4" i="3" s="1"/>
  <c r="BL4" i="3"/>
  <c r="BT4" i="3"/>
  <c r="BI4" i="3"/>
  <c r="BG4" i="3"/>
  <c r="AP4" i="3"/>
  <c r="AR4" i="3" s="1"/>
  <c r="S4" i="29"/>
  <c r="T4" i="29"/>
  <c r="L10" i="24"/>
  <c r="AF10" i="24" s="1"/>
  <c r="L28" i="24" s="1"/>
  <c r="J13" i="10"/>
  <c r="P12" i="3"/>
  <c r="S12" i="3" s="1"/>
  <c r="L9" i="24"/>
  <c r="AF9" i="24" s="1"/>
  <c r="L27" i="24" s="1"/>
  <c r="J11" i="10"/>
  <c r="P10" i="3"/>
  <c r="S10" i="3" s="1"/>
  <c r="J10" i="10"/>
  <c r="P9" i="3"/>
  <c r="S9" i="3" s="1"/>
  <c r="J18" i="10"/>
  <c r="P17" i="3"/>
  <c r="S17" i="3" s="1"/>
  <c r="L13" i="24"/>
  <c r="AF13" i="24" s="1"/>
  <c r="L31" i="24" s="1"/>
  <c r="J14" i="10"/>
  <c r="P13" i="3"/>
  <c r="L15" i="24"/>
  <c r="AF15" i="24" s="1"/>
  <c r="L33" i="24" s="1"/>
  <c r="AF33" i="24" s="1"/>
  <c r="J15" i="10"/>
  <c r="P14" i="3"/>
  <c r="S14" i="3" s="1"/>
  <c r="L14" i="24"/>
  <c r="AF14" i="24" s="1"/>
  <c r="L32" i="24" s="1"/>
  <c r="AF32" i="24" s="1"/>
  <c r="J12" i="10"/>
  <c r="P11" i="3"/>
  <c r="S11" i="3" s="1"/>
  <c r="E17" i="25"/>
  <c r="F17" i="25"/>
  <c r="D3" i="25"/>
  <c r="F3" i="25" s="1"/>
  <c r="AF31" i="24"/>
  <c r="AF28" i="24"/>
  <c r="AF27" i="24"/>
  <c r="AJ20" i="1"/>
  <c r="AJ14" i="1"/>
  <c r="CB13" i="3" l="1"/>
  <c r="CD13" i="3" s="1"/>
  <c r="BB13" i="3"/>
  <c r="CC13" i="3"/>
  <c r="S13" i="3"/>
  <c r="AU13" i="3"/>
  <c r="BZ13" i="3"/>
  <c r="BY13" i="3"/>
  <c r="CA13" i="3" s="1"/>
  <c r="E3" i="25"/>
  <c r="K10" i="24" l="1"/>
  <c r="AE10" i="24" s="1"/>
  <c r="K28" i="24" s="1"/>
  <c r="I13" i="10"/>
  <c r="O12" i="3"/>
  <c r="R12" i="3" s="1"/>
  <c r="K15" i="24"/>
  <c r="AE15" i="24" s="1"/>
  <c r="K33" i="24" s="1"/>
  <c r="I15" i="10"/>
  <c r="O14" i="3"/>
  <c r="R14" i="3" s="1"/>
  <c r="K9" i="24"/>
  <c r="AE9" i="24" s="1"/>
  <c r="K27" i="24" s="1"/>
  <c r="I11" i="10"/>
  <c r="O10" i="3"/>
  <c r="R10" i="3" s="1"/>
  <c r="I18" i="10"/>
  <c r="O17" i="3"/>
  <c r="R17" i="3" s="1"/>
  <c r="N11" i="1"/>
  <c r="AP11" i="1"/>
  <c r="U11" i="1"/>
  <c r="W11" i="1"/>
  <c r="R11" i="1"/>
  <c r="S11" i="1"/>
  <c r="P11" i="1"/>
  <c r="J11" i="1"/>
  <c r="K11" i="1"/>
  <c r="L11" i="1"/>
  <c r="I10" i="3" l="1"/>
  <c r="CC10" i="3" s="1"/>
  <c r="B9" i="25"/>
  <c r="C9" i="25"/>
  <c r="AK11" i="1"/>
  <c r="AJ11" i="1"/>
  <c r="AN11" i="1"/>
  <c r="AM11" i="1"/>
  <c r="AG11" i="1"/>
  <c r="AO11" i="1"/>
  <c r="AI11" i="1"/>
  <c r="AH11" i="1"/>
  <c r="AL11" i="1"/>
  <c r="CB10" i="3" l="1"/>
  <c r="CD10" i="3" s="1"/>
  <c r="BF10" i="3"/>
  <c r="BL10" i="3"/>
  <c r="AH10" i="3"/>
  <c r="BV10" i="3"/>
  <c r="AX10" i="3"/>
  <c r="BN10" i="3"/>
  <c r="BR10" i="3"/>
  <c r="BD10" i="3"/>
  <c r="X10" i="3"/>
  <c r="AP10" i="3"/>
  <c r="AR10" i="3" s="1"/>
  <c r="BY10" i="3"/>
  <c r="CA10" i="3" s="1"/>
  <c r="BB10" i="3"/>
  <c r="BQ10" i="3"/>
  <c r="AL10" i="3"/>
  <c r="BT10" i="3"/>
  <c r="AS10" i="3"/>
  <c r="AC10" i="3"/>
  <c r="Z10" i="3"/>
  <c r="AB10" i="3" s="1"/>
  <c r="BW10" i="3"/>
  <c r="AT10" i="3"/>
  <c r="AV10" i="3" s="1"/>
  <c r="BO10" i="3"/>
  <c r="AQ10" i="3"/>
  <c r="AK10" i="3"/>
  <c r="BU10" i="3"/>
  <c r="BM10" i="3"/>
  <c r="AU10" i="3"/>
  <c r="BP10" i="3"/>
  <c r="BE10" i="3"/>
  <c r="AM10" i="3"/>
  <c r="BH10" i="3"/>
  <c r="AO10" i="3"/>
  <c r="AE10" i="3"/>
  <c r="CE10" i="3"/>
  <c r="W10" i="3"/>
  <c r="Y10" i="3" s="1"/>
  <c r="BX10" i="3"/>
  <c r="BG10" i="3"/>
  <c r="AW10" i="3"/>
  <c r="AY10" i="3" s="1"/>
  <c r="AI10" i="3"/>
  <c r="AG10" i="3"/>
  <c r="BJ10" i="3"/>
  <c r="AD10" i="3"/>
  <c r="AF10" i="3" s="1"/>
  <c r="BS10" i="3"/>
  <c r="BI10" i="3"/>
  <c r="AZ10" i="3"/>
  <c r="AA10" i="3"/>
  <c r="U10" i="3"/>
  <c r="V10" i="3" s="1"/>
  <c r="AN10" i="3"/>
  <c r="BZ10" i="3"/>
  <c r="BK10" i="3"/>
  <c r="BA10" i="3"/>
  <c r="BC10" i="3" s="1"/>
  <c r="AJ10" i="3"/>
  <c r="D9" i="25"/>
  <c r="E9" i="25" s="1"/>
  <c r="U12" i="1"/>
  <c r="AP12" i="1"/>
  <c r="W12" i="1"/>
  <c r="R12" i="1"/>
  <c r="S12" i="1"/>
  <c r="P12" i="1"/>
  <c r="N12" i="1"/>
  <c r="J12" i="1"/>
  <c r="K12" i="1"/>
  <c r="L12" i="1"/>
  <c r="I11" i="3" l="1"/>
  <c r="AJ11" i="3" s="1"/>
  <c r="F9" i="25"/>
  <c r="C10" i="25"/>
  <c r="J4" i="25" s="1"/>
  <c r="J15" i="25" s="1"/>
  <c r="B10" i="25"/>
  <c r="I4" i="25" s="1"/>
  <c r="I15" i="25" s="1"/>
  <c r="AK12" i="1"/>
  <c r="AJ12" i="1"/>
  <c r="AN12" i="1"/>
  <c r="AM12" i="1"/>
  <c r="AG12" i="1"/>
  <c r="AO12" i="1"/>
  <c r="AI12" i="1"/>
  <c r="AH12" i="1"/>
  <c r="AL12" i="1"/>
  <c r="U11" i="3" l="1"/>
  <c r="V11" i="3"/>
  <c r="AC11" i="3"/>
  <c r="AO11" i="3"/>
  <c r="CC11" i="3"/>
  <c r="AK11" i="3"/>
  <c r="BQ11" i="3"/>
  <c r="AH11" i="3"/>
  <c r="CB11" i="3"/>
  <c r="CD11" i="3" s="1"/>
  <c r="BD11" i="3"/>
  <c r="BM11" i="3"/>
  <c r="AW11" i="3"/>
  <c r="AY11" i="3" s="1"/>
  <c r="AU11" i="3"/>
  <c r="AA11" i="3"/>
  <c r="AM11" i="3"/>
  <c r="BY11" i="3"/>
  <c r="CA11" i="3" s="1"/>
  <c r="BO11" i="3"/>
  <c r="BZ11" i="3"/>
  <c r="BE11" i="3"/>
  <c r="AX11" i="3"/>
  <c r="BR11" i="3"/>
  <c r="AI11" i="3"/>
  <c r="AP11" i="3"/>
  <c r="AR11" i="3" s="1"/>
  <c r="BJ11" i="3"/>
  <c r="AN11" i="3"/>
  <c r="AT11" i="3"/>
  <c r="AV11" i="3" s="1"/>
  <c r="CE11" i="3"/>
  <c r="BW11" i="3"/>
  <c r="BN11" i="3"/>
  <c r="X11" i="3"/>
  <c r="AL11" i="3"/>
  <c r="BI11" i="3"/>
  <c r="BA11" i="3"/>
  <c r="BC11" i="3" s="1"/>
  <c r="BF11" i="3"/>
  <c r="BS11" i="3"/>
  <c r="AD11" i="3"/>
  <c r="AF11" i="3" s="1"/>
  <c r="AQ11" i="3"/>
  <c r="AG11" i="3"/>
  <c r="AS11" i="3"/>
  <c r="BT11" i="3"/>
  <c r="AE11" i="3"/>
  <c r="BP11" i="3"/>
  <c r="BG11" i="3"/>
  <c r="BU11" i="3"/>
  <c r="BV11" i="3"/>
  <c r="BL11" i="3"/>
  <c r="W11" i="3"/>
  <c r="Y11" i="3" s="1"/>
  <c r="BX11" i="3"/>
  <c r="BH11" i="3"/>
  <c r="AZ11" i="3"/>
  <c r="Z11" i="3"/>
  <c r="AB11" i="3" s="1"/>
  <c r="BK11" i="3"/>
  <c r="BB11" i="3"/>
  <c r="Q15" i="25"/>
  <c r="K4" i="25"/>
  <c r="P4" i="25"/>
  <c r="P15" i="25"/>
  <c r="Q4" i="25"/>
  <c r="D10" i="25"/>
  <c r="R4" i="25" l="1"/>
  <c r="K15" i="25"/>
  <c r="R15" i="25"/>
  <c r="E10" i="25"/>
  <c r="L4" i="25" s="1"/>
  <c r="F10" i="25"/>
  <c r="M4" i="25" s="1"/>
  <c r="AP15" i="1" l="1"/>
  <c r="W15" i="1"/>
  <c r="U15" i="1"/>
  <c r="S15" i="1"/>
  <c r="R15" i="1"/>
  <c r="P15" i="1"/>
  <c r="N15" i="1"/>
  <c r="I14" i="3" s="1"/>
  <c r="L15" i="1"/>
  <c r="K15" i="1"/>
  <c r="J15" i="1"/>
  <c r="AP14" i="1"/>
  <c r="AO14" i="1"/>
  <c r="AN14" i="1"/>
  <c r="AM14" i="1"/>
  <c r="AL14" i="1"/>
  <c r="AK14" i="1"/>
  <c r="AI14" i="1"/>
  <c r="AH14" i="1"/>
  <c r="AG14" i="1"/>
  <c r="W14" i="1"/>
  <c r="U14" i="1"/>
  <c r="S14" i="1"/>
  <c r="R14" i="1"/>
  <c r="P14" i="1"/>
  <c r="L14" i="1"/>
  <c r="K14" i="1"/>
  <c r="J14" i="1"/>
  <c r="AP17" i="1"/>
  <c r="W17" i="1"/>
  <c r="U17" i="1"/>
  <c r="S17" i="1"/>
  <c r="R17" i="1"/>
  <c r="P17" i="1"/>
  <c r="N17" i="1"/>
  <c r="I16" i="3" s="1"/>
  <c r="L17" i="1"/>
  <c r="K17" i="1"/>
  <c r="J17" i="1"/>
  <c r="AP18" i="1"/>
  <c r="W18" i="1"/>
  <c r="U18" i="1"/>
  <c r="S18" i="1"/>
  <c r="R18" i="1"/>
  <c r="P18" i="1"/>
  <c r="N18" i="1"/>
  <c r="I17" i="3" s="1"/>
  <c r="L18" i="1"/>
  <c r="K18" i="1"/>
  <c r="J18" i="1"/>
  <c r="AP10" i="1"/>
  <c r="W10" i="1"/>
  <c r="U10" i="1"/>
  <c r="S10" i="1"/>
  <c r="R10" i="1"/>
  <c r="P10" i="1"/>
  <c r="N10" i="1"/>
  <c r="L10" i="1"/>
  <c r="K10" i="1"/>
  <c r="J10" i="1"/>
  <c r="AP13" i="1"/>
  <c r="W13" i="1"/>
  <c r="U13" i="1"/>
  <c r="S13" i="1"/>
  <c r="R13" i="1"/>
  <c r="P13" i="1"/>
  <c r="N13" i="1"/>
  <c r="L13" i="1"/>
  <c r="K13" i="1"/>
  <c r="J13" i="1"/>
  <c r="AP20" i="1"/>
  <c r="AO20" i="1"/>
  <c r="AN20" i="1"/>
  <c r="AM20" i="1"/>
  <c r="AG20" i="1"/>
  <c r="AL20" i="1"/>
  <c r="AK20" i="1"/>
  <c r="AI20" i="1"/>
  <c r="AH20" i="1"/>
  <c r="W20" i="1"/>
  <c r="U20" i="1"/>
  <c r="S20" i="1"/>
  <c r="R20" i="1"/>
  <c r="P20" i="1"/>
  <c r="L20" i="1"/>
  <c r="K20" i="1"/>
  <c r="J20" i="1"/>
  <c r="AP16" i="1"/>
  <c r="W16" i="1"/>
  <c r="U16" i="1"/>
  <c r="S16" i="1"/>
  <c r="R16" i="1"/>
  <c r="P16" i="1"/>
  <c r="N16" i="1"/>
  <c r="I15" i="3" s="1"/>
  <c r="L16" i="1"/>
  <c r="K16" i="1"/>
  <c r="J16" i="1"/>
  <c r="AP9" i="1"/>
  <c r="W9" i="1"/>
  <c r="U9" i="1"/>
  <c r="S9" i="1"/>
  <c r="R9" i="1"/>
  <c r="P9" i="1"/>
  <c r="L9" i="1"/>
  <c r="K9" i="1"/>
  <c r="J9" i="1"/>
  <c r="T9" i="29" l="1"/>
  <c r="S9" i="29"/>
  <c r="I12" i="3"/>
  <c r="AU12" i="3" s="1"/>
  <c r="I9" i="3"/>
  <c r="AD9" i="3" s="1"/>
  <c r="AF9" i="3" s="1"/>
  <c r="AG17" i="3"/>
  <c r="AO17" i="3"/>
  <c r="AW17" i="3"/>
  <c r="AY17" i="3" s="1"/>
  <c r="BE17" i="3"/>
  <c r="BM17" i="3"/>
  <c r="BU17" i="3"/>
  <c r="CC17" i="3"/>
  <c r="AC17" i="3"/>
  <c r="Z17" i="3"/>
  <c r="AB17" i="3" s="1"/>
  <c r="AH17" i="3"/>
  <c r="AP17" i="3"/>
  <c r="AR17" i="3" s="1"/>
  <c r="AX17" i="3"/>
  <c r="BF17" i="3"/>
  <c r="BN17" i="3"/>
  <c r="BV17" i="3"/>
  <c r="AA17" i="3"/>
  <c r="AI17" i="3"/>
  <c r="AQ17" i="3"/>
  <c r="BG17" i="3"/>
  <c r="BO17" i="3"/>
  <c r="BW17" i="3"/>
  <c r="CE17" i="3"/>
  <c r="BA17" i="3"/>
  <c r="BC17" i="3" s="1"/>
  <c r="AJ17" i="3"/>
  <c r="AZ17" i="3"/>
  <c r="BH17" i="3"/>
  <c r="BP17" i="3"/>
  <c r="BX17" i="3"/>
  <c r="AK17" i="3"/>
  <c r="W17" i="3"/>
  <c r="Y17" i="3" s="1"/>
  <c r="AE17" i="3"/>
  <c r="AM17" i="3"/>
  <c r="AU17" i="3"/>
  <c r="BK17" i="3"/>
  <c r="BS17" i="3"/>
  <c r="AN17" i="3"/>
  <c r="BL17" i="3"/>
  <c r="AT17" i="3"/>
  <c r="AV17" i="3" s="1"/>
  <c r="BR17" i="3"/>
  <c r="BT17" i="3"/>
  <c r="AL17" i="3"/>
  <c r="AS17" i="3"/>
  <c r="BQ17" i="3"/>
  <c r="X17" i="3"/>
  <c r="BB17" i="3"/>
  <c r="BY17" i="3"/>
  <c r="CA17" i="3" s="1"/>
  <c r="AD17" i="3"/>
  <c r="AF17" i="3" s="1"/>
  <c r="BD17" i="3"/>
  <c r="BZ17" i="3"/>
  <c r="BI17" i="3"/>
  <c r="CB17" i="3"/>
  <c r="CD17" i="3" s="1"/>
  <c r="BJ17" i="3"/>
  <c r="AC14" i="3"/>
  <c r="AK14" i="3"/>
  <c r="AS14" i="3"/>
  <c r="BA14" i="3"/>
  <c r="BC14" i="3" s="1"/>
  <c r="BI14" i="3"/>
  <c r="BQ14" i="3"/>
  <c r="BY14" i="3"/>
  <c r="CA14" i="3" s="1"/>
  <c r="W14" i="3"/>
  <c r="Y14" i="3" s="1"/>
  <c r="AE14" i="3"/>
  <c r="AM14" i="3"/>
  <c r="AU14" i="3"/>
  <c r="BK14" i="3"/>
  <c r="BS14" i="3"/>
  <c r="AG14" i="3"/>
  <c r="AO14" i="3"/>
  <c r="AA14" i="3"/>
  <c r="AI14" i="3"/>
  <c r="AQ14" i="3"/>
  <c r="BG14" i="3"/>
  <c r="BO14" i="3"/>
  <c r="AD14" i="3"/>
  <c r="AF14" i="3" s="1"/>
  <c r="AT14" i="3"/>
  <c r="AV14" i="3" s="1"/>
  <c r="BF14" i="3"/>
  <c r="BT14" i="3"/>
  <c r="AL14" i="3"/>
  <c r="BH14" i="3"/>
  <c r="BU14" i="3"/>
  <c r="CE14" i="3"/>
  <c r="AH14" i="3"/>
  <c r="AW14" i="3"/>
  <c r="AY14" i="3" s="1"/>
  <c r="BJ14" i="3"/>
  <c r="BV14" i="3"/>
  <c r="BM14" i="3"/>
  <c r="AJ14" i="3"/>
  <c r="AX14" i="3"/>
  <c r="BL14" i="3"/>
  <c r="BW14" i="3"/>
  <c r="AZ14" i="3"/>
  <c r="BX14" i="3"/>
  <c r="Z14" i="3"/>
  <c r="AB14" i="3" s="1"/>
  <c r="AP14" i="3"/>
  <c r="AR14" i="3" s="1"/>
  <c r="BD14" i="3"/>
  <c r="BP14" i="3"/>
  <c r="CB14" i="3"/>
  <c r="CD14" i="3" s="1"/>
  <c r="AN14" i="3"/>
  <c r="BE14" i="3"/>
  <c r="BN14" i="3"/>
  <c r="BB14" i="3"/>
  <c r="BR14" i="3"/>
  <c r="BZ14" i="3"/>
  <c r="CC14" i="3"/>
  <c r="X14" i="3"/>
  <c r="AD16" i="3"/>
  <c r="AF16" i="3" s="1"/>
  <c r="AL16" i="3"/>
  <c r="AT16" i="3"/>
  <c r="AV16" i="3" s="1"/>
  <c r="BB16" i="3"/>
  <c r="BJ16" i="3"/>
  <c r="BR16" i="3"/>
  <c r="BZ16" i="3"/>
  <c r="AX16" i="3"/>
  <c r="W16" i="3"/>
  <c r="Y16" i="3" s="1"/>
  <c r="AE16" i="3"/>
  <c r="AM16" i="3"/>
  <c r="AU16" i="3"/>
  <c r="BK16" i="3"/>
  <c r="BS16" i="3"/>
  <c r="BV16" i="3"/>
  <c r="X16" i="3"/>
  <c r="AN16" i="3"/>
  <c r="BD16" i="3"/>
  <c r="BL16" i="3"/>
  <c r="BT16" i="3"/>
  <c r="CB16" i="3"/>
  <c r="CD16" i="3" s="1"/>
  <c r="AP16" i="3"/>
  <c r="AR16" i="3" s="1"/>
  <c r="AG16" i="3"/>
  <c r="AO16" i="3"/>
  <c r="AW16" i="3"/>
  <c r="AY16" i="3" s="1"/>
  <c r="BE16" i="3"/>
  <c r="BM16" i="3"/>
  <c r="BU16" i="3"/>
  <c r="CC16" i="3"/>
  <c r="Z16" i="3"/>
  <c r="AB16" i="3" s="1"/>
  <c r="BF16" i="3"/>
  <c r="AH16" i="3"/>
  <c r="BN16" i="3"/>
  <c r="AJ16" i="3"/>
  <c r="AZ16" i="3"/>
  <c r="BH16" i="3"/>
  <c r="BP16" i="3"/>
  <c r="BX16" i="3"/>
  <c r="AK16" i="3"/>
  <c r="BQ16" i="3"/>
  <c r="AS16" i="3"/>
  <c r="BY16" i="3"/>
  <c r="CA16" i="3" s="1"/>
  <c r="AI16" i="3"/>
  <c r="AQ16" i="3"/>
  <c r="BW16" i="3"/>
  <c r="CE16" i="3"/>
  <c r="BA16" i="3"/>
  <c r="BC16" i="3" s="1"/>
  <c r="AA16" i="3"/>
  <c r="BG16" i="3"/>
  <c r="AC16" i="3"/>
  <c r="BI16" i="3"/>
  <c r="BO16" i="3"/>
  <c r="Z15" i="3"/>
  <c r="AB15" i="3" s="1"/>
  <c r="AH15" i="3"/>
  <c r="AP15" i="3"/>
  <c r="AR15" i="3" s="1"/>
  <c r="AX15" i="3"/>
  <c r="BF15" i="3"/>
  <c r="BN15" i="3"/>
  <c r="AD15" i="3"/>
  <c r="AF15" i="3" s="1"/>
  <c r="AM15" i="3"/>
  <c r="BE15" i="3"/>
  <c r="BO15" i="3"/>
  <c r="BW15" i="3"/>
  <c r="CE15" i="3"/>
  <c r="AI15" i="3"/>
  <c r="BS15" i="3"/>
  <c r="AE15" i="3"/>
  <c r="AN15" i="3"/>
  <c r="AW15" i="3"/>
  <c r="AY15" i="3" s="1"/>
  <c r="BG15" i="3"/>
  <c r="BP15" i="3"/>
  <c r="BX15" i="3"/>
  <c r="W15" i="3"/>
  <c r="Y15" i="3" s="1"/>
  <c r="AO15" i="3"/>
  <c r="BH15" i="3"/>
  <c r="BQ15" i="3"/>
  <c r="BY15" i="3"/>
  <c r="CA15" i="3" s="1"/>
  <c r="BA15" i="3"/>
  <c r="BC15" i="3" s="1"/>
  <c r="X15" i="3"/>
  <c r="AG15" i="3"/>
  <c r="AQ15" i="3"/>
  <c r="AZ15" i="3"/>
  <c r="BI15" i="3"/>
  <c r="BR15" i="3"/>
  <c r="BZ15" i="3"/>
  <c r="BJ15" i="3"/>
  <c r="AK15" i="3"/>
  <c r="AT15" i="3"/>
  <c r="AV15" i="3" s="1"/>
  <c r="BL15" i="3"/>
  <c r="BU15" i="3"/>
  <c r="CC15" i="3"/>
  <c r="AC15" i="3"/>
  <c r="BM15" i="3"/>
  <c r="AL15" i="3"/>
  <c r="BV15" i="3"/>
  <c r="AS15" i="3"/>
  <c r="CB15" i="3"/>
  <c r="CD15" i="3" s="1"/>
  <c r="AA15" i="3"/>
  <c r="AJ15" i="3"/>
  <c r="BT15" i="3"/>
  <c r="AU15" i="3"/>
  <c r="BB15" i="3"/>
  <c r="BD15" i="3"/>
  <c r="BK15" i="3"/>
  <c r="U14" i="3"/>
  <c r="V14" i="3"/>
  <c r="U17" i="3"/>
  <c r="V17" i="3"/>
  <c r="U16" i="3"/>
  <c r="V16" i="3" s="1"/>
  <c r="U15" i="3"/>
  <c r="V15" i="3" s="1"/>
  <c r="C12" i="25"/>
  <c r="B12" i="25"/>
  <c r="C7" i="25"/>
  <c r="J3" i="25" s="1"/>
  <c r="J14" i="25" s="1"/>
  <c r="B7" i="25"/>
  <c r="I3" i="25" s="1"/>
  <c r="I14" i="25" s="1"/>
  <c r="B18" i="25"/>
  <c r="C18" i="25"/>
  <c r="B16" i="25"/>
  <c r="C16" i="25"/>
  <c r="C15" i="25"/>
  <c r="B15" i="25"/>
  <c r="B13" i="25"/>
  <c r="C13" i="25"/>
  <c r="B14" i="25"/>
  <c r="C14" i="25"/>
  <c r="C8" i="25"/>
  <c r="B8" i="25"/>
  <c r="AJ13" i="1"/>
  <c r="C11" i="25"/>
  <c r="B11" i="25"/>
  <c r="S2" i="1"/>
  <c r="R2" i="1"/>
  <c r="U2" i="1"/>
  <c r="N2" i="1"/>
  <c r="AH9" i="1"/>
  <c r="AL9" i="1"/>
  <c r="AO9" i="1"/>
  <c r="AJ9" i="1"/>
  <c r="AM9" i="1"/>
  <c r="AK9" i="1"/>
  <c r="AN9" i="1"/>
  <c r="AI9" i="1"/>
  <c r="AG9" i="1"/>
  <c r="AG17" i="1"/>
  <c r="AJ17" i="1"/>
  <c r="AK16" i="1"/>
  <c r="AJ16" i="1"/>
  <c r="AM10" i="1"/>
  <c r="AJ10" i="1"/>
  <c r="AK18" i="1"/>
  <c r="AJ18" i="1"/>
  <c r="AG15" i="1"/>
  <c r="AJ15" i="1"/>
  <c r="AN10" i="1"/>
  <c r="AN18" i="1"/>
  <c r="AN15" i="1"/>
  <c r="AN13" i="1"/>
  <c r="AN16" i="1"/>
  <c r="AL10" i="1"/>
  <c r="AM15" i="1"/>
  <c r="AO16" i="1"/>
  <c r="AO17" i="1"/>
  <c r="AI18" i="1"/>
  <c r="AM13" i="1"/>
  <c r="AG10" i="1"/>
  <c r="AI10" i="1"/>
  <c r="AO10" i="1"/>
  <c r="AL18" i="1"/>
  <c r="AL17" i="1"/>
  <c r="AK15" i="1"/>
  <c r="AI17" i="1"/>
  <c r="AK17" i="1"/>
  <c r="AI15" i="1"/>
  <c r="AO15" i="1"/>
  <c r="AI16" i="1"/>
  <c r="AK13" i="1"/>
  <c r="AL16" i="1"/>
  <c r="AK10" i="1"/>
  <c r="AO18" i="1"/>
  <c r="AN17" i="1"/>
  <c r="AM17" i="1"/>
  <c r="AL15" i="1"/>
  <c r="AH16" i="1"/>
  <c r="AG16" i="1"/>
  <c r="AL13" i="1"/>
  <c r="AO13" i="1"/>
  <c r="AH18" i="1"/>
  <c r="AG18" i="1"/>
  <c r="AM16" i="1"/>
  <c r="AH13" i="1"/>
  <c r="AG13" i="1"/>
  <c r="AM18" i="1"/>
  <c r="AI13" i="1"/>
  <c r="AH10" i="1"/>
  <c r="AH17" i="1"/>
  <c r="AH15" i="1"/>
  <c r="AQ12" i="3" l="1"/>
  <c r="BH12" i="3"/>
  <c r="Z12" i="3"/>
  <c r="AB12" i="3" s="1"/>
  <c r="BB12" i="3"/>
  <c r="AG12" i="3"/>
  <c r="BT12" i="3"/>
  <c r="BS12" i="3"/>
  <c r="BA12" i="3"/>
  <c r="BC12" i="3" s="1"/>
  <c r="AS12" i="3"/>
  <c r="AI12" i="3"/>
  <c r="CB12" i="3"/>
  <c r="CD12" i="3" s="1"/>
  <c r="AH12" i="3"/>
  <c r="U12" i="3"/>
  <c r="BP12" i="3"/>
  <c r="BZ12" i="3"/>
  <c r="BR12" i="3"/>
  <c r="CE12" i="3"/>
  <c r="BN12" i="3"/>
  <c r="BM12" i="3"/>
  <c r="AM12" i="3"/>
  <c r="AT12" i="3"/>
  <c r="AV12" i="3" s="1"/>
  <c r="BD12" i="3"/>
  <c r="BY12" i="3"/>
  <c r="CA12" i="3" s="1"/>
  <c r="BW12" i="3"/>
  <c r="BF12" i="3"/>
  <c r="BE12" i="3"/>
  <c r="AE12" i="3"/>
  <c r="X12" i="3"/>
  <c r="AJ12" i="3"/>
  <c r="BQ12" i="3"/>
  <c r="BO12" i="3"/>
  <c r="AX12" i="3"/>
  <c r="AW12" i="3"/>
  <c r="AY12" i="3" s="1"/>
  <c r="W12" i="3"/>
  <c r="Y12" i="3" s="1"/>
  <c r="BJ12" i="3"/>
  <c r="BX12" i="3"/>
  <c r="BI12" i="3"/>
  <c r="BG12" i="3"/>
  <c r="AP12" i="3"/>
  <c r="AR12" i="3" s="1"/>
  <c r="AO12" i="3"/>
  <c r="AL12" i="3"/>
  <c r="AZ12" i="3"/>
  <c r="AK12" i="3"/>
  <c r="AA12" i="3"/>
  <c r="CC12" i="3"/>
  <c r="BK12" i="3"/>
  <c r="V12" i="3"/>
  <c r="BL12" i="3"/>
  <c r="AN12" i="3"/>
  <c r="AD12" i="3"/>
  <c r="AF12" i="3" s="1"/>
  <c r="AC12" i="3"/>
  <c r="BV12" i="3"/>
  <c r="BU12" i="3"/>
  <c r="BT9" i="3"/>
  <c r="BW9" i="3"/>
  <c r="AS9" i="3"/>
  <c r="BH9" i="3"/>
  <c r="Z9" i="3"/>
  <c r="AB9" i="3" s="1"/>
  <c r="BG9" i="3"/>
  <c r="BO9" i="3"/>
  <c r="BP9" i="3"/>
  <c r="AH9" i="3"/>
  <c r="CB9" i="3"/>
  <c r="CD9" i="3" s="1"/>
  <c r="BB9" i="3"/>
  <c r="V9" i="3"/>
  <c r="BA9" i="3"/>
  <c r="BC9" i="3" s="1"/>
  <c r="W9" i="3"/>
  <c r="Y9" i="3" s="1"/>
  <c r="AZ9" i="3"/>
  <c r="CC9" i="3"/>
  <c r="BL9" i="3"/>
  <c r="U9" i="3"/>
  <c r="AE9" i="3"/>
  <c r="BK9" i="3"/>
  <c r="AJ9" i="3"/>
  <c r="BU9" i="3"/>
  <c r="BD9" i="3"/>
  <c r="BS9" i="3"/>
  <c r="AQ9" i="3"/>
  <c r="BV9" i="3"/>
  <c r="BM9" i="3"/>
  <c r="X9" i="3"/>
  <c r="AC9" i="3"/>
  <c r="CE9" i="3"/>
  <c r="BN9" i="3"/>
  <c r="AW9" i="3"/>
  <c r="AY9" i="3" s="1"/>
  <c r="BZ9" i="3"/>
  <c r="BY9" i="3"/>
  <c r="CA9" i="3" s="1"/>
  <c r="BQ9" i="3"/>
  <c r="BI9" i="3"/>
  <c r="AX9" i="3"/>
  <c r="AO9" i="3"/>
  <c r="BR9" i="3"/>
  <c r="AI9" i="3"/>
  <c r="AU9" i="3"/>
  <c r="BX9" i="3"/>
  <c r="AP9" i="3"/>
  <c r="AR9" i="3" s="1"/>
  <c r="AG9" i="3"/>
  <c r="BJ9" i="3"/>
  <c r="AT9" i="3"/>
  <c r="AV9" i="3" s="1"/>
  <c r="AL9" i="3"/>
  <c r="AK9" i="3"/>
  <c r="AA9" i="3"/>
  <c r="AM9" i="3"/>
  <c r="BF9" i="3"/>
  <c r="BE9" i="3"/>
  <c r="AN9" i="3"/>
  <c r="R16" i="25"/>
  <c r="Q14" i="25"/>
  <c r="K3" i="25"/>
  <c r="P3" i="25"/>
  <c r="P14" i="25"/>
  <c r="Q3" i="25"/>
  <c r="D18" i="25"/>
  <c r="D16" i="25"/>
  <c r="D7" i="25"/>
  <c r="D12" i="25"/>
  <c r="D13" i="25"/>
  <c r="D15" i="25"/>
  <c r="D11" i="25"/>
  <c r="F11" i="25" s="1"/>
  <c r="D14" i="25"/>
  <c r="D8" i="25"/>
  <c r="R3" i="25" l="1"/>
  <c r="K14" i="25"/>
  <c r="R14" i="25"/>
  <c r="E13" i="25"/>
  <c r="F16" i="25"/>
  <c r="E15" i="25"/>
  <c r="E18" i="25"/>
  <c r="F18" i="25"/>
  <c r="F13" i="25"/>
  <c r="E16" i="25"/>
  <c r="E11" i="25"/>
  <c r="E12" i="25"/>
  <c r="F12" i="25"/>
  <c r="E7" i="25"/>
  <c r="L3" i="25" s="1"/>
  <c r="F7" i="25"/>
  <c r="M3" i="25" s="1"/>
  <c r="F15" i="25"/>
  <c r="E8" i="25"/>
  <c r="F8" i="25"/>
  <c r="E14" i="25"/>
  <c r="F14" i="25"/>
  <c r="R18" i="25" l="1"/>
  <c r="K18" i="25"/>
  <c r="S3" i="25"/>
  <c r="T3" i="25"/>
  <c r="K9" i="9"/>
  <c r="O4" i="12" l="1"/>
  <c r="O10" i="12"/>
  <c r="P10" i="12"/>
  <c r="E3" i="12"/>
  <c r="P5" i="12" s="1"/>
  <c r="G3" i="12"/>
  <c r="R5" i="12" s="1"/>
  <c r="P4" i="12" l="1"/>
  <c r="P18" i="12"/>
  <c r="I3" i="12"/>
  <c r="H3" i="12"/>
  <c r="S5" i="12" s="1"/>
  <c r="F3" i="12"/>
  <c r="Q5" i="12" s="1"/>
  <c r="P14" i="12" l="1"/>
  <c r="P19" i="12"/>
  <c r="P20" i="12" s="1"/>
  <c r="J3" i="12"/>
  <c r="Q18" i="12"/>
  <c r="Q19" i="12" s="1"/>
  <c r="Q20" i="12" s="1"/>
  <c r="P16" i="12"/>
  <c r="P17" i="12" s="1"/>
  <c r="P21" i="12" l="1"/>
  <c r="Q16" i="12"/>
  <c r="Q17" i="12" s="1"/>
  <c r="Q21" i="12" s="1"/>
  <c r="Q14" i="12"/>
  <c r="O43" i="9" l="1"/>
  <c r="Q43" i="9" s="1"/>
  <c r="S43" i="9"/>
  <c r="T43" i="9"/>
  <c r="O44" i="9"/>
  <c r="Q44" i="9" s="1"/>
  <c r="S44" i="9"/>
  <c r="T44" i="9"/>
  <c r="O45" i="9"/>
  <c r="Q45" i="9" s="1"/>
  <c r="S45" i="9"/>
  <c r="U45" i="9" s="1"/>
  <c r="T45" i="9"/>
  <c r="O46" i="9"/>
  <c r="Q46" i="9" s="1"/>
  <c r="S46" i="9"/>
  <c r="T46" i="9"/>
  <c r="O47" i="9"/>
  <c r="Q47" i="9" s="1"/>
  <c r="S47" i="9"/>
  <c r="T47" i="9"/>
  <c r="O48" i="9"/>
  <c r="Q48" i="9" s="1"/>
  <c r="S48" i="9"/>
  <c r="T48" i="9"/>
  <c r="O49" i="9"/>
  <c r="Q49" i="9" s="1"/>
  <c r="S49" i="9"/>
  <c r="T49" i="9"/>
  <c r="O50" i="9"/>
  <c r="Q50" i="9" s="1"/>
  <c r="S50" i="9"/>
  <c r="T50" i="9"/>
  <c r="O51" i="9"/>
  <c r="Q51" i="9" s="1"/>
  <c r="S51" i="9"/>
  <c r="T51" i="9"/>
  <c r="O52" i="9"/>
  <c r="Q52" i="9" s="1"/>
  <c r="S52" i="9"/>
  <c r="T52" i="9"/>
  <c r="O53" i="9"/>
  <c r="Q53" i="9" s="1"/>
  <c r="S53" i="9"/>
  <c r="T53" i="9"/>
  <c r="O54" i="9"/>
  <c r="Q54" i="9" s="1"/>
  <c r="S54" i="9"/>
  <c r="T54" i="9"/>
  <c r="O55" i="9"/>
  <c r="Q55" i="9" s="1"/>
  <c r="S55" i="9"/>
  <c r="T55" i="9"/>
  <c r="O56" i="9"/>
  <c r="Q56" i="9" s="1"/>
  <c r="S56" i="9"/>
  <c r="T56" i="9"/>
  <c r="O57" i="9"/>
  <c r="Q57" i="9" s="1"/>
  <c r="S57" i="9"/>
  <c r="T57" i="9"/>
  <c r="O58" i="9"/>
  <c r="Q58" i="9" s="1"/>
  <c r="S58" i="9"/>
  <c r="T58" i="9"/>
  <c r="O59" i="9"/>
  <c r="Q59" i="9" s="1"/>
  <c r="S59" i="9"/>
  <c r="T59" i="9"/>
  <c r="O60" i="9"/>
  <c r="Q60" i="9" s="1"/>
  <c r="S60" i="9"/>
  <c r="T60" i="9"/>
  <c r="O61" i="9"/>
  <c r="Q61" i="9" s="1"/>
  <c r="S61" i="9"/>
  <c r="T61" i="9"/>
  <c r="O62" i="9"/>
  <c r="Q62" i="9" s="1"/>
  <c r="S62" i="9"/>
  <c r="T62" i="9"/>
  <c r="O63" i="9"/>
  <c r="Q63" i="9" s="1"/>
  <c r="S63" i="9"/>
  <c r="T63" i="9"/>
  <c r="O64" i="9"/>
  <c r="Q64" i="9" s="1"/>
  <c r="S64" i="9"/>
  <c r="T64" i="9"/>
  <c r="O65" i="9"/>
  <c r="Q65" i="9" s="1"/>
  <c r="S65" i="9"/>
  <c r="T65" i="9"/>
  <c r="O66" i="9"/>
  <c r="Q66" i="9" s="1"/>
  <c r="S66" i="9"/>
  <c r="T66" i="9"/>
  <c r="O67" i="9"/>
  <c r="Q67" i="9" s="1"/>
  <c r="S67" i="9"/>
  <c r="T67" i="9"/>
  <c r="O68" i="9"/>
  <c r="Q68" i="9" s="1"/>
  <c r="S68" i="9"/>
  <c r="T68" i="9"/>
  <c r="O69" i="9"/>
  <c r="Q69" i="9" s="1"/>
  <c r="S69" i="9"/>
  <c r="T69" i="9"/>
  <c r="O70" i="9"/>
  <c r="Q70" i="9" s="1"/>
  <c r="S70" i="9"/>
  <c r="T70" i="9"/>
  <c r="O71" i="9"/>
  <c r="Q71" i="9" s="1"/>
  <c r="S71" i="9"/>
  <c r="T71" i="9"/>
  <c r="O72" i="9"/>
  <c r="Q72" i="9" s="1"/>
  <c r="S72" i="9"/>
  <c r="T72" i="9"/>
  <c r="O73" i="9"/>
  <c r="Q73" i="9" s="1"/>
  <c r="S73" i="9"/>
  <c r="T73" i="9"/>
  <c r="O74" i="9"/>
  <c r="Q74" i="9" s="1"/>
  <c r="S74" i="9"/>
  <c r="T74" i="9"/>
  <c r="O75" i="9"/>
  <c r="Q75" i="9" s="1"/>
  <c r="S75" i="9"/>
  <c r="T75" i="9"/>
  <c r="O76" i="9"/>
  <c r="Q76" i="9" s="1"/>
  <c r="S76" i="9"/>
  <c r="T76" i="9"/>
  <c r="B33" i="9"/>
  <c r="B31" i="9"/>
  <c r="B32" i="9" s="1"/>
  <c r="U65" i="9" l="1"/>
  <c r="U57" i="9"/>
  <c r="U73" i="9"/>
  <c r="U49" i="9"/>
  <c r="U74" i="9"/>
  <c r="U58" i="9"/>
  <c r="U50" i="9"/>
  <c r="U61" i="9"/>
  <c r="U66" i="9"/>
  <c r="U62" i="9"/>
  <c r="U46" i="9"/>
  <c r="U69" i="9"/>
  <c r="U53" i="9"/>
  <c r="U70" i="9"/>
  <c r="U54" i="9"/>
  <c r="U76" i="9"/>
  <c r="U75" i="9"/>
  <c r="U72" i="9"/>
  <c r="U71" i="9"/>
  <c r="U68" i="9"/>
  <c r="U67" i="9"/>
  <c r="U64" i="9"/>
  <c r="U63" i="9"/>
  <c r="U60" i="9"/>
  <c r="U59" i="9"/>
  <c r="U56" i="9"/>
  <c r="U55" i="9"/>
  <c r="U52" i="9"/>
  <c r="U51" i="9"/>
  <c r="U48" i="9"/>
  <c r="U47" i="9"/>
  <c r="U44" i="9"/>
  <c r="U43" i="9"/>
  <c r="O7" i="9" l="1"/>
  <c r="Q7" i="9" s="1"/>
  <c r="S7" i="9"/>
  <c r="T7" i="9"/>
  <c r="O2" i="9"/>
  <c r="Q2" i="9" s="1"/>
  <c r="S2" i="9"/>
  <c r="T2" i="9"/>
  <c r="O3" i="9"/>
  <c r="Q3" i="9" s="1"/>
  <c r="S3" i="9"/>
  <c r="T3" i="9"/>
  <c r="O4" i="9"/>
  <c r="Q4" i="9" s="1"/>
  <c r="S4" i="9"/>
  <c r="T4" i="9"/>
  <c r="O5" i="9"/>
  <c r="Q5" i="9" s="1"/>
  <c r="S5" i="9"/>
  <c r="T5" i="9"/>
  <c r="O8" i="9"/>
  <c r="Q8" i="9" s="1"/>
  <c r="S8" i="9"/>
  <c r="T8" i="9"/>
  <c r="O6" i="9"/>
  <c r="Q6" i="9" s="1"/>
  <c r="S6" i="9"/>
  <c r="T6" i="9"/>
  <c r="O9" i="9"/>
  <c r="Q9" i="9" s="1"/>
  <c r="S9" i="9"/>
  <c r="T9" i="9"/>
  <c r="O10" i="9"/>
  <c r="Q10" i="9" s="1"/>
  <c r="S10" i="9"/>
  <c r="T10" i="9"/>
  <c r="O11" i="9"/>
  <c r="Q11" i="9" s="1"/>
  <c r="S11" i="9"/>
  <c r="T11" i="9"/>
  <c r="O12" i="9"/>
  <c r="Q12" i="9" s="1"/>
  <c r="S12" i="9"/>
  <c r="T12" i="9"/>
  <c r="O13" i="9"/>
  <c r="Q13" i="9" s="1"/>
  <c r="S13" i="9"/>
  <c r="T13" i="9"/>
  <c r="O14" i="9"/>
  <c r="Q14" i="9" s="1"/>
  <c r="S14" i="9"/>
  <c r="T14" i="9"/>
  <c r="O15" i="9"/>
  <c r="Q15" i="9" s="1"/>
  <c r="S15" i="9"/>
  <c r="T15" i="9"/>
  <c r="O16" i="9"/>
  <c r="Q16" i="9" s="1"/>
  <c r="S16" i="9"/>
  <c r="T16" i="9"/>
  <c r="O17" i="9"/>
  <c r="Q17" i="9" s="1"/>
  <c r="S17" i="9"/>
  <c r="T17" i="9"/>
  <c r="O18" i="9"/>
  <c r="Q18" i="9" s="1"/>
  <c r="S18" i="9"/>
  <c r="T18" i="9"/>
  <c r="O19" i="9"/>
  <c r="Q19" i="9" s="1"/>
  <c r="S19" i="9"/>
  <c r="T19" i="9"/>
  <c r="O20" i="9"/>
  <c r="Q20" i="9" s="1"/>
  <c r="S20" i="9"/>
  <c r="T20" i="9"/>
  <c r="O21" i="9"/>
  <c r="Q21" i="9" s="1"/>
  <c r="S21" i="9"/>
  <c r="T21" i="9"/>
  <c r="O22" i="9"/>
  <c r="Q22" i="9" s="1"/>
  <c r="S22" i="9"/>
  <c r="T22" i="9"/>
  <c r="O23" i="9"/>
  <c r="Q23" i="9" s="1"/>
  <c r="S23" i="9"/>
  <c r="T23" i="9"/>
  <c r="O24" i="9"/>
  <c r="Q24" i="9" s="1"/>
  <c r="S24" i="9"/>
  <c r="T24" i="9"/>
  <c r="O25" i="9"/>
  <c r="Q25" i="9" s="1"/>
  <c r="S25" i="9"/>
  <c r="T25" i="9"/>
  <c r="O26" i="9"/>
  <c r="Q26" i="9" s="1"/>
  <c r="S26" i="9"/>
  <c r="T26" i="9"/>
  <c r="O27" i="9"/>
  <c r="Q27" i="9" s="1"/>
  <c r="S27" i="9"/>
  <c r="T27" i="9"/>
  <c r="O28" i="9"/>
  <c r="Q28" i="9" s="1"/>
  <c r="S28" i="9"/>
  <c r="T28" i="9"/>
  <c r="O29" i="9"/>
  <c r="Q29" i="9" s="1"/>
  <c r="S29" i="9"/>
  <c r="T29" i="9"/>
  <c r="O30" i="9"/>
  <c r="Q30" i="9" s="1"/>
  <c r="S30" i="9"/>
  <c r="T30" i="9"/>
  <c r="O31" i="9"/>
  <c r="Q31" i="9" s="1"/>
  <c r="S31" i="9"/>
  <c r="T31" i="9"/>
  <c r="O32" i="9"/>
  <c r="Q32" i="9" s="1"/>
  <c r="S32" i="9"/>
  <c r="T32" i="9"/>
  <c r="O33" i="9"/>
  <c r="Q33" i="9" s="1"/>
  <c r="S33" i="9"/>
  <c r="T33" i="9"/>
  <c r="O34" i="9"/>
  <c r="Q34" i="9" s="1"/>
  <c r="S34" i="9"/>
  <c r="T34" i="9"/>
  <c r="O35" i="9"/>
  <c r="Q35" i="9" s="1"/>
  <c r="S35" i="9"/>
  <c r="T35" i="9"/>
  <c r="O36" i="9"/>
  <c r="Q36" i="9" s="1"/>
  <c r="S36" i="9"/>
  <c r="T36" i="9"/>
  <c r="O37" i="9"/>
  <c r="Q37" i="9" s="1"/>
  <c r="S37" i="9"/>
  <c r="T37" i="9"/>
  <c r="O38" i="9"/>
  <c r="Q38" i="9" s="1"/>
  <c r="S38" i="9"/>
  <c r="T38" i="9"/>
  <c r="O39" i="9"/>
  <c r="Q39" i="9" s="1"/>
  <c r="S39" i="9"/>
  <c r="T39" i="9"/>
  <c r="O40" i="9"/>
  <c r="Q40" i="9" s="1"/>
  <c r="S40" i="9"/>
  <c r="T40" i="9"/>
  <c r="O41" i="9"/>
  <c r="Q41" i="9" s="1"/>
  <c r="S41" i="9"/>
  <c r="T41" i="9"/>
  <c r="O42" i="9"/>
  <c r="Q42" i="9" s="1"/>
  <c r="S42" i="9"/>
  <c r="T42" i="9"/>
  <c r="U16" i="9" l="1"/>
  <c r="U6" i="9"/>
  <c r="U32" i="9"/>
  <c r="U3" i="9"/>
  <c r="U40" i="9"/>
  <c r="U36" i="9"/>
  <c r="U33" i="9"/>
  <c r="U17" i="9"/>
  <c r="U41" i="9"/>
  <c r="U9" i="9"/>
  <c r="U24" i="9"/>
  <c r="U20" i="9"/>
  <c r="U25" i="9"/>
  <c r="U37" i="9"/>
  <c r="U21" i="9"/>
  <c r="U4" i="9"/>
  <c r="U28" i="9"/>
  <c r="U12" i="9"/>
  <c r="U29" i="9"/>
  <c r="U13" i="9"/>
  <c r="U42" i="9"/>
  <c r="U39" i="9"/>
  <c r="U38" i="9"/>
  <c r="U35" i="9"/>
  <c r="U34" i="9"/>
  <c r="U31" i="9"/>
  <c r="U30" i="9"/>
  <c r="U27" i="9"/>
  <c r="U26" i="9"/>
  <c r="U23" i="9"/>
  <c r="U22" i="9"/>
  <c r="U19" i="9"/>
  <c r="U18" i="9"/>
  <c r="U15" i="9"/>
  <c r="U14" i="9"/>
  <c r="U11" i="9"/>
  <c r="U10" i="9"/>
  <c r="U8" i="9"/>
  <c r="U5" i="9"/>
  <c r="U2" i="9"/>
  <c r="U7" i="9"/>
  <c r="W2" i="1" l="1"/>
  <c r="D2" i="1" l="1"/>
  <c r="F19" i="1" l="1"/>
  <c r="D19" i="10" s="1"/>
  <c r="F9" i="1"/>
  <c r="F8" i="1"/>
  <c r="F5" i="1"/>
  <c r="F12" i="1"/>
  <c r="D12" i="10" s="1"/>
  <c r="F18" i="1"/>
  <c r="D18" i="10" s="1"/>
  <c r="F21" i="1"/>
  <c r="D21" i="10" s="1"/>
  <c r="F20" i="1"/>
  <c r="D20" i="10" s="1"/>
  <c r="F17" i="1"/>
  <c r="D17" i="10" s="1"/>
  <c r="F16" i="1"/>
  <c r="D16" i="10" s="1"/>
  <c r="F14" i="1"/>
  <c r="D14" i="10" s="1"/>
  <c r="F15" i="1"/>
  <c r="D15" i="10" s="1"/>
  <c r="F7" i="1"/>
  <c r="F6" i="1"/>
  <c r="F11" i="1"/>
  <c r="D11" i="10" s="1"/>
  <c r="F10" i="1"/>
  <c r="F13" i="1"/>
  <c r="D13" i="10" s="1"/>
  <c r="F4" i="1"/>
  <c r="D6" i="10" l="1"/>
  <c r="D10" i="10"/>
  <c r="D9" i="10"/>
  <c r="D7" i="10"/>
  <c r="D5" i="10"/>
  <c r="D4" i="10"/>
  <c r="D8" i="10"/>
  <c r="C11" i="3"/>
  <c r="C12" i="1"/>
  <c r="C8" i="3"/>
  <c r="C21" i="1"/>
  <c r="C20" i="3"/>
  <c r="C20" i="1"/>
  <c r="C19" i="3"/>
  <c r="C17" i="1"/>
  <c r="C16" i="3"/>
  <c r="C18" i="1"/>
  <c r="C17" i="3"/>
  <c r="C10" i="1"/>
  <c r="C9" i="3"/>
  <c r="C6" i="1"/>
  <c r="C5" i="3"/>
  <c r="C16" i="1"/>
  <c r="C15" i="3"/>
  <c r="C8" i="1"/>
  <c r="C7" i="3"/>
  <c r="C19" i="1"/>
  <c r="C18" i="3"/>
  <c r="C7" i="1"/>
  <c r="C6" i="3"/>
  <c r="C15" i="1"/>
  <c r="C14" i="3"/>
  <c r="C11" i="1"/>
  <c r="C10" i="3"/>
  <c r="C13" i="1"/>
  <c r="C12" i="3"/>
  <c r="C5" i="1"/>
  <c r="C4" i="3"/>
  <c r="C14" i="1"/>
  <c r="C13" i="3"/>
  <c r="F7" i="24"/>
  <c r="Z7" i="24" s="1"/>
  <c r="C9" i="1"/>
  <c r="F3" i="24"/>
  <c r="Z3" i="24" s="1"/>
  <c r="C4" i="1"/>
  <c r="F15" i="24"/>
  <c r="Z15" i="24" s="1"/>
  <c r="F6" i="24"/>
  <c r="Z6" i="24" s="1"/>
  <c r="F14" i="24"/>
  <c r="Z14" i="24" s="1"/>
  <c r="F4" i="24"/>
  <c r="Z4" i="24" s="1"/>
  <c r="F5" i="24"/>
  <c r="Z5" i="24" s="1"/>
  <c r="F13" i="24"/>
  <c r="Z13" i="24" s="1"/>
  <c r="F10" i="24"/>
  <c r="Z10" i="24" s="1"/>
  <c r="F9" i="24"/>
  <c r="Z9" i="24" s="1"/>
  <c r="C3" i="3"/>
  <c r="F25" i="24" l="1"/>
  <c r="Z25" i="24" s="1"/>
  <c r="F21" i="24"/>
  <c r="Z21" i="24" s="1"/>
  <c r="F24" i="24"/>
  <c r="Z24" i="24" s="1"/>
  <c r="F23" i="24"/>
  <c r="Z23" i="24" s="1"/>
  <c r="F32" i="24"/>
  <c r="Z32" i="24" s="1"/>
  <c r="F33" i="24"/>
  <c r="Z33" i="24" s="1"/>
  <c r="F22" i="24"/>
  <c r="Z22" i="24" s="1"/>
  <c r="F27" i="24" l="1"/>
  <c r="Z27" i="24" s="1"/>
  <c r="F28" i="24"/>
  <c r="Z28" i="24" s="1"/>
  <c r="F31" i="24"/>
  <c r="Z31" i="24" s="1"/>
  <c r="S5" i="25" l="1"/>
  <c r="T5" i="25"/>
  <c r="D2" i="25" l="1"/>
  <c r="E2" i="25" l="1"/>
  <c r="F2" i="25"/>
  <c r="K7" i="25"/>
  <c r="R7" i="25"/>
  <c r="S2" i="25" l="1"/>
  <c r="S7" i="25" s="1"/>
  <c r="L7" i="25"/>
  <c r="L8" i="25" s="1"/>
  <c r="T2" i="25"/>
  <c r="T7" i="25" s="1"/>
  <c r="M7" i="25"/>
  <c r="M8" i="25" s="1"/>
  <c r="M17" i="25" l="1"/>
  <c r="M16" i="25"/>
  <c r="M15" i="25"/>
  <c r="T15" i="25" s="1"/>
  <c r="M14" i="25"/>
  <c r="T14" i="25" s="1"/>
  <c r="L17" i="25"/>
  <c r="L16" i="25"/>
  <c r="S16" i="25" s="1"/>
  <c r="L15" i="25"/>
  <c r="S15" i="25" s="1"/>
  <c r="L14" i="25"/>
  <c r="S14" i="25" s="1"/>
  <c r="M13" i="25"/>
  <c r="T13" i="25" s="1"/>
  <c r="L13" i="25"/>
  <c r="S13" i="25" s="1"/>
  <c r="T16" i="25" l="1"/>
  <c r="T18" i="25" s="1"/>
  <c r="S18" i="25"/>
  <c r="L18" i="25"/>
  <c r="M18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V45" authorId="0" shapeId="0" xr:uid="{C1A0B0E9-7C8D-400B-9F09-F8761730E9FC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  <comment ref="AX45" authorId="0" shapeId="0" xr:uid="{082A328A-2610-4A21-ADBA-8E40B99DFEB2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5B11159D-2887-47FA-B775-351CE59D17A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7D25E514-A629-4EB6-80C3-430F5A2C7A6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C4CD7DC8-3A2A-4A45-B3C1-68B7FE7FAD1E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FECBD759-F72B-4E2A-8417-BCFCC19730F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  <comment ref="U22" authorId="0" shapeId="0" xr:uid="{7C6DA7EA-6FF9-4751-BEEC-D01A4EE919BB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Para cuadrar Caja...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7" authorId="0" shapeId="0" xr:uid="{5CA8D74F-E863-4F29-A638-80AFD1115BE2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por sueldo, minimo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L7" authorId="0" shapeId="0" xr:uid="{649F52E6-8C71-4F38-BF77-F03C82B10E5D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por sueldo, minimo</t>
        </r>
      </text>
    </comment>
  </commentList>
</comments>
</file>

<file path=xl/sharedStrings.xml><?xml version="1.0" encoding="utf-8"?>
<sst xmlns="http://schemas.openxmlformats.org/spreadsheetml/2006/main" count="1404" uniqueCount="722">
  <si>
    <t>CAB</t>
  </si>
  <si>
    <t>Nfin</t>
  </si>
  <si>
    <t>POS</t>
  </si>
  <si>
    <t>Jugador</t>
  </si>
  <si>
    <t>Anys</t>
  </si>
  <si>
    <t>Dias</t>
  </si>
  <si>
    <t>PA</t>
  </si>
  <si>
    <t>Lid</t>
  </si>
  <si>
    <t>Exp</t>
  </si>
  <si>
    <t>Res</t>
  </si>
  <si>
    <t>m90</t>
  </si>
  <si>
    <t>For</t>
  </si>
  <si>
    <t>TSI</t>
  </si>
  <si>
    <t>Sou</t>
  </si>
  <si>
    <t>Hib</t>
  </si>
  <si>
    <t>Po</t>
  </si>
  <si>
    <t>De</t>
  </si>
  <si>
    <t>Cr</t>
  </si>
  <si>
    <t>Ex</t>
  </si>
  <si>
    <t>Ps</t>
  </si>
  <si>
    <t>An</t>
  </si>
  <si>
    <t>NCA</t>
  </si>
  <si>
    <t>PEN</t>
  </si>
  <si>
    <t>BPiA</t>
  </si>
  <si>
    <t>BPiD</t>
  </si>
  <si>
    <t>BPMin</t>
  </si>
  <si>
    <t>BPMax</t>
  </si>
  <si>
    <t>POR</t>
  </si>
  <si>
    <t>#1</t>
  </si>
  <si>
    <t>DEF</t>
  </si>
  <si>
    <t>#8</t>
  </si>
  <si>
    <t>#2</t>
  </si>
  <si>
    <t>#3</t>
  </si>
  <si>
    <t>#13</t>
  </si>
  <si>
    <t>#7</t>
  </si>
  <si>
    <t>#11</t>
  </si>
  <si>
    <t>#10</t>
  </si>
  <si>
    <t>#6</t>
  </si>
  <si>
    <t>#4</t>
  </si>
  <si>
    <t>#12</t>
  </si>
  <si>
    <t>#5</t>
  </si>
  <si>
    <t>#14</t>
  </si>
  <si>
    <t>#9</t>
  </si>
  <si>
    <t>DAV</t>
  </si>
  <si>
    <t>RAP</t>
  </si>
  <si>
    <t>#15</t>
  </si>
  <si>
    <t>BP</t>
  </si>
  <si>
    <t>IHL</t>
  </si>
  <si>
    <t>CMx</t>
  </si>
  <si>
    <t>CMn</t>
  </si>
  <si>
    <t>Sueldo</t>
  </si>
  <si>
    <t>EXT</t>
  </si>
  <si>
    <t>Portero</t>
  </si>
  <si>
    <t>DCNormal</t>
  </si>
  <si>
    <t>DCOff</t>
  </si>
  <si>
    <t>DLNormal</t>
  </si>
  <si>
    <t>DCtW</t>
  </si>
  <si>
    <t>MDEF</t>
  </si>
  <si>
    <t>Mnor</t>
  </si>
  <si>
    <t>EXTDEF</t>
  </si>
  <si>
    <t>EXTOF</t>
  </si>
  <si>
    <t>EHM</t>
  </si>
  <si>
    <t>DD</t>
  </si>
  <si>
    <t>Años</t>
  </si>
  <si>
    <t>ESP</t>
  </si>
  <si>
    <t>FechaCompra</t>
  </si>
  <si>
    <t>FOR</t>
  </si>
  <si>
    <t>XP</t>
  </si>
  <si>
    <t>JUG</t>
  </si>
  <si>
    <t>PAS</t>
  </si>
  <si>
    <t>ANO</t>
  </si>
  <si>
    <t>BPI_A</t>
  </si>
  <si>
    <t>BPI_D</t>
  </si>
  <si>
    <t>DEFLAT</t>
  </si>
  <si>
    <t>DEFCEN</t>
  </si>
  <si>
    <t>MED</t>
  </si>
  <si>
    <t>ATLAT</t>
  </si>
  <si>
    <t>ATCEN</t>
  </si>
  <si>
    <t>Fmin</t>
  </si>
  <si>
    <t>Fmax</t>
  </si>
  <si>
    <t>FID</t>
  </si>
  <si>
    <t>Aceptable</t>
  </si>
  <si>
    <t>Insuficiente</t>
  </si>
  <si>
    <t>Debil</t>
  </si>
  <si>
    <t>Pobre</t>
  </si>
  <si>
    <t>TOTAL</t>
  </si>
  <si>
    <t>COSTE_TEMP</t>
  </si>
  <si>
    <t>Bueno</t>
  </si>
  <si>
    <t>Zona</t>
  </si>
  <si>
    <t>%</t>
  </si>
  <si>
    <t>Def Central</t>
  </si>
  <si>
    <t>Def Lat</t>
  </si>
  <si>
    <t>Medio</t>
  </si>
  <si>
    <t>At Lateral</t>
  </si>
  <si>
    <t>At Central</t>
  </si>
  <si>
    <t>Total</t>
  </si>
  <si>
    <t>Num</t>
  </si>
  <si>
    <t>Nombre</t>
  </si>
  <si>
    <t>HXP</t>
  </si>
  <si>
    <t>JUGMin</t>
  </si>
  <si>
    <t>JUGMax</t>
  </si>
  <si>
    <t>POT</t>
  </si>
  <si>
    <t>Ag</t>
  </si>
  <si>
    <t>Ho</t>
  </si>
  <si>
    <t>%_T</t>
  </si>
  <si>
    <t>Fcompra</t>
  </si>
  <si>
    <t>Ca</t>
  </si>
  <si>
    <t>COMPRA</t>
  </si>
  <si>
    <t>CosteTRA_BUENO</t>
  </si>
  <si>
    <t>COSTETOTAL_BUENO</t>
  </si>
  <si>
    <t>CosteTRA_EX</t>
  </si>
  <si>
    <t>COSTETOTAL_EX</t>
  </si>
  <si>
    <t>Dif</t>
  </si>
  <si>
    <t>LAT</t>
  </si>
  <si>
    <t>po-de</t>
  </si>
  <si>
    <t>de-insif</t>
  </si>
  <si>
    <t>ins-acep</t>
  </si>
  <si>
    <t>ho-po</t>
  </si>
  <si>
    <t>des-ho</t>
  </si>
  <si>
    <t>Primer Nivel</t>
  </si>
  <si>
    <t>Cambio</t>
  </si>
  <si>
    <t>TempMedia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</si>
  <si>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</si>
  <si>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</si>
  <si>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</si>
  <si>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</si>
  <si>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</si>
  <si>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</si>
  <si>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</si>
  <si>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</si>
  <si>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</si>
  <si>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</si>
  <si>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</si>
  <si>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</si>
  <si>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</si>
  <si>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</si>
  <si>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</si>
  <si>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</si>
  <si>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</si>
  <si>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</si>
  <si>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</si>
  <si>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</si>
  <si>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</si>
  <si>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</si>
  <si>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</si>
  <si>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</si>
  <si>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</si>
  <si>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</si>
  <si>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</si>
  <si>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</si>
  <si>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</si>
  <si>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</si>
  <si>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</si>
  <si>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</si>
  <si>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</si>
  <si>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</si>
  <si>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</si>
  <si>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</si>
  <si>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</si>
  <si>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</si>
  <si>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</si>
  <si>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</si>
  <si>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</si>
  <si>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</si>
  <si>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</si>
  <si>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</si>
  <si>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</si>
  <si>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</si>
  <si>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</si>
  <si>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</si>
  <si>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</si>
  <si>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</si>
  <si>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</si>
  <si>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</si>
  <si>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</si>
  <si>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</si>
  <si>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</si>
  <si>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</si>
  <si>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</si>
  <si>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</si>
  <si>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</si>
  <si>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</si>
  <si>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T_Desast</t>
  </si>
  <si>
    <t>Nil</t>
  </si>
  <si>
    <t>T_Des</t>
  </si>
  <si>
    <t>Desastroso</t>
  </si>
  <si>
    <t>Horrible</t>
  </si>
  <si>
    <t>SEM</t>
  </si>
  <si>
    <t>TSI_A</t>
  </si>
  <si>
    <t>#21</t>
  </si>
  <si>
    <t>Enrique Cubas</t>
  </si>
  <si>
    <t>Fernando Gazón</t>
  </si>
  <si>
    <t>IMP</t>
  </si>
  <si>
    <t>HTMS</t>
  </si>
  <si>
    <t>Valeri Gomis</t>
  </si>
  <si>
    <t>#23</t>
  </si>
  <si>
    <t>PS</t>
  </si>
  <si>
    <t>Año</t>
  </si>
  <si>
    <t>Dia</t>
  </si>
  <si>
    <t>E_Po</t>
  </si>
  <si>
    <t>E_De</t>
  </si>
  <si>
    <t>E_Cr</t>
  </si>
  <si>
    <t>E_Ex</t>
  </si>
  <si>
    <t>E_Ps</t>
  </si>
  <si>
    <t>E_An</t>
  </si>
  <si>
    <t>E_PA</t>
  </si>
  <si>
    <t>E_TOTAL</t>
  </si>
  <si>
    <t>E. Cubas</t>
  </si>
  <si>
    <t>V. Gomis</t>
  </si>
  <si>
    <t>J.G. Peñuela</t>
  </si>
  <si>
    <t>#16</t>
  </si>
  <si>
    <t>Defensa</t>
  </si>
  <si>
    <t>Delantero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</si>
  <si>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</si>
  <si>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</si>
  <si>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</si>
  <si>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</si>
  <si>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</si>
  <si>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</si>
  <si>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</si>
  <si>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</si>
  <si>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</si>
  <si>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</si>
  <si>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</si>
  <si>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</si>
  <si>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</si>
  <si>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</si>
  <si>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</si>
  <si>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liderazgo x liderazgo x experiencia</t>
  </si>
  <si>
    <t>Thomas Ruelle</t>
  </si>
  <si>
    <t>Karl-Uwe Mose</t>
  </si>
  <si>
    <t>Werner Mayer</t>
  </si>
  <si>
    <t>Giovanni Bellavite Pellegrini</t>
  </si>
  <si>
    <t>Frederic Ekster</t>
  </si>
  <si>
    <t>Gilad Domb</t>
  </si>
  <si>
    <t xml:space="preserve">功志 (Koji) 森 (Mori) </t>
  </si>
  <si>
    <t>Belmiro Marques Jr.</t>
  </si>
  <si>
    <t>Zoltán Nyilas</t>
  </si>
  <si>
    <t>Radko Kravaev</t>
  </si>
  <si>
    <t>#26</t>
  </si>
  <si>
    <t>CEN</t>
  </si>
  <si>
    <t>Ioannis Avramopoulos</t>
  </si>
  <si>
    <t>Ent</t>
  </si>
  <si>
    <t>Tem</t>
  </si>
  <si>
    <t>INN</t>
  </si>
  <si>
    <t>J. G. Peñuela</t>
  </si>
  <si>
    <t>Alberto Ercilla</t>
  </si>
  <si>
    <t>Will Duffill</t>
  </si>
  <si>
    <t>Francesc Añigas</t>
  </si>
  <si>
    <t>Actualitzacio</t>
  </si>
  <si>
    <t>Millor partit</t>
  </si>
  <si>
    <t>CASA</t>
  </si>
  <si>
    <t>487 HTS</t>
  </si>
  <si>
    <t>FORA</t>
  </si>
  <si>
    <t>Xermade - Vader</t>
  </si>
  <si>
    <t>472 HTS</t>
  </si>
  <si>
    <t>Millor Qualificació</t>
  </si>
  <si>
    <t>Sául Piña</t>
  </si>
  <si>
    <t>14,5*</t>
  </si>
  <si>
    <t>Joãozinho do Mato</t>
  </si>
  <si>
    <t>13*</t>
  </si>
  <si>
    <t>Patrick Werner</t>
  </si>
  <si>
    <t>12,5*</t>
  </si>
  <si>
    <t>Rasheed Da'na</t>
  </si>
  <si>
    <t>12*</t>
  </si>
  <si>
    <t>Brunon Chuda</t>
  </si>
  <si>
    <t>Adam Moss</t>
  </si>
  <si>
    <t>11,5*</t>
  </si>
  <si>
    <t>Kendor Nagiturri</t>
  </si>
  <si>
    <t>11*</t>
  </si>
  <si>
    <t>10,5*</t>
  </si>
  <si>
    <t>Gianfranco Rezza</t>
  </si>
  <si>
    <t>Cornel Boicea</t>
  </si>
  <si>
    <t>Jorge Walter Whitaker</t>
  </si>
  <si>
    <t>Antoine Dupré</t>
  </si>
  <si>
    <t>10*</t>
  </si>
  <si>
    <t>Károly Serfel</t>
  </si>
  <si>
    <t>Gongotzon Ialdebere</t>
  </si>
  <si>
    <t>Aimar Lasalde</t>
  </si>
  <si>
    <t>Ibiur Altxakoa</t>
  </si>
  <si>
    <t>Damián Sala</t>
  </si>
  <si>
    <t>9,5*</t>
  </si>
  <si>
    <t>Emilio Mochelato</t>
  </si>
  <si>
    <t>Pepijn Zwaan</t>
  </si>
  <si>
    <t>Iyad Chaabo</t>
  </si>
  <si>
    <t>Mario Omarini</t>
  </si>
  <si>
    <t>Wicher Ossedrijver</t>
  </si>
  <si>
    <t>Ludwik Mojéscik</t>
  </si>
  <si>
    <t>Jos Pittors</t>
  </si>
  <si>
    <t>Morgan Thomas</t>
  </si>
  <si>
    <t>Nicolai Stentoft</t>
  </si>
  <si>
    <t>Gino van Hoesel</t>
  </si>
  <si>
    <t>Raffaele Sitter</t>
  </si>
  <si>
    <t>Filiciano Becerril</t>
  </si>
  <si>
    <t>Giulio Porcaccianti</t>
  </si>
  <si>
    <t>Dolf Fohringer</t>
  </si>
  <si>
    <t>Rank</t>
  </si>
  <si>
    <t>Més Partits Jugats</t>
  </si>
  <si>
    <t>Pere Beltran</t>
  </si>
  <si>
    <t>Andrin Bärtsch</t>
  </si>
  <si>
    <t>Pasqual Vilar</t>
  </si>
  <si>
    <t>Alex Trantre</t>
  </si>
  <si>
    <t>Leonardo Baltico</t>
  </si>
  <si>
    <t>Arnold Kalckstein</t>
  </si>
  <si>
    <t>Adamantios Fikias</t>
  </si>
  <si>
    <t>Ragip Övgü</t>
  </si>
  <si>
    <t>Malte Neulinger</t>
  </si>
  <si>
    <t>Horacy Dzienis</t>
  </si>
  <si>
    <t>Porteria Imbatuda</t>
  </si>
  <si>
    <t>Jorge Asúa</t>
  </si>
  <si>
    <t>Robert Kavcic</t>
  </si>
  <si>
    <t>Enrique Haro</t>
  </si>
  <si>
    <t>Giuseppe Peirolo</t>
  </si>
  <si>
    <t>Adolfo Vizcaino</t>
  </si>
  <si>
    <t>Ceferino Sava</t>
  </si>
  <si>
    <t>Arnulfo Cuntis</t>
  </si>
  <si>
    <t>Armengol Cols</t>
  </si>
  <si>
    <t>Pieter Pelleboer</t>
  </si>
  <si>
    <t>Sergio Roca</t>
  </si>
  <si>
    <t>Ludvig Andreasson</t>
  </si>
  <si>
    <t>Patrice Saillet</t>
  </si>
  <si>
    <t>Jacek Ceislar</t>
  </si>
  <si>
    <t>Rafael Guiu</t>
  </si>
  <si>
    <t>Alvino Cost</t>
  </si>
  <si>
    <t>Nicolas Vannoorberghe</t>
  </si>
  <si>
    <t>Jacobo Ferrueros</t>
  </si>
  <si>
    <t>Albert Fité</t>
  </si>
  <si>
    <t>Més vegades Capità</t>
  </si>
  <si>
    <t>Fernando Juárez Sierra</t>
  </si>
  <si>
    <t>Co Wolbers</t>
  </si>
  <si>
    <t>Augustin Demaison</t>
  </si>
  <si>
    <t>Christophe Méjean</t>
  </si>
  <si>
    <t>Aleksi Alarotu</t>
  </si>
  <si>
    <t>Manolo Negrín</t>
  </si>
  <si>
    <t>John Chung</t>
  </si>
  <si>
    <t>Jaakko Kalliovaara</t>
  </si>
  <si>
    <t>Melcior Calmet</t>
  </si>
  <si>
    <t>Nicolae Hornet</t>
  </si>
  <si>
    <t>Pablo Goenaga</t>
  </si>
  <si>
    <t>#36</t>
  </si>
  <si>
    <t>W. Duffill</t>
  </si>
  <si>
    <t>F. Añigas</t>
  </si>
  <si>
    <t>IMP/RAP</t>
  </si>
  <si>
    <t>Filip Antonijevic</t>
  </si>
  <si>
    <t>Namazbek Baktygazyuly</t>
  </si>
  <si>
    <t>Juan Gabriel de Minaya</t>
  </si>
  <si>
    <t>#38</t>
  </si>
  <si>
    <t>Berto Abandero</t>
  </si>
  <si>
    <t>Miguel Fernández</t>
  </si>
  <si>
    <t>M. Fernandez</t>
  </si>
  <si>
    <t>B. Abandero</t>
  </si>
  <si>
    <t>#25</t>
  </si>
  <si>
    <t>Iván Real Figueroa</t>
  </si>
  <si>
    <t>I. R. Figueroa</t>
  </si>
  <si>
    <t>Fabien Fabre</t>
  </si>
  <si>
    <t>Emilio Rojas</t>
  </si>
  <si>
    <t>Guillermo Pedrajas</t>
  </si>
  <si>
    <t>G. Pedrajas</t>
  </si>
  <si>
    <t>#19</t>
  </si>
  <si>
    <t>Cosme Fonteboa</t>
  </si>
  <si>
    <t>C. Fonteboa</t>
  </si>
  <si>
    <t>Inners</t>
  </si>
  <si>
    <t>Juan Garcia Peñuela</t>
  </si>
  <si>
    <t>Wil Duffill</t>
  </si>
  <si>
    <t>Eckardt Hagerling</t>
  </si>
  <si>
    <t>Vader - Rayitos</t>
  </si>
  <si>
    <t>Fabian Fabre</t>
  </si>
  <si>
    <t>David Garcia-Spiess</t>
  </si>
  <si>
    <t>Leo Hilpinen</t>
  </si>
  <si>
    <t>EXT-LAT</t>
  </si>
  <si>
    <t>h34</t>
  </si>
  <si>
    <t>N_CA</t>
  </si>
  <si>
    <t>Defensas</t>
  </si>
  <si>
    <t>F.Actu</t>
  </si>
  <si>
    <t>#</t>
  </si>
  <si>
    <t>R16,6%</t>
  </si>
  <si>
    <t>ChL</t>
  </si>
  <si>
    <t>WBN</t>
  </si>
  <si>
    <t>EXN</t>
  </si>
  <si>
    <t>Dhl</t>
  </si>
  <si>
    <t>Fecha</t>
  </si>
  <si>
    <t>Local</t>
  </si>
  <si>
    <t>Visitante</t>
  </si>
  <si>
    <t>OcasionesFalladas</t>
  </si>
  <si>
    <t>CAs</t>
  </si>
  <si>
    <t>%_Conversión</t>
  </si>
  <si>
    <t>NivelTactica</t>
  </si>
  <si>
    <t>NivelMedioVader</t>
  </si>
  <si>
    <t>V@der SC</t>
  </si>
  <si>
    <t>John Rebus F.c</t>
  </si>
  <si>
    <t>Wisla Skawina</t>
  </si>
  <si>
    <t>Ornitorrincos Purpura</t>
  </si>
  <si>
    <t>VINATIKA FC 2</t>
  </si>
  <si>
    <t>Basil444</t>
  </si>
  <si>
    <t>konary</t>
  </si>
  <si>
    <t>USC Olaf Football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</si>
  <si>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</si>
  <si>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</si>
  <si>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</si>
  <si>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</si>
  <si>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</si>
  <si>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</si>
  <si>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</si>
  <si>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</si>
  <si>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</si>
  <si>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Insulae Atlantis</t>
  </si>
  <si>
    <t>Bar Karakas C.F.</t>
  </si>
  <si>
    <t>Dzsoni Valkur</t>
  </si>
  <si>
    <t>COMPLETAMENTE ENTRENADOS!</t>
  </si>
  <si>
    <t>Edad</t>
  </si>
  <si>
    <t>Esp</t>
  </si>
  <si>
    <t>Asc</t>
  </si>
  <si>
    <t>Promoción</t>
  </si>
  <si>
    <t>Gen</t>
  </si>
  <si>
    <t>u20</t>
  </si>
  <si>
    <t>Pot</t>
  </si>
  <si>
    <t>HAB</t>
  </si>
  <si>
    <t>Cap</t>
  </si>
  <si>
    <t>PR</t>
  </si>
  <si>
    <t>DL</t>
  </si>
  <si>
    <t>DC</t>
  </si>
  <si>
    <t>In</t>
  </si>
  <si>
    <t>ExO</t>
  </si>
  <si>
    <t>DV</t>
  </si>
  <si>
    <t>Atributs</t>
  </si>
  <si>
    <t>Marco Antonio Corvinos</t>
  </si>
  <si>
    <t>ns/nc</t>
  </si>
  <si>
    <t>FC</t>
  </si>
  <si>
    <t>Osián Mágoa</t>
  </si>
  <si>
    <t>FC+2</t>
  </si>
  <si>
    <t>Agradable i Popular</t>
  </si>
  <si>
    <t>IMPORTANTES</t>
  </si>
  <si>
    <t>Info</t>
  </si>
  <si>
    <t>Habilidades</t>
  </si>
  <si>
    <t>Mejor Partido</t>
  </si>
  <si>
    <t>Marc Marsal</t>
  </si>
  <si>
    <t>no</t>
  </si>
  <si>
    <t>Carlos Poncela</t>
  </si>
  <si>
    <t>Insuf</t>
  </si>
  <si>
    <t>Rafael Veigas</t>
  </si>
  <si>
    <t>TEC</t>
  </si>
  <si>
    <t>FF</t>
  </si>
  <si>
    <t>Paulo Endara</t>
  </si>
  <si>
    <t>Polèmic</t>
  </si>
  <si>
    <t>RELEVANTES</t>
  </si>
  <si>
    <t>Carlos Picabea</t>
  </si>
  <si>
    <t>David Inoso</t>
  </si>
  <si>
    <t>Erramu Errementaritegi</t>
  </si>
  <si>
    <t>David Pallicera</t>
  </si>
  <si>
    <t>Ibai Lanzas Manzanares</t>
  </si>
  <si>
    <t>Javier Buelna</t>
  </si>
  <si>
    <t>Acep</t>
  </si>
  <si>
    <t>#20</t>
  </si>
  <si>
    <t>Heren Jaukikoa</t>
  </si>
  <si>
    <t>Ramon Iñiguez Lafuente</t>
  </si>
  <si>
    <t>Babil Oruesagasti</t>
  </si>
  <si>
    <t>debil</t>
  </si>
  <si>
    <t>Noel Cueto</t>
  </si>
  <si>
    <t>Actualización</t>
  </si>
  <si>
    <t>PROMOCIONADOS</t>
  </si>
  <si>
    <t>Pot P</t>
  </si>
  <si>
    <t>Pot Def</t>
  </si>
  <si>
    <t>Pot Jug</t>
  </si>
  <si>
    <t>Pot Lat</t>
  </si>
  <si>
    <t>Pot Ano</t>
  </si>
  <si>
    <t>Pot Pas</t>
  </si>
  <si>
    <t>P_BP</t>
  </si>
  <si>
    <t>Servulo Matute Suso</t>
  </si>
  <si>
    <t>Raul Fonoll</t>
  </si>
  <si>
    <t>Sergio Lopez</t>
  </si>
  <si>
    <t>Aimar Koskarratza</t>
  </si>
  <si>
    <t>Cab</t>
  </si>
  <si>
    <t>Pancracio Ribadulla</t>
  </si>
  <si>
    <t>Emilio Olmos</t>
  </si>
  <si>
    <t>Miquel Barbarie</t>
  </si>
  <si>
    <t>Imp</t>
  </si>
  <si>
    <t>Faustino Manene</t>
  </si>
  <si>
    <t>Manuel Garces de Marcilla</t>
  </si>
  <si>
    <t>Rap</t>
  </si>
  <si>
    <t>Michael Healy</t>
  </si>
  <si>
    <t>Sergio Martin</t>
  </si>
  <si>
    <t>Diego Gomez de la Torre</t>
  </si>
  <si>
    <t>Emilio Cassana</t>
  </si>
  <si>
    <t>Gundar Bugarin</t>
  </si>
  <si>
    <t>Guillermo Imperial</t>
  </si>
  <si>
    <t>José Caramillo</t>
  </si>
  <si>
    <t>Tec</t>
  </si>
  <si>
    <t>Julio Santolalla</t>
  </si>
  <si>
    <t>Juan Gabriel</t>
  </si>
  <si>
    <t>Filip Balkanski</t>
  </si>
  <si>
    <t>Ricardo Corn</t>
  </si>
  <si>
    <t>Noelio Sevilla</t>
  </si>
  <si>
    <t>David Subirà</t>
  </si>
  <si>
    <t>Avelino Paredes</t>
  </si>
  <si>
    <t>Tome Baldin</t>
  </si>
  <si>
    <t>Abdennour Zoheir</t>
  </si>
  <si>
    <t>Francisco J. Maceda</t>
  </si>
  <si>
    <t>Milen Manoilov</t>
  </si>
  <si>
    <t>David Cabasés</t>
  </si>
  <si>
    <t>Ja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</si>
  <si>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</si>
  <si>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</si>
  <si>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</si>
  <si>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</si>
  <si>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</si>
  <si>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</si>
  <si>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</si>
  <si>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</si>
  <si>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</si>
  <si>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</si>
  <si>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</si>
  <si>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</si>
  <si>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</si>
  <si>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</si>
  <si>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</si>
  <si>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</si>
  <si>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</si>
  <si>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</si>
  <si>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</si>
  <si>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</si>
  <si>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</si>
  <si>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</si>
  <si>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</si>
  <si>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</si>
  <si>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</si>
  <si>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</si>
  <si>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</si>
  <si>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</si>
  <si>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</si>
  <si>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</si>
  <si>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</si>
  <si>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</si>
  <si>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</si>
  <si>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</si>
  <si>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</si>
  <si>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</si>
  <si>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</si>
  <si>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</si>
  <si>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</si>
  <si>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</si>
  <si>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</si>
  <si>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</si>
  <si>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</si>
  <si>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</si>
  <si>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</si>
  <si>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</si>
  <si>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</si>
  <si>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</si>
  <si>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</si>
  <si>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</si>
  <si>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</si>
  <si>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</si>
  <si>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</si>
  <si>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</si>
  <si>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</si>
  <si>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</si>
  <si>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</si>
  <si>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</si>
  <si>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</si>
  <si>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</si>
  <si>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</si>
  <si>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</si>
  <si>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</si>
  <si>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</si>
  <si>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</si>
  <si>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</si>
  <si>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</si>
  <si>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</si>
  <si>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</si>
  <si>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</si>
  <si>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</si>
  <si>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</si>
  <si>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</si>
  <si>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</si>
  <si>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</si>
  <si>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</si>
  <si>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</si>
  <si>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</si>
  <si>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</si>
  <si>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</si>
  <si>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</si>
  <si>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</si>
  <si>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</si>
  <si>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</si>
  <si>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</si>
  <si>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</si>
  <si>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</si>
  <si>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</si>
  <si>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</si>
  <si>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</si>
  <si>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</si>
  <si>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</si>
  <si>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</si>
  <si>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</si>
  <si>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</si>
  <si>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</si>
  <si>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</si>
  <si>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</si>
  <si>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</si>
  <si>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</si>
  <si>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</si>
  <si>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</si>
  <si>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</si>
  <si>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</si>
  <si>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</si>
  <si>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</si>
  <si>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</si>
  <si>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</si>
  <si>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</si>
  <si>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</si>
  <si>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</si>
  <si>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</si>
  <si>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</si>
  <si>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</si>
  <si>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</si>
  <si>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</si>
  <si>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</si>
  <si>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</si>
  <si>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</si>
  <si>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</si>
  <si>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</si>
  <si>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</si>
  <si>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</si>
  <si>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</si>
  <si>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</si>
  <si>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</si>
  <si>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</si>
  <si>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</si>
  <si>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</si>
  <si>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</si>
  <si>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</si>
  <si>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</si>
  <si>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</si>
  <si>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</si>
  <si>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</si>
  <si>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</si>
  <si>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</si>
  <si>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</si>
  <si>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</si>
  <si>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</si>
  <si>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</si>
  <si>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</si>
  <si>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</si>
  <si>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</si>
  <si>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</si>
  <si>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</si>
  <si>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</si>
  <si>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</si>
  <si>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</si>
  <si>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</si>
  <si>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</si>
  <si>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</si>
  <si>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</si>
  <si>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</si>
  <si>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</si>
  <si>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</si>
  <si>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</si>
  <si>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</si>
  <si>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</si>
  <si>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</si>
  <si>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</si>
  <si>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</si>
  <si>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</si>
  <si>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</si>
  <si>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</si>
  <si>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</si>
  <si>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</si>
  <si>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</si>
  <si>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23(15)</t>
  </si>
  <si>
    <t>Cash Final</t>
  </si>
  <si>
    <t>Reservas Final</t>
  </si>
  <si>
    <t>Joaquin Romero</t>
  </si>
  <si>
    <t>Fc De Rositas</t>
  </si>
  <si>
    <t>23(19)</t>
  </si>
  <si>
    <t>23(22)</t>
  </si>
  <si>
    <t>Ambrosio Solares</t>
  </si>
  <si>
    <t>The Pyramid Mystery</t>
  </si>
  <si>
    <t>S.H.M.Piast Gliwice</t>
  </si>
  <si>
    <t>Etiquetas de fila</t>
  </si>
  <si>
    <t>Total general</t>
  </si>
  <si>
    <t>Suma de OcasionesFalladas</t>
  </si>
  <si>
    <t>Suma de CAs</t>
  </si>
  <si>
    <t>Lobos del Viento</t>
  </si>
  <si>
    <t>US Women National Tema</t>
  </si>
  <si>
    <t>I treni di Tozeur</t>
  </si>
  <si>
    <t>Mendibil</t>
  </si>
  <si>
    <t>partidos</t>
  </si>
  <si>
    <t>23(36)</t>
  </si>
  <si>
    <t>23(40)</t>
  </si>
  <si>
    <t>Fernando de Rojas</t>
  </si>
  <si>
    <t>FC BvB</t>
  </si>
  <si>
    <t>23(46)</t>
  </si>
  <si>
    <t>Prodigy Sucany</t>
  </si>
  <si>
    <t>Ulls de Gat Mesquer</t>
  </si>
  <si>
    <t>iRatlle</t>
  </si>
  <si>
    <t>Refucilo CF</t>
  </si>
  <si>
    <t>Hakom</t>
  </si>
  <si>
    <t>Splug Team</t>
  </si>
  <si>
    <t>Kersky</t>
  </si>
  <si>
    <t>Santa Barbosa Aludosa</t>
  </si>
  <si>
    <t>Menkoko C.F.</t>
  </si>
  <si>
    <t>Tuviejahuelemal</t>
  </si>
  <si>
    <t>Wing Men</t>
  </si>
  <si>
    <t>Los amiguitos de Don Pimpon</t>
  </si>
  <si>
    <t>Juan Castaño</t>
  </si>
  <si>
    <t>Precio</t>
  </si>
  <si>
    <t>Gonzalo Ayza</t>
  </si>
  <si>
    <t>Joan Josep Carull</t>
  </si>
  <si>
    <t>Alejandro Ayelo</t>
  </si>
  <si>
    <t>Ignacio Alemparte Gallardo</t>
  </si>
  <si>
    <t>Abdelhakim Temsamani</t>
  </si>
  <si>
    <t>imp</t>
  </si>
  <si>
    <t>EPOR</t>
  </si>
  <si>
    <t>EDEF</t>
  </si>
  <si>
    <t>EPAS</t>
  </si>
  <si>
    <t>EBP</t>
  </si>
  <si>
    <t>Francisco Granados</t>
  </si>
  <si>
    <t>Pablo Soto</t>
  </si>
  <si>
    <t>Nazir Zaydi</t>
  </si>
  <si>
    <t>Roman Makiela</t>
  </si>
  <si>
    <t>Stanisław Zdankiewicz</t>
  </si>
  <si>
    <t>23(67)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</si>
</sst>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\ _€_-;\-* #,##0\ _€_-;_-* &quot;-&quot;??\ _€_-;_-@_-"/>
    <numFmt numFmtId="166" formatCode="_-* #,##0.0\ _€_-;\-* #,##0.0\ _€_-;_-* &quot;-&quot;??\ _€_-;_-@_-"/>
    <numFmt numFmtId="167" formatCode="0.000"/>
    <numFmt numFmtId="168" formatCode="_-* #,##0\ &quot;€&quot;_-;\-* #,##0\ &quot;€&quot;_-;_-* &quot;-&quot;??\ &quot;€&quot;_-;_-@_-"/>
    <numFmt numFmtId="169" formatCode="0.0%"/>
    <numFmt numFmtId="170" formatCode="_-* #,##0.0\ &quot;€&quot;_-;\-* #,##0.0\ &quot;€&quot;_-;_-* &quot;-&quot;??\ &quot;€&quot;_-;_-@_-"/>
    <numFmt numFmtId="171" formatCode="dd/mmm"/>
    <numFmt numFmtId="172" formatCode="_-* #,##0\ [$€-C0A]_-;\-* #,##0\ [$€-C0A]_-;_-* &quot;-&quot;??\ [$€-C0A]_-;_-@_-"/>
    <numFmt numFmtId="173" formatCode="_-* #,##0\ [$€-C0A]_-;\-* #,##0\ [$€-C0A]_-;_-* \-??\ [$€-C0A]_-;_-@_-"/>
    <numFmt numFmtId="174" formatCode="_-* #,##0.00\ [$€-C0A]_-;\-* #,##0.00\ [$€-C0A]_-;_-* \-??\ [$€-C0A]_-;_-@_-"/>
    <numFmt numFmtId="175" formatCode="_-* #,##0\ _€_-;\-* #,##0\ _€_-;_-* \-??\ _€_-;_-@_-"/>
    <numFmt numFmtId="176" formatCode="_-* #,##0&quot; €&quot;_-;\-* #,##0&quot; €&quot;_-;_-* \-??&quot; €&quot;_-;_-@_-"/>
  </numFmts>
  <fonts count="8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i/>
      <u/>
      <sz val="8"/>
      <color theme="0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b/>
      <sz val="8"/>
      <color theme="0"/>
      <name val="Verdana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Verdana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11"/>
      <color rgb="FFFF0000"/>
      <name val="Calibri"/>
      <family val="2"/>
      <scheme val="minor"/>
    </font>
    <font>
      <b/>
      <sz val="8"/>
      <color theme="9" tint="-0.249977111117893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indexed="8"/>
      <name val="Calibri"/>
      <family val="2"/>
      <charset val="1"/>
    </font>
    <font>
      <b/>
      <u/>
      <sz val="11"/>
      <color theme="0"/>
      <name val="Arial"/>
      <family val="2"/>
    </font>
    <font>
      <b/>
      <u/>
      <sz val="10"/>
      <color theme="0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i/>
      <u/>
      <sz val="1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11"/>
      <name val="Arial"/>
      <family val="2"/>
    </font>
    <font>
      <b/>
      <i/>
      <u/>
      <sz val="11"/>
      <name val="Arial"/>
      <family val="2"/>
    </font>
    <font>
      <sz val="11"/>
      <color rgb="FFFF0000"/>
      <name val="Arial"/>
      <family val="2"/>
    </font>
    <font>
      <sz val="10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0"/>
      <name val="Arial"/>
      <family val="2"/>
    </font>
    <font>
      <sz val="10"/>
      <color indexed="8"/>
      <name val="Calibri"/>
      <family val="2"/>
      <charset val="1"/>
    </font>
    <font>
      <sz val="7.5"/>
      <color indexed="8"/>
      <name val="Arial"/>
      <family val="2"/>
    </font>
    <font>
      <i/>
      <sz val="8"/>
      <color indexed="8"/>
      <name val="Arial"/>
      <family val="2"/>
    </font>
    <font>
      <b/>
      <u/>
      <sz val="11"/>
      <color theme="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i/>
      <u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b/>
      <i/>
      <u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i/>
      <u/>
      <sz val="11"/>
      <name val="Calibri"/>
      <family val="2"/>
    </font>
    <font>
      <b/>
      <i/>
      <u/>
      <sz val="11"/>
      <color rgb="FFFF0000"/>
      <name val="Arial"/>
      <family val="2"/>
    </font>
    <font>
      <sz val="11"/>
      <color indexed="10"/>
      <name val="Arial"/>
      <family val="2"/>
    </font>
    <font>
      <b/>
      <sz val="11"/>
      <color rgb="FFFF0000"/>
      <name val="Arial"/>
      <family val="2"/>
    </font>
    <font>
      <b/>
      <u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rgb="FF548235"/>
      <name val="Calibri"/>
      <family val="2"/>
      <charset val="1"/>
    </font>
    <font>
      <b/>
      <sz val="11"/>
      <color rgb="FF385724"/>
      <name val="Calibri"/>
      <family val="2"/>
      <charset val="1"/>
    </font>
    <font>
      <sz val="8"/>
      <color rgb="FFFF0000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55"/>
      </patternFill>
    </fill>
    <fill>
      <patternFill patternType="solid">
        <fgColor indexed="50"/>
        <bgColor indexed="55"/>
      </patternFill>
    </fill>
    <fill>
      <patternFill patternType="solid">
        <fgColor rgb="FF00B050"/>
        <bgColor indexed="45"/>
      </patternFill>
    </fill>
    <fill>
      <patternFill patternType="solid">
        <fgColor rgb="FF00B050"/>
        <bgColor indexed="46"/>
      </patternFill>
    </fill>
    <fill>
      <patternFill patternType="solid">
        <fgColor rgb="FF00B050"/>
        <bgColor indexed="41"/>
      </patternFill>
    </fill>
    <fill>
      <patternFill patternType="solid">
        <fgColor theme="3" tint="0.79998168889431442"/>
        <bgColor indexed="55"/>
      </patternFill>
    </fill>
    <fill>
      <patternFill patternType="solid">
        <fgColor theme="5" tint="-0.249977111117893"/>
        <bgColor indexed="45"/>
      </patternFill>
    </fill>
    <fill>
      <patternFill patternType="solid">
        <fgColor theme="5" tint="-0.249977111117893"/>
        <bgColor indexed="46"/>
      </patternFill>
    </fill>
    <fill>
      <patternFill patternType="solid">
        <fgColor theme="5" tint="-0.249977111117893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45"/>
      </patternFill>
    </fill>
    <fill>
      <patternFill patternType="solid">
        <fgColor theme="1"/>
        <bgColor indexed="46"/>
      </patternFill>
    </fill>
    <fill>
      <patternFill patternType="solid">
        <fgColor theme="1"/>
        <bgColor indexed="41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FFEB9C"/>
      </patternFill>
    </fill>
    <fill>
      <patternFill patternType="solid">
        <fgColor rgb="FFFFE699"/>
        <b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rgb="FF000080"/>
      </patternFill>
    </fill>
    <fill>
      <patternFill patternType="solid">
        <fgColor rgb="FF000000"/>
        <bgColor rgb="FF000080"/>
      </patternFill>
    </fill>
    <fill>
      <patternFill patternType="solid">
        <fgColor rgb="FFDAE3F3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B4C7E7"/>
      </patternFill>
    </fill>
    <fill>
      <patternFill patternType="solid">
        <fgColor rgb="FFF8CBAD"/>
        <b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479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166" fontId="5" fillId="3" borderId="1" xfId="1" applyNumberFormat="1" applyFont="1" applyFill="1" applyBorder="1" applyAlignment="1">
      <alignment horizontal="right" vertical="center"/>
    </xf>
    <xf numFmtId="165" fontId="5" fillId="3" borderId="1" xfId="1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166" fontId="10" fillId="0" borderId="1" xfId="1" applyNumberFormat="1" applyFont="1" applyBorder="1" applyAlignment="1">
      <alignment horizontal="center"/>
    </xf>
    <xf numFmtId="0" fontId="0" fillId="0" borderId="1" xfId="0" applyFont="1" applyBorder="1"/>
    <xf numFmtId="16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2" fontId="0" fillId="0" borderId="0" xfId="0" applyNumberFormat="1"/>
    <xf numFmtId="165" fontId="13" fillId="8" borderId="0" xfId="1" applyNumberFormat="1" applyFont="1" applyFill="1"/>
    <xf numFmtId="164" fontId="0" fillId="0" borderId="0" xfId="0" applyNumberFormat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9" borderId="0" xfId="0" applyFont="1" applyFill="1"/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2" borderId="0" xfId="0" applyFont="1" applyFill="1"/>
    <xf numFmtId="0" fontId="15" fillId="11" borderId="0" xfId="0" applyFon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/>
    <xf numFmtId="168" fontId="0" fillId="0" borderId="0" xfId="4" applyNumberFormat="1" applyFont="1"/>
    <xf numFmtId="0" fontId="4" fillId="0" borderId="0" xfId="0" applyFont="1"/>
    <xf numFmtId="0" fontId="0" fillId="0" borderId="0" xfId="0" applyFill="1"/>
    <xf numFmtId="0" fontId="16" fillId="16" borderId="3" xfId="0" applyFont="1" applyFill="1" applyBorder="1" applyAlignment="1">
      <alignment horizontal="center"/>
    </xf>
    <xf numFmtId="0" fontId="17" fillId="15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5" fillId="9" borderId="0" xfId="0" applyFont="1" applyFill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67" fontId="20" fillId="1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9" fontId="0" fillId="0" borderId="0" xfId="2" applyFont="1"/>
    <xf numFmtId="169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43" fontId="10" fillId="0" borderId="1" xfId="1" applyNumberFormat="1" applyFont="1" applyBorder="1" applyAlignment="1">
      <alignment horizontal="center"/>
    </xf>
    <xf numFmtId="2" fontId="9" fillId="0" borderId="1" xfId="0" applyNumberFormat="1" applyFont="1" applyBorder="1"/>
    <xf numFmtId="165" fontId="0" fillId="0" borderId="0" xfId="1" applyNumberFormat="1" applyFont="1"/>
    <xf numFmtId="9" fontId="5" fillId="3" borderId="1" xfId="2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166" fontId="0" fillId="0" borderId="0" xfId="1" applyNumberFormat="1" applyFont="1" applyFill="1" applyBorder="1"/>
    <xf numFmtId="166" fontId="0" fillId="0" borderId="0" xfId="0" applyNumberFormat="1"/>
    <xf numFmtId="170" fontId="0" fillId="0" borderId="0" xfId="4" applyNumberFormat="1" applyFont="1"/>
    <xf numFmtId="0" fontId="22" fillId="0" borderId="0" xfId="0" applyFont="1"/>
    <xf numFmtId="0" fontId="23" fillId="0" borderId="0" xfId="0" applyFont="1"/>
    <xf numFmtId="0" fontId="0" fillId="0" borderId="0" xfId="0" applyAlignment="1"/>
    <xf numFmtId="2" fontId="13" fillId="0" borderId="0" xfId="0" applyNumberFormat="1" applyFont="1"/>
    <xf numFmtId="0" fontId="26" fillId="18" borderId="1" xfId="0" applyFont="1" applyFill="1" applyBorder="1" applyAlignment="1">
      <alignment horizontal="center" vertical="top" wrapText="1"/>
    </xf>
    <xf numFmtId="0" fontId="27" fillId="18" borderId="1" xfId="0" applyFont="1" applyFill="1" applyBorder="1" applyAlignment="1">
      <alignment horizontal="center" vertical="top" wrapText="1"/>
    </xf>
    <xf numFmtId="0" fontId="26" fillId="19" borderId="1" xfId="0" applyFont="1" applyFill="1" applyBorder="1" applyAlignment="1">
      <alignment horizontal="center" vertical="top" wrapText="1"/>
    </xf>
    <xf numFmtId="0" fontId="27" fillId="19" borderId="1" xfId="0" applyFont="1" applyFill="1" applyBorder="1" applyAlignment="1">
      <alignment horizontal="center" vertical="top" wrapText="1"/>
    </xf>
    <xf numFmtId="168" fontId="0" fillId="16" borderId="0" xfId="4" applyNumberFormat="1" applyFont="1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" fontId="13" fillId="0" borderId="0" xfId="0" applyNumberFormat="1" applyFont="1"/>
    <xf numFmtId="0" fontId="0" fillId="20" borderId="1" xfId="0" applyFill="1" applyBorder="1"/>
    <xf numFmtId="0" fontId="0" fillId="21" borderId="1" xfId="0" applyFill="1" applyBorder="1"/>
    <xf numFmtId="0" fontId="0" fillId="15" borderId="1" xfId="0" applyFill="1" applyBorder="1"/>
    <xf numFmtId="0" fontId="21" fillId="20" borderId="1" xfId="0" applyFont="1" applyFill="1" applyBorder="1" applyAlignment="1">
      <alignment horizontal="center"/>
    </xf>
    <xf numFmtId="0" fontId="21" fillId="21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21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2" fontId="21" fillId="0" borderId="1" xfId="0" applyNumberFormat="1" applyFont="1" applyFill="1" applyBorder="1" applyAlignment="1">
      <alignment horizontal="center"/>
    </xf>
    <xf numFmtId="0" fontId="27" fillId="19" borderId="0" xfId="0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29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16" borderId="0" xfId="0" applyFont="1" applyFill="1"/>
    <xf numFmtId="0" fontId="3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22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Fill="1" applyAlignment="1">
      <alignment horizontal="right"/>
    </xf>
    <xf numFmtId="0" fontId="0" fillId="2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3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22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30" fillId="2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15" borderId="0" xfId="0" applyFont="1" applyFill="1"/>
    <xf numFmtId="0" fontId="13" fillId="15" borderId="0" xfId="0" applyFont="1" applyFill="1" applyAlignment="1">
      <alignment horizontal="center"/>
    </xf>
    <xf numFmtId="164" fontId="17" fillId="0" borderId="0" xfId="0" applyNumberFormat="1" applyFont="1"/>
    <xf numFmtId="0" fontId="28" fillId="23" borderId="0" xfId="0" applyFont="1" applyFill="1"/>
    <xf numFmtId="0" fontId="28" fillId="23" borderId="0" xfId="0" applyFont="1" applyFill="1" applyAlignment="1">
      <alignment horizontal="center"/>
    </xf>
    <xf numFmtId="43" fontId="1" fillId="0" borderId="0" xfId="1" applyFont="1" applyAlignment="1">
      <alignment horizontal="center"/>
    </xf>
    <xf numFmtId="167" fontId="13" fillId="0" borderId="0" xfId="0" applyNumberFormat="1" applyFont="1" applyAlignment="1">
      <alignment horizontal="center"/>
    </xf>
    <xf numFmtId="9" fontId="6" fillId="5" borderId="1" xfId="0" applyNumberFormat="1" applyFont="1" applyFill="1" applyBorder="1" applyAlignment="1">
      <alignment horizontal="center" vertical="center"/>
    </xf>
    <xf numFmtId="9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22" borderId="1" xfId="0" applyFont="1" applyFill="1" applyBorder="1"/>
    <xf numFmtId="167" fontId="0" fillId="0" borderId="0" xfId="0" applyNumberFormat="1" applyAlignment="1">
      <alignment horizontal="center"/>
    </xf>
    <xf numFmtId="1" fontId="8" fillId="0" borderId="1" xfId="0" applyNumberFormat="1" applyFont="1" applyFill="1" applyBorder="1"/>
    <xf numFmtId="9" fontId="6" fillId="13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32" fillId="0" borderId="0" xfId="3" applyFont="1" applyAlignment="1">
      <alignment horizontal="left"/>
    </xf>
    <xf numFmtId="0" fontId="33" fillId="24" borderId="0" xfId="3" applyFont="1" applyFill="1" applyBorder="1" applyAlignment="1"/>
    <xf numFmtId="0" fontId="33" fillId="24" borderId="0" xfId="3" applyFont="1" applyFill="1" applyBorder="1" applyAlignment="1">
      <alignment horizontal="center"/>
    </xf>
    <xf numFmtId="0" fontId="34" fillId="24" borderId="0" xfId="3" applyFont="1" applyFill="1" applyBorder="1" applyAlignment="1">
      <alignment horizontal="center"/>
    </xf>
    <xf numFmtId="0" fontId="34" fillId="24" borderId="0" xfId="3" applyFont="1" applyFill="1" applyBorder="1" applyAlignment="1"/>
    <xf numFmtId="0" fontId="35" fillId="0" borderId="0" xfId="3" applyFont="1"/>
    <xf numFmtId="0" fontId="36" fillId="24" borderId="0" xfId="3" applyFont="1" applyFill="1" applyBorder="1" applyAlignment="1">
      <alignment horizontal="left"/>
    </xf>
    <xf numFmtId="0" fontId="36" fillId="24" borderId="0" xfId="3" applyFont="1" applyFill="1" applyBorder="1" applyAlignment="1">
      <alignment horizontal="center"/>
    </xf>
    <xf numFmtId="0" fontId="37" fillId="24" borderId="0" xfId="3" applyFont="1" applyFill="1" applyBorder="1" applyAlignment="1">
      <alignment horizontal="center"/>
    </xf>
    <xf numFmtId="0" fontId="36" fillId="25" borderId="0" xfId="3" applyFont="1" applyFill="1" applyBorder="1" applyAlignment="1">
      <alignment horizontal="left"/>
    </xf>
    <xf numFmtId="0" fontId="36" fillId="25" borderId="0" xfId="3" applyFont="1" applyFill="1" applyBorder="1" applyAlignment="1">
      <alignment horizontal="center"/>
    </xf>
    <xf numFmtId="0" fontId="37" fillId="24" borderId="0" xfId="3" applyFont="1" applyFill="1" applyBorder="1" applyAlignment="1">
      <alignment horizontal="left"/>
    </xf>
    <xf numFmtId="0" fontId="2" fillId="0" borderId="0" xfId="3"/>
    <xf numFmtId="0" fontId="38" fillId="4" borderId="0" xfId="3" applyFont="1" applyFill="1" applyBorder="1" applyAlignment="1">
      <alignment horizontal="right"/>
    </xf>
    <xf numFmtId="0" fontId="39" fillId="0" borderId="0" xfId="3" applyFont="1" applyBorder="1"/>
    <xf numFmtId="1" fontId="39" fillId="0" borderId="0" xfId="3" applyNumberFormat="1" applyFont="1" applyFill="1" applyBorder="1" applyAlignment="1">
      <alignment horizontal="right"/>
    </xf>
    <xf numFmtId="0" fontId="40" fillId="0" borderId="0" xfId="3" applyFont="1" applyFill="1" applyBorder="1" applyAlignment="1">
      <alignment horizontal="center"/>
    </xf>
    <xf numFmtId="1" fontId="41" fillId="0" borderId="0" xfId="3" applyNumberFormat="1" applyFont="1" applyBorder="1" applyAlignment="1">
      <alignment horizontal="right"/>
    </xf>
    <xf numFmtId="14" fontId="42" fillId="0" borderId="0" xfId="3" applyNumberFormat="1" applyFont="1" applyFill="1" applyBorder="1" applyAlignment="1">
      <alignment horizontal="center"/>
    </xf>
    <xf numFmtId="0" fontId="42" fillId="0" borderId="0" xfId="3" applyFont="1" applyBorder="1" applyAlignment="1">
      <alignment horizontal="center"/>
    </xf>
    <xf numFmtId="0" fontId="39" fillId="15" borderId="0" xfId="3" applyFont="1" applyFill="1" applyAlignment="1">
      <alignment horizontal="center"/>
    </xf>
    <xf numFmtId="164" fontId="42" fillId="26" borderId="0" xfId="3" applyNumberFormat="1" applyFont="1" applyFill="1" applyBorder="1" applyAlignment="1">
      <alignment horizontal="center"/>
    </xf>
    <xf numFmtId="2" fontId="43" fillId="26" borderId="0" xfId="3" applyNumberFormat="1" applyFont="1" applyFill="1" applyBorder="1" applyAlignment="1">
      <alignment horizontal="right"/>
    </xf>
    <xf numFmtId="2" fontId="42" fillId="26" borderId="0" xfId="3" applyNumberFormat="1" applyFont="1" applyFill="1" applyBorder="1" applyAlignment="1">
      <alignment horizontal="right"/>
    </xf>
    <xf numFmtId="164" fontId="44" fillId="26" borderId="0" xfId="3" applyNumberFormat="1" applyFont="1" applyFill="1" applyBorder="1" applyAlignment="1">
      <alignment horizontal="center"/>
    </xf>
    <xf numFmtId="2" fontId="44" fillId="26" borderId="0" xfId="3" applyNumberFormat="1" applyFont="1" applyFill="1" applyBorder="1" applyAlignment="1">
      <alignment horizontal="right"/>
    </xf>
    <xf numFmtId="2" fontId="42" fillId="27" borderId="0" xfId="3" applyNumberFormat="1" applyFont="1" applyFill="1" applyBorder="1" applyAlignment="1">
      <alignment horizontal="right"/>
    </xf>
    <xf numFmtId="1" fontId="42" fillId="0" borderId="0" xfId="3" applyNumberFormat="1" applyFont="1" applyBorder="1" applyAlignment="1">
      <alignment horizontal="center"/>
    </xf>
    <xf numFmtId="0" fontId="45" fillId="23" borderId="0" xfId="3" applyFont="1" applyFill="1" applyBorder="1" applyAlignment="1">
      <alignment horizontal="center"/>
    </xf>
    <xf numFmtId="0" fontId="38" fillId="4" borderId="0" xfId="3" applyFont="1" applyFill="1" applyAlignment="1">
      <alignment horizontal="right"/>
    </xf>
    <xf numFmtId="0" fontId="39" fillId="0" borderId="0" xfId="3" applyFont="1"/>
    <xf numFmtId="0" fontId="39" fillId="0" borderId="0" xfId="3" applyFont="1" applyAlignment="1">
      <alignment horizontal="center"/>
    </xf>
    <xf numFmtId="0" fontId="33" fillId="12" borderId="0" xfId="3" applyFont="1" applyFill="1" applyBorder="1" applyAlignment="1"/>
    <xf numFmtId="0" fontId="33" fillId="12" borderId="0" xfId="3" applyFont="1" applyFill="1" applyBorder="1" applyAlignment="1">
      <alignment horizontal="center"/>
    </xf>
    <xf numFmtId="0" fontId="34" fillId="12" borderId="0" xfId="3" applyFont="1" applyFill="1" applyBorder="1" applyAlignment="1">
      <alignment horizontal="center"/>
    </xf>
    <xf numFmtId="0" fontId="34" fillId="12" borderId="0" xfId="3" applyFont="1" applyFill="1" applyBorder="1" applyAlignment="1"/>
    <xf numFmtId="0" fontId="2" fillId="0" borderId="0" xfId="3" applyAlignment="1">
      <alignment horizontal="left"/>
    </xf>
    <xf numFmtId="0" fontId="36" fillId="28" borderId="0" xfId="3" applyFont="1" applyFill="1" applyBorder="1" applyAlignment="1"/>
    <xf numFmtId="0" fontId="36" fillId="28" borderId="0" xfId="3" applyFont="1" applyFill="1" applyBorder="1" applyAlignment="1">
      <alignment horizontal="center"/>
    </xf>
    <xf numFmtId="0" fontId="36" fillId="29" borderId="0" xfId="3" applyFont="1" applyFill="1" applyBorder="1" applyAlignment="1">
      <alignment horizontal="center"/>
    </xf>
    <xf numFmtId="0" fontId="37" fillId="29" borderId="0" xfId="3" applyFont="1" applyFill="1" applyBorder="1" applyAlignment="1">
      <alignment horizontal="center"/>
    </xf>
    <xf numFmtId="0" fontId="36" fillId="29" borderId="0" xfId="3" applyFont="1" applyFill="1" applyBorder="1" applyAlignment="1"/>
    <xf numFmtId="0" fontId="37" fillId="30" borderId="0" xfId="3" applyFont="1" applyFill="1" applyBorder="1" applyAlignment="1"/>
    <xf numFmtId="0" fontId="37" fillId="30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left"/>
    </xf>
    <xf numFmtId="0" fontId="36" fillId="12" borderId="0" xfId="3" applyFont="1" applyFill="1" applyBorder="1" applyAlignment="1">
      <alignment horizontal="center"/>
    </xf>
    <xf numFmtId="0" fontId="37" fillId="12" borderId="0" xfId="3" applyFont="1" applyFill="1" applyBorder="1" applyAlignment="1">
      <alignment horizontal="center"/>
    </xf>
    <xf numFmtId="0" fontId="36" fillId="20" borderId="0" xfId="3" applyFont="1" applyFill="1" applyBorder="1" applyAlignment="1">
      <alignment horizontal="left"/>
    </xf>
    <xf numFmtId="0" fontId="36" fillId="20" borderId="0" xfId="3" applyFont="1" applyFill="1" applyBorder="1" applyAlignment="1">
      <alignment horizontal="center"/>
    </xf>
    <xf numFmtId="0" fontId="37" fillId="12" borderId="0" xfId="3" applyFont="1" applyFill="1" applyBorder="1" applyAlignment="1">
      <alignment horizontal="left"/>
    </xf>
    <xf numFmtId="1" fontId="39" fillId="0" borderId="0" xfId="3" applyNumberFormat="1" applyFont="1"/>
    <xf numFmtId="14" fontId="0" fillId="0" borderId="0" xfId="3" applyNumberFormat="1" applyFont="1" applyFill="1" applyBorder="1" applyAlignment="1">
      <alignment horizontal="center"/>
    </xf>
    <xf numFmtId="164" fontId="42" fillId="27" borderId="0" xfId="3" applyNumberFormat="1" applyFont="1" applyFill="1" applyBorder="1" applyAlignment="1">
      <alignment horizontal="center"/>
    </xf>
    <xf numFmtId="2" fontId="43" fillId="27" borderId="0" xfId="3" applyNumberFormat="1" applyFont="1" applyFill="1" applyBorder="1" applyAlignment="1">
      <alignment horizontal="right"/>
    </xf>
    <xf numFmtId="2" fontId="46" fillId="31" borderId="0" xfId="3" applyNumberFormat="1" applyFont="1" applyFill="1" applyBorder="1" applyAlignment="1">
      <alignment horizontal="right"/>
    </xf>
    <xf numFmtId="0" fontId="45" fillId="4" borderId="0" xfId="3" applyFont="1" applyFill="1" applyAlignment="1">
      <alignment horizontal="right"/>
    </xf>
    <xf numFmtId="0" fontId="45" fillId="0" borderId="0" xfId="3" applyFont="1" applyAlignment="1">
      <alignment horizontal="center"/>
    </xf>
    <xf numFmtId="0" fontId="42" fillId="15" borderId="0" xfId="3" applyFont="1" applyFill="1" applyBorder="1" applyAlignment="1">
      <alignment horizontal="center"/>
    </xf>
    <xf numFmtId="0" fontId="33" fillId="17" borderId="0" xfId="3" applyFont="1" applyFill="1" applyBorder="1" applyAlignment="1"/>
    <xf numFmtId="0" fontId="33" fillId="17" borderId="0" xfId="3" applyFont="1" applyFill="1" applyBorder="1" applyAlignment="1">
      <alignment horizontal="center"/>
    </xf>
    <xf numFmtId="0" fontId="34" fillId="17" borderId="0" xfId="3" applyFont="1" applyFill="1" applyBorder="1" applyAlignment="1">
      <alignment horizontal="center"/>
    </xf>
    <xf numFmtId="0" fontId="34" fillId="17" borderId="0" xfId="3" applyFont="1" applyFill="1" applyBorder="1" applyAlignment="1"/>
    <xf numFmtId="0" fontId="36" fillId="32" borderId="0" xfId="3" applyFont="1" applyFill="1" applyBorder="1" applyAlignment="1"/>
    <xf numFmtId="0" fontId="36" fillId="32" borderId="0" xfId="3" applyFont="1" applyFill="1" applyBorder="1" applyAlignment="1">
      <alignment horizontal="center"/>
    </xf>
    <xf numFmtId="0" fontId="36" fillId="33" borderId="0" xfId="3" applyFont="1" applyFill="1" applyBorder="1" applyAlignment="1">
      <alignment horizontal="center"/>
    </xf>
    <xf numFmtId="0" fontId="37" fillId="33" borderId="0" xfId="3" applyFont="1" applyFill="1" applyBorder="1" applyAlignment="1">
      <alignment horizontal="center"/>
    </xf>
    <xf numFmtId="0" fontId="36" fillId="33" borderId="0" xfId="3" applyFont="1" applyFill="1" applyBorder="1" applyAlignment="1"/>
    <xf numFmtId="0" fontId="37" fillId="34" borderId="0" xfId="3" applyFont="1" applyFill="1" applyBorder="1" applyAlignment="1"/>
    <xf numFmtId="0" fontId="37" fillId="34" borderId="0" xfId="3" applyFont="1" applyFill="1" applyBorder="1" applyAlignment="1">
      <alignment horizontal="center"/>
    </xf>
    <xf numFmtId="0" fontId="36" fillId="17" borderId="0" xfId="3" applyFont="1" applyFill="1" applyBorder="1" applyAlignment="1">
      <alignment horizontal="left"/>
    </xf>
    <xf numFmtId="0" fontId="36" fillId="17" borderId="0" xfId="3" applyFont="1" applyFill="1" applyBorder="1" applyAlignment="1">
      <alignment horizontal="center"/>
    </xf>
    <xf numFmtId="0" fontId="37" fillId="17" borderId="0" xfId="3" applyFont="1" applyFill="1" applyBorder="1" applyAlignment="1">
      <alignment horizontal="center"/>
    </xf>
    <xf numFmtId="0" fontId="36" fillId="35" borderId="0" xfId="3" applyFont="1" applyFill="1" applyBorder="1" applyAlignment="1">
      <alignment horizontal="left"/>
    </xf>
    <xf numFmtId="0" fontId="36" fillId="35" borderId="0" xfId="3" applyFont="1" applyFill="1" applyBorder="1" applyAlignment="1">
      <alignment horizontal="center"/>
    </xf>
    <xf numFmtId="0" fontId="37" fillId="17" borderId="0" xfId="3" applyFont="1" applyFill="1" applyBorder="1" applyAlignment="1">
      <alignment horizontal="left"/>
    </xf>
    <xf numFmtId="14" fontId="47" fillId="0" borderId="0" xfId="3" applyNumberFormat="1" applyFont="1" applyFill="1" applyBorder="1" applyAlignment="1">
      <alignment horizontal="center"/>
    </xf>
    <xf numFmtId="0" fontId="36" fillId="36" borderId="0" xfId="3" applyFont="1" applyFill="1" applyBorder="1" applyAlignment="1"/>
    <xf numFmtId="0" fontId="36" fillId="36" borderId="0" xfId="3" applyFont="1" applyFill="1" applyBorder="1" applyAlignment="1">
      <alignment horizontal="center"/>
    </xf>
    <xf numFmtId="0" fontId="36" fillId="37" borderId="0" xfId="3" applyFont="1" applyFill="1" applyBorder="1" applyAlignment="1">
      <alignment horizontal="center"/>
    </xf>
    <xf numFmtId="0" fontId="37" fillId="37" borderId="0" xfId="3" applyFont="1" applyFill="1" applyBorder="1" applyAlignment="1">
      <alignment horizontal="center"/>
    </xf>
    <xf numFmtId="0" fontId="36" fillId="37" borderId="0" xfId="3" applyFont="1" applyFill="1" applyBorder="1" applyAlignment="1"/>
    <xf numFmtId="0" fontId="37" fillId="38" borderId="0" xfId="3" applyFont="1" applyFill="1" applyBorder="1" applyAlignment="1"/>
    <xf numFmtId="0" fontId="37" fillId="38" borderId="0" xfId="3" applyFont="1" applyFill="1" applyBorder="1" applyAlignment="1">
      <alignment horizontal="center"/>
    </xf>
    <xf numFmtId="0" fontId="36" fillId="39" borderId="0" xfId="3" applyFont="1" applyFill="1" applyBorder="1" applyAlignment="1">
      <alignment horizontal="left"/>
    </xf>
    <xf numFmtId="0" fontId="36" fillId="39" borderId="0" xfId="3" applyFont="1" applyFill="1" applyBorder="1" applyAlignment="1">
      <alignment horizontal="center"/>
    </xf>
    <xf numFmtId="0" fontId="37" fillId="39" borderId="0" xfId="3" applyFont="1" applyFill="1" applyBorder="1" applyAlignment="1">
      <alignment horizontal="center"/>
    </xf>
    <xf numFmtId="0" fontId="36" fillId="40" borderId="0" xfId="3" applyFont="1" applyFill="1" applyBorder="1" applyAlignment="1">
      <alignment horizontal="left"/>
    </xf>
    <xf numFmtId="0" fontId="36" fillId="41" borderId="0" xfId="3" applyFont="1" applyFill="1" applyBorder="1" applyAlignment="1">
      <alignment horizontal="center"/>
    </xf>
    <xf numFmtId="0" fontId="37" fillId="39" borderId="0" xfId="3" applyFont="1" applyFill="1" applyBorder="1" applyAlignment="1">
      <alignment horizontal="left"/>
    </xf>
    <xf numFmtId="0" fontId="45" fillId="0" borderId="0" xfId="3" applyFont="1"/>
    <xf numFmtId="0" fontId="45" fillId="4" borderId="0" xfId="3" applyFont="1" applyFill="1" applyBorder="1" applyAlignment="1">
      <alignment horizontal="right"/>
    </xf>
    <xf numFmtId="1" fontId="39" fillId="0" borderId="0" xfId="3" applyNumberFormat="1" applyFont="1" applyBorder="1"/>
    <xf numFmtId="0" fontId="39" fillId="0" borderId="0" xfId="3" applyFont="1" applyBorder="1" applyAlignment="1">
      <alignment horizontal="center"/>
    </xf>
    <xf numFmtId="0" fontId="45" fillId="0" borderId="0" xfId="3" applyFont="1" applyBorder="1" applyAlignment="1">
      <alignment horizontal="center"/>
    </xf>
    <xf numFmtId="0" fontId="45" fillId="0" borderId="0" xfId="3" applyFont="1" applyBorder="1"/>
    <xf numFmtId="0" fontId="48" fillId="0" borderId="0" xfId="3" applyFont="1"/>
    <xf numFmtId="0" fontId="48" fillId="0" borderId="0" xfId="3" applyFont="1" applyAlignment="1">
      <alignment horizontal="center"/>
    </xf>
    <xf numFmtId="0" fontId="40" fillId="0" borderId="4" xfId="3" applyFont="1" applyBorder="1"/>
    <xf numFmtId="0" fontId="45" fillId="0" borderId="0" xfId="3" applyFont="1" applyFill="1" applyBorder="1"/>
    <xf numFmtId="0" fontId="2" fillId="0" borderId="0" xfId="3" applyFont="1"/>
    <xf numFmtId="14" fontId="40" fillId="0" borderId="4" xfId="3" applyNumberFormat="1" applyFont="1" applyBorder="1"/>
    <xf numFmtId="1" fontId="39" fillId="0" borderId="0" xfId="3" applyNumberFormat="1" applyFont="1" applyAlignment="1">
      <alignment horizontal="center"/>
    </xf>
    <xf numFmtId="0" fontId="49" fillId="0" borderId="0" xfId="3" applyFont="1" applyFill="1" applyAlignment="1">
      <alignment horizontal="center" wrapText="1"/>
    </xf>
    <xf numFmtId="0" fontId="45" fillId="0" borderId="0" xfId="3" applyFont="1" applyFill="1" applyAlignment="1">
      <alignment horizontal="center" wrapText="1"/>
    </xf>
    <xf numFmtId="171" fontId="45" fillId="0" borderId="0" xfId="3" applyNumberFormat="1" applyFont="1"/>
    <xf numFmtId="0" fontId="50" fillId="0" borderId="0" xfId="3" applyFont="1"/>
    <xf numFmtId="0" fontId="50" fillId="0" borderId="0" xfId="3" applyNumberFormat="1" applyFont="1"/>
    <xf numFmtId="14" fontId="39" fillId="0" borderId="0" xfId="3" applyNumberFormat="1" applyFont="1" applyAlignment="1">
      <alignment horizontal="center"/>
    </xf>
    <xf numFmtId="0" fontId="52" fillId="24" borderId="7" xfId="3" applyFont="1" applyFill="1" applyBorder="1" applyAlignment="1">
      <alignment horizontal="left"/>
    </xf>
    <xf numFmtId="2" fontId="53" fillId="0" borderId="1" xfId="3" applyNumberFormat="1" applyFont="1" applyBorder="1" applyAlignment="1">
      <alignment horizontal="right"/>
    </xf>
    <xf numFmtId="2" fontId="54" fillId="26" borderId="1" xfId="3" applyNumberFormat="1" applyFont="1" applyFill="1" applyBorder="1" applyAlignment="1">
      <alignment horizontal="right"/>
    </xf>
    <xf numFmtId="2" fontId="55" fillId="26" borderId="1" xfId="3" applyNumberFormat="1" applyFont="1" applyFill="1" applyBorder="1" applyAlignment="1">
      <alignment horizontal="right"/>
    </xf>
    <xf numFmtId="2" fontId="56" fillId="26" borderId="1" xfId="3" applyNumberFormat="1" applyFont="1" applyFill="1" applyBorder="1" applyAlignment="1">
      <alignment horizontal="right"/>
    </xf>
    <xf numFmtId="2" fontId="2" fillId="27" borderId="1" xfId="3" applyNumberFormat="1" applyFill="1" applyBorder="1" applyAlignment="1">
      <alignment horizontal="right"/>
    </xf>
    <xf numFmtId="2" fontId="57" fillId="26" borderId="1" xfId="3" applyNumberFormat="1" applyFont="1" applyFill="1" applyBorder="1" applyAlignment="1">
      <alignment horizontal="right"/>
    </xf>
    <xf numFmtId="14" fontId="0" fillId="0" borderId="1" xfId="0" applyNumberFormat="1" applyBorder="1"/>
    <xf numFmtId="0" fontId="2" fillId="0" borderId="1" xfId="3" applyBorder="1" applyAlignment="1">
      <alignment horizontal="right"/>
    </xf>
    <xf numFmtId="2" fontId="2" fillId="0" borderId="1" xfId="3" applyNumberFormat="1" applyBorder="1" applyAlignment="1">
      <alignment horizontal="right"/>
    </xf>
    <xf numFmtId="2" fontId="11" fillId="27" borderId="1" xfId="3" applyNumberFormat="1" applyFont="1" applyFill="1" applyBorder="1" applyAlignment="1">
      <alignment horizontal="right"/>
    </xf>
    <xf numFmtId="2" fontId="58" fillId="27" borderId="1" xfId="3" applyNumberFormat="1" applyFont="1" applyFill="1" applyBorder="1" applyAlignment="1">
      <alignment horizontal="right"/>
    </xf>
    <xf numFmtId="2" fontId="53" fillId="26" borderId="1" xfId="3" applyNumberFormat="1" applyFont="1" applyFill="1" applyBorder="1" applyAlignment="1">
      <alignment horizontal="right"/>
    </xf>
    <xf numFmtId="2" fontId="11" fillId="26" borderId="1" xfId="3" applyNumberFormat="1" applyFont="1" applyFill="1" applyBorder="1" applyAlignment="1">
      <alignment horizontal="right"/>
    </xf>
    <xf numFmtId="0" fontId="53" fillId="0" borderId="1" xfId="3" applyFont="1" applyFill="1" applyBorder="1" applyAlignment="1">
      <alignment horizontal="right"/>
    </xf>
    <xf numFmtId="1" fontId="2" fillId="0" borderId="1" xfId="3" applyNumberFormat="1" applyBorder="1" applyAlignment="1">
      <alignment horizontal="right"/>
    </xf>
    <xf numFmtId="2" fontId="58" fillId="26" borderId="1" xfId="3" applyNumberFormat="1" applyFont="1" applyFill="1" applyBorder="1" applyAlignment="1">
      <alignment horizontal="right"/>
    </xf>
    <xf numFmtId="2" fontId="39" fillId="0" borderId="1" xfId="3" applyNumberFormat="1" applyFont="1" applyBorder="1" applyAlignment="1">
      <alignment horizontal="right"/>
    </xf>
    <xf numFmtId="2" fontId="42" fillId="27" borderId="1" xfId="3" applyNumberFormat="1" applyFont="1" applyFill="1" applyBorder="1" applyAlignment="1">
      <alignment horizontal="right"/>
    </xf>
    <xf numFmtId="2" fontId="44" fillId="26" borderId="1" xfId="3" applyNumberFormat="1" applyFont="1" applyFill="1" applyBorder="1" applyAlignment="1">
      <alignment horizontal="right"/>
    </xf>
    <xf numFmtId="2" fontId="60" fillId="26" borderId="1" xfId="3" applyNumberFormat="1" applyFont="1" applyFill="1" applyBorder="1" applyAlignment="1">
      <alignment horizontal="right"/>
    </xf>
    <xf numFmtId="2" fontId="39" fillId="26" borderId="1" xfId="3" applyNumberFormat="1" applyFont="1" applyFill="1" applyBorder="1" applyAlignment="1">
      <alignment horizontal="right"/>
    </xf>
    <xf numFmtId="2" fontId="42" fillId="26" borderId="1" xfId="3" applyNumberFormat="1" applyFont="1" applyFill="1" applyBorder="1" applyAlignment="1">
      <alignment horizontal="right"/>
    </xf>
    <xf numFmtId="2" fontId="46" fillId="26" borderId="1" xfId="3" applyNumberFormat="1" applyFont="1" applyFill="1" applyBorder="1" applyAlignment="1">
      <alignment horizontal="right"/>
    </xf>
    <xf numFmtId="0" fontId="61" fillId="0" borderId="1" xfId="3" applyFont="1" applyBorder="1" applyAlignment="1">
      <alignment horizontal="right"/>
    </xf>
    <xf numFmtId="2" fontId="43" fillId="26" borderId="1" xfId="3" applyNumberFormat="1" applyFont="1" applyFill="1" applyBorder="1" applyAlignment="1">
      <alignment horizontal="right"/>
    </xf>
    <xf numFmtId="0" fontId="53" fillId="0" borderId="0" xfId="3" applyFont="1"/>
    <xf numFmtId="2" fontId="43" fillId="27" borderId="1" xfId="3" applyNumberFormat="1" applyFont="1" applyFill="1" applyBorder="1" applyAlignment="1">
      <alignment horizontal="right"/>
    </xf>
    <xf numFmtId="2" fontId="44" fillId="15" borderId="1" xfId="3" applyNumberFormat="1" applyFont="1" applyFill="1" applyBorder="1" applyAlignment="1">
      <alignment horizontal="right"/>
    </xf>
    <xf numFmtId="0" fontId="39" fillId="0" borderId="1" xfId="3" applyFont="1" applyBorder="1"/>
    <xf numFmtId="2" fontId="46" fillId="31" borderId="1" xfId="3" applyNumberFormat="1" applyFont="1" applyFill="1" applyBorder="1" applyAlignment="1">
      <alignment horizontal="right"/>
    </xf>
    <xf numFmtId="2" fontId="42" fillId="0" borderId="1" xfId="3" applyNumberFormat="1" applyFont="1" applyBorder="1" applyAlignment="1">
      <alignment horizontal="right"/>
    </xf>
    <xf numFmtId="0" fontId="11" fillId="0" borderId="0" xfId="3" applyFont="1"/>
    <xf numFmtId="14" fontId="42" fillId="0" borderId="1" xfId="3" applyNumberFormat="1" applyFont="1" applyFill="1" applyBorder="1" applyAlignment="1">
      <alignment horizontal="center"/>
    </xf>
    <xf numFmtId="14" fontId="0" fillId="0" borderId="1" xfId="3" applyNumberFormat="1" applyFont="1" applyFill="1" applyBorder="1" applyAlignment="1">
      <alignment horizontal="center"/>
    </xf>
    <xf numFmtId="0" fontId="39" fillId="15" borderId="1" xfId="3" applyFont="1" applyFill="1" applyBorder="1"/>
    <xf numFmtId="0" fontId="51" fillId="24" borderId="5" xfId="3" applyFont="1" applyFill="1" applyBorder="1" applyAlignment="1"/>
    <xf numFmtId="0" fontId="51" fillId="24" borderId="6" xfId="3" applyFont="1" applyFill="1" applyBorder="1" applyAlignment="1"/>
    <xf numFmtId="0" fontId="63" fillId="24" borderId="6" xfId="3" applyFont="1" applyFill="1" applyBorder="1" applyAlignment="1"/>
    <xf numFmtId="0" fontId="64" fillId="24" borderId="8" xfId="3" applyFont="1" applyFill="1" applyBorder="1" applyAlignment="1">
      <alignment horizontal="left"/>
    </xf>
    <xf numFmtId="0" fontId="35" fillId="0" borderId="12" xfId="3" applyFont="1" applyFill="1" applyBorder="1" applyAlignment="1">
      <alignment horizontal="right"/>
    </xf>
    <xf numFmtId="0" fontId="52" fillId="24" borderId="1" xfId="3" applyFont="1" applyFill="1" applyBorder="1" applyAlignment="1">
      <alignment horizontal="left"/>
    </xf>
    <xf numFmtId="2" fontId="59" fillId="26" borderId="1" xfId="3" applyNumberFormat="1" applyFont="1" applyFill="1" applyBorder="1" applyAlignment="1">
      <alignment horizontal="right"/>
    </xf>
    <xf numFmtId="0" fontId="61" fillId="0" borderId="1" xfId="3" applyFont="1" applyFill="1" applyBorder="1"/>
    <xf numFmtId="0" fontId="61" fillId="0" borderId="1" xfId="3" applyFont="1" applyBorder="1"/>
    <xf numFmtId="0" fontId="42" fillId="0" borderId="1" xfId="3" applyFont="1" applyBorder="1"/>
    <xf numFmtId="164" fontId="44" fillId="15" borderId="1" xfId="3" applyNumberFormat="1" applyFont="1" applyFill="1" applyBorder="1" applyAlignment="1">
      <alignment horizontal="center"/>
    </xf>
    <xf numFmtId="164" fontId="44" fillId="26" borderId="1" xfId="3" applyNumberFormat="1" applyFont="1" applyFill="1" applyBorder="1" applyAlignment="1">
      <alignment horizontal="center"/>
    </xf>
    <xf numFmtId="2" fontId="62" fillId="26" borderId="1" xfId="3" applyNumberFormat="1" applyFont="1" applyFill="1" applyBorder="1" applyAlignment="1">
      <alignment horizontal="right"/>
    </xf>
    <xf numFmtId="164" fontId="42" fillId="27" borderId="1" xfId="3" applyNumberFormat="1" applyFont="1" applyFill="1" applyBorder="1" applyAlignment="1">
      <alignment horizontal="center"/>
    </xf>
    <xf numFmtId="164" fontId="42" fillId="26" borderId="1" xfId="3" applyNumberFormat="1" applyFont="1" applyFill="1" applyBorder="1" applyAlignment="1">
      <alignment horizontal="center"/>
    </xf>
    <xf numFmtId="164" fontId="42" fillId="15" borderId="1" xfId="3" applyNumberFormat="1" applyFont="1" applyFill="1" applyBorder="1" applyAlignment="1">
      <alignment horizontal="center"/>
    </xf>
    <xf numFmtId="0" fontId="65" fillId="0" borderId="0" xfId="0" applyFont="1"/>
    <xf numFmtId="0" fontId="65" fillId="0" borderId="0" xfId="0" applyFont="1" applyBorder="1"/>
    <xf numFmtId="14" fontId="65" fillId="22" borderId="0" xfId="0" applyNumberFormat="1" applyFont="1" applyFill="1" applyAlignment="1">
      <alignment horizontal="center"/>
    </xf>
    <xf numFmtId="14" fontId="65" fillId="0" borderId="0" xfId="0" applyNumberFormat="1" applyFont="1" applyAlignment="1">
      <alignment horizontal="center"/>
    </xf>
    <xf numFmtId="0" fontId="67" fillId="0" borderId="0" xfId="0" applyFont="1" applyAlignment="1">
      <alignment horizontal="center"/>
    </xf>
    <xf numFmtId="0" fontId="67" fillId="0" borderId="0" xfId="0" applyFont="1" applyBorder="1" applyAlignment="1">
      <alignment horizontal="center"/>
    </xf>
    <xf numFmtId="0" fontId="67" fillId="43" borderId="1" xfId="0" applyFont="1" applyFill="1" applyBorder="1" applyAlignment="1">
      <alignment horizontal="center" wrapText="1"/>
    </xf>
    <xf numFmtId="0" fontId="67" fillId="44" borderId="13" xfId="0" applyFont="1" applyFill="1" applyBorder="1" applyAlignment="1">
      <alignment horizontal="center" wrapText="1"/>
    </xf>
    <xf numFmtId="0" fontId="67" fillId="0" borderId="0" xfId="0" applyFont="1"/>
    <xf numFmtId="0" fontId="16" fillId="0" borderId="1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7" fillId="0" borderId="0" xfId="0" applyFont="1" applyBorder="1"/>
    <xf numFmtId="0" fontId="67" fillId="0" borderId="0" xfId="0" applyFont="1" applyBorder="1" applyAlignment="1">
      <alignment horizontal="right"/>
    </xf>
    <xf numFmtId="1" fontId="67" fillId="43" borderId="1" xfId="0" applyNumberFormat="1" applyFont="1" applyFill="1" applyBorder="1" applyAlignment="1">
      <alignment horizontal="center" wrapText="1"/>
    </xf>
    <xf numFmtId="1" fontId="67" fillId="44" borderId="1" xfId="0" applyNumberFormat="1" applyFont="1" applyFill="1" applyBorder="1" applyAlignment="1">
      <alignment horizontal="center" wrapText="1"/>
    </xf>
    <xf numFmtId="0" fontId="13" fillId="0" borderId="17" xfId="0" applyFont="1" applyBorder="1"/>
    <xf numFmtId="172" fontId="0" fillId="0" borderId="18" xfId="0" applyNumberFormat="1" applyBorder="1"/>
    <xf numFmtId="172" fontId="0" fillId="0" borderId="16" xfId="0" applyNumberFormat="1" applyBorder="1"/>
    <xf numFmtId="0" fontId="13" fillId="0" borderId="9" xfId="0" applyFont="1" applyBorder="1"/>
    <xf numFmtId="172" fontId="0" fillId="0" borderId="3" xfId="0" applyNumberFormat="1" applyBorder="1"/>
    <xf numFmtId="0" fontId="68" fillId="47" borderId="10" xfId="0" applyFont="1" applyFill="1" applyBorder="1"/>
    <xf numFmtId="173" fontId="68" fillId="47" borderId="10" xfId="0" applyNumberFormat="1" applyFont="1" applyFill="1" applyBorder="1"/>
    <xf numFmtId="173" fontId="68" fillId="47" borderId="1" xfId="0" applyNumberFormat="1" applyFont="1" applyFill="1" applyBorder="1"/>
    <xf numFmtId="0" fontId="69" fillId="0" borderId="0" xfId="0" applyFont="1"/>
    <xf numFmtId="172" fontId="13" fillId="0" borderId="18" xfId="0" applyNumberFormat="1" applyFont="1" applyBorder="1"/>
    <xf numFmtId="169" fontId="13" fillId="0" borderId="0" xfId="2" applyNumberFormat="1" applyFont="1" applyBorder="1"/>
    <xf numFmtId="172" fontId="13" fillId="0" borderId="0" xfId="0" applyNumberFormat="1" applyFont="1" applyBorder="1"/>
    <xf numFmtId="169" fontId="13" fillId="0" borderId="2" xfId="2" applyNumberFormat="1" applyFont="1" applyBorder="1"/>
    <xf numFmtId="0" fontId="68" fillId="48" borderId="10" xfId="0" applyFont="1" applyFill="1" applyBorder="1"/>
    <xf numFmtId="173" fontId="68" fillId="48" borderId="10" xfId="0" applyNumberFormat="1" applyFont="1" applyFill="1" applyBorder="1"/>
    <xf numFmtId="173" fontId="68" fillId="48" borderId="1" xfId="0" applyNumberFormat="1" applyFont="1" applyFill="1" applyBorder="1"/>
    <xf numFmtId="0" fontId="67" fillId="49" borderId="1" xfId="0" applyFont="1" applyFill="1" applyBorder="1" applyAlignment="1">
      <alignment wrapText="1"/>
    </xf>
    <xf numFmtId="169" fontId="67" fillId="50" borderId="1" xfId="2" applyNumberFormat="1" applyFont="1" applyFill="1" applyBorder="1" applyAlignment="1" applyProtection="1"/>
    <xf numFmtId="0" fontId="0" fillId="21" borderId="17" xfId="0" applyFill="1" applyBorder="1" applyAlignment="1">
      <alignment horizontal="right"/>
    </xf>
    <xf numFmtId="172" fontId="0" fillId="21" borderId="18" xfId="0" applyNumberFormat="1" applyFill="1" applyBorder="1"/>
    <xf numFmtId="169" fontId="1" fillId="0" borderId="0" xfId="2" applyNumberFormat="1" applyFont="1" applyBorder="1"/>
    <xf numFmtId="0" fontId="0" fillId="16" borderId="17" xfId="0" applyFill="1" applyBorder="1" applyAlignment="1">
      <alignment horizontal="right"/>
    </xf>
    <xf numFmtId="172" fontId="0" fillId="16" borderId="0" xfId="0" applyNumberFormat="1" applyFill="1" applyBorder="1"/>
    <xf numFmtId="169" fontId="1" fillId="0" borderId="2" xfId="2" applyNumberFormat="1" applyFont="1" applyBorder="1"/>
    <xf numFmtId="0" fontId="67" fillId="51" borderId="1" xfId="0" applyFont="1" applyFill="1" applyBorder="1" applyAlignment="1">
      <alignment wrapText="1"/>
    </xf>
    <xf numFmtId="173" fontId="67" fillId="52" borderId="1" xfId="0" applyNumberFormat="1" applyFont="1" applyFill="1" applyBorder="1"/>
    <xf numFmtId="173" fontId="0" fillId="51" borderId="1" xfId="0" applyNumberFormat="1" applyFill="1" applyBorder="1"/>
    <xf numFmtId="173" fontId="0" fillId="51" borderId="1" xfId="0" applyNumberFormat="1" applyFill="1" applyBorder="1" applyAlignment="1">
      <alignment horizontal="center"/>
    </xf>
    <xf numFmtId="0" fontId="0" fillId="42" borderId="17" xfId="0" applyFill="1" applyBorder="1" applyAlignment="1">
      <alignment horizontal="right"/>
    </xf>
    <xf numFmtId="172" fontId="0" fillId="42" borderId="18" xfId="0" applyNumberFormat="1" applyFill="1" applyBorder="1" applyAlignment="1">
      <alignment horizontal="right"/>
    </xf>
    <xf numFmtId="0" fontId="0" fillId="0" borderId="17" xfId="0" applyBorder="1" applyAlignment="1">
      <alignment horizontal="right"/>
    </xf>
    <xf numFmtId="172" fontId="0" fillId="0" borderId="0" xfId="0" applyNumberFormat="1" applyBorder="1"/>
    <xf numFmtId="172" fontId="0" fillId="0" borderId="0" xfId="0" applyNumberFormat="1"/>
    <xf numFmtId="0" fontId="0" fillId="0" borderId="17" xfId="0" applyBorder="1"/>
    <xf numFmtId="0" fontId="0" fillId="22" borderId="17" xfId="0" applyFill="1" applyBorder="1" applyAlignment="1">
      <alignment horizontal="right"/>
    </xf>
    <xf numFmtId="172" fontId="0" fillId="22" borderId="18" xfId="0" applyNumberFormat="1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172" fontId="0" fillId="4" borderId="0" xfId="0" applyNumberFormat="1" applyFill="1" applyBorder="1" applyAlignment="1">
      <alignment horizontal="right"/>
    </xf>
    <xf numFmtId="0" fontId="8" fillId="4" borderId="17" xfId="0" applyFont="1" applyFill="1" applyBorder="1" applyAlignment="1">
      <alignment horizontal="right"/>
    </xf>
    <xf numFmtId="172" fontId="8" fillId="4" borderId="0" xfId="0" applyNumberFormat="1" applyFont="1" applyFill="1" applyBorder="1" applyAlignment="1">
      <alignment horizontal="right"/>
    </xf>
    <xf numFmtId="169" fontId="8" fillId="0" borderId="2" xfId="2" applyNumberFormat="1" applyFont="1" applyBorder="1"/>
    <xf numFmtId="0" fontId="70" fillId="0" borderId="0" xfId="0" applyFont="1"/>
    <xf numFmtId="0" fontId="71" fillId="0" borderId="0" xfId="0" applyFont="1"/>
    <xf numFmtId="169" fontId="70" fillId="0" borderId="1" xfId="0" applyNumberFormat="1" applyFont="1" applyBorder="1"/>
    <xf numFmtId="0" fontId="0" fillId="0" borderId="18" xfId="0" applyBorder="1"/>
    <xf numFmtId="0" fontId="70" fillId="51" borderId="1" xfId="0" applyFont="1" applyFill="1" applyBorder="1"/>
    <xf numFmtId="0" fontId="70" fillId="51" borderId="1" xfId="0" applyFont="1" applyFill="1" applyBorder="1" applyAlignment="1">
      <alignment wrapText="1"/>
    </xf>
    <xf numFmtId="173" fontId="70" fillId="52" borderId="1" xfId="0" applyNumberFormat="1" applyFont="1" applyFill="1" applyBorder="1"/>
    <xf numFmtId="173" fontId="70" fillId="51" borderId="1" xfId="0" applyNumberFormat="1" applyFont="1" applyFill="1" applyBorder="1"/>
    <xf numFmtId="0" fontId="67" fillId="53" borderId="1" xfId="0" applyFont="1" applyFill="1" applyBorder="1" applyAlignment="1">
      <alignment wrapText="1"/>
    </xf>
    <xf numFmtId="0" fontId="67" fillId="53" borderId="1" xfId="0" applyFont="1" applyFill="1" applyBorder="1"/>
    <xf numFmtId="173" fontId="67" fillId="54" borderId="1" xfId="0" applyNumberFormat="1" applyFont="1" applyFill="1" applyBorder="1"/>
    <xf numFmtId="173" fontId="0" fillId="53" borderId="1" xfId="0" applyNumberFormat="1" applyFill="1" applyBorder="1"/>
    <xf numFmtId="0" fontId="0" fillId="20" borderId="17" xfId="0" applyFill="1" applyBorder="1" applyAlignment="1">
      <alignment horizontal="right"/>
    </xf>
    <xf numFmtId="172" fontId="0" fillId="20" borderId="0" xfId="0" applyNumberFormat="1" applyFill="1" applyBorder="1"/>
    <xf numFmtId="0" fontId="8" fillId="22" borderId="17" xfId="0" applyFont="1" applyFill="1" applyBorder="1" applyAlignment="1">
      <alignment horizontal="right"/>
    </xf>
    <xf numFmtId="172" fontId="8" fillId="22" borderId="18" xfId="0" applyNumberFormat="1" applyFont="1" applyFill="1" applyBorder="1" applyAlignment="1">
      <alignment horizontal="right"/>
    </xf>
    <xf numFmtId="169" fontId="8" fillId="0" borderId="0" xfId="2" applyNumberFormat="1" applyFont="1" applyBorder="1"/>
    <xf numFmtId="172" fontId="0" fillId="0" borderId="2" xfId="0" applyNumberFormat="1" applyBorder="1"/>
    <xf numFmtId="172" fontId="13" fillId="0" borderId="0" xfId="0" applyNumberFormat="1" applyFont="1" applyFill="1" applyBorder="1" applyAlignment="1">
      <alignment horizontal="right"/>
    </xf>
    <xf numFmtId="0" fontId="0" fillId="55" borderId="17" xfId="0" applyFill="1" applyBorder="1" applyAlignment="1">
      <alignment horizontal="right"/>
    </xf>
    <xf numFmtId="172" fontId="0" fillId="55" borderId="0" xfId="0" applyNumberFormat="1" applyFill="1" applyBorder="1" applyAlignment="1">
      <alignment horizontal="right"/>
    </xf>
    <xf numFmtId="0" fontId="0" fillId="0" borderId="0" xfId="0" applyBorder="1"/>
    <xf numFmtId="0" fontId="0" fillId="0" borderId="17" xfId="0" applyFill="1" applyBorder="1" applyAlignment="1">
      <alignment horizontal="right"/>
    </xf>
    <xf numFmtId="172" fontId="0" fillId="0" borderId="0" xfId="0" applyNumberFormat="1" applyFill="1" applyBorder="1"/>
    <xf numFmtId="169" fontId="1" fillId="0" borderId="2" xfId="2" applyNumberFormat="1" applyFont="1" applyFill="1" applyBorder="1"/>
    <xf numFmtId="172" fontId="13" fillId="0" borderId="18" xfId="0" applyNumberFormat="1" applyFont="1" applyFill="1" applyBorder="1" applyAlignment="1">
      <alignment horizontal="right"/>
    </xf>
    <xf numFmtId="0" fontId="73" fillId="0" borderId="0" xfId="0" applyFont="1"/>
    <xf numFmtId="172" fontId="0" fillId="55" borderId="0" xfId="0" applyNumberFormat="1" applyFill="1" applyBorder="1"/>
    <xf numFmtId="0" fontId="67" fillId="56" borderId="1" xfId="0" applyFont="1" applyFill="1" applyBorder="1"/>
    <xf numFmtId="169" fontId="67" fillId="54" borderId="1" xfId="2" applyNumberFormat="1" applyFont="1" applyFill="1" applyBorder="1" applyAlignment="1" applyProtection="1"/>
    <xf numFmtId="172" fontId="0" fillId="4" borderId="18" xfId="0" applyNumberFormat="1" applyFill="1" applyBorder="1"/>
    <xf numFmtId="0" fontId="8" fillId="0" borderId="17" xfId="0" applyFont="1" applyFill="1" applyBorder="1" applyAlignment="1">
      <alignment horizontal="right"/>
    </xf>
    <xf numFmtId="172" fontId="8" fillId="0" borderId="0" xfId="0" applyNumberFormat="1" applyFont="1" applyFill="1" applyBorder="1"/>
    <xf numFmtId="169" fontId="8" fillId="0" borderId="2" xfId="2" applyNumberFormat="1" applyFont="1" applyFill="1" applyBorder="1"/>
    <xf numFmtId="0" fontId="73" fillId="53" borderId="1" xfId="0" applyFont="1" applyFill="1" applyBorder="1" applyAlignment="1">
      <alignment wrapText="1"/>
    </xf>
    <xf numFmtId="0" fontId="73" fillId="53" borderId="1" xfId="0" applyFont="1" applyFill="1" applyBorder="1"/>
    <xf numFmtId="173" fontId="73" fillId="54" borderId="1" xfId="0" applyNumberFormat="1" applyFont="1" applyFill="1" applyBorder="1"/>
    <xf numFmtId="173" fontId="73" fillId="53" borderId="1" xfId="0" applyNumberFormat="1" applyFont="1" applyFill="1" applyBorder="1"/>
    <xf numFmtId="0" fontId="68" fillId="48" borderId="1" xfId="0" applyFont="1" applyFill="1" applyBorder="1"/>
    <xf numFmtId="0" fontId="65" fillId="0" borderId="0" xfId="0" applyFont="1" applyAlignment="1">
      <alignment wrapText="1"/>
    </xf>
    <xf numFmtId="14" fontId="65" fillId="0" borderId="0" xfId="0" applyNumberFormat="1" applyFont="1" applyAlignment="1">
      <alignment wrapText="1"/>
    </xf>
    <xf numFmtId="172" fontId="0" fillId="0" borderId="18" xfId="0" applyNumberFormat="1" applyFill="1" applyBorder="1" applyAlignment="1">
      <alignment horizontal="right"/>
    </xf>
    <xf numFmtId="174" fontId="67" fillId="0" borderId="0" xfId="0" applyNumberFormat="1" applyFont="1"/>
    <xf numFmtId="174" fontId="67" fillId="0" borderId="0" xfId="0" applyNumberFormat="1" applyFont="1" applyAlignment="1">
      <alignment horizontal="center"/>
    </xf>
    <xf numFmtId="0" fontId="67" fillId="57" borderId="1" xfId="0" applyFont="1" applyFill="1" applyBorder="1" applyAlignment="1">
      <alignment horizontal="center"/>
    </xf>
    <xf numFmtId="175" fontId="67" fillId="57" borderId="1" xfId="1" applyNumberFormat="1" applyFont="1" applyFill="1" applyBorder="1" applyAlignment="1" applyProtection="1">
      <alignment horizontal="center" wrapText="1"/>
    </xf>
    <xf numFmtId="0" fontId="67" fillId="57" borderId="1" xfId="0" applyFont="1" applyFill="1" applyBorder="1" applyAlignment="1">
      <alignment horizontal="right"/>
    </xf>
    <xf numFmtId="169" fontId="73" fillId="0" borderId="1" xfId="2" applyNumberFormat="1" applyFont="1" applyBorder="1" applyAlignment="1" applyProtection="1"/>
    <xf numFmtId="169" fontId="73" fillId="0" borderId="13" xfId="2" applyNumberFormat="1" applyFont="1" applyBorder="1" applyAlignment="1" applyProtection="1">
      <alignment horizontal="center"/>
    </xf>
    <xf numFmtId="0" fontId="0" fillId="4" borderId="5" xfId="0" applyFill="1" applyBorder="1" applyAlignment="1">
      <alignment horizontal="right"/>
    </xf>
    <xf numFmtId="172" fontId="0" fillId="4" borderId="11" xfId="0" applyNumberFormat="1" applyFill="1" applyBorder="1"/>
    <xf numFmtId="0" fontId="0" fillId="0" borderId="5" xfId="0" applyFill="1" applyBorder="1" applyAlignment="1">
      <alignment horizontal="right"/>
    </xf>
    <xf numFmtId="172" fontId="0" fillId="0" borderId="6" xfId="0" applyNumberFormat="1" applyFill="1" applyBorder="1"/>
    <xf numFmtId="169" fontId="1" fillId="0" borderId="10" xfId="2" applyNumberFormat="1" applyFont="1" applyFill="1" applyBorder="1"/>
    <xf numFmtId="176" fontId="67" fillId="57" borderId="1" xfId="4" applyNumberFormat="1" applyFont="1" applyFill="1" applyBorder="1" applyAlignment="1" applyProtection="1">
      <alignment horizontal="center" wrapText="1"/>
    </xf>
    <xf numFmtId="0" fontId="16" fillId="0" borderId="5" xfId="0" applyFont="1" applyBorder="1" applyAlignment="1">
      <alignment horizontal="right"/>
    </xf>
    <xf numFmtId="172" fontId="16" fillId="0" borderId="11" xfId="0" applyNumberFormat="1" applyFont="1" applyBorder="1"/>
    <xf numFmtId="9" fontId="13" fillId="0" borderId="3" xfId="2" applyNumberFormat="1" applyFont="1" applyBorder="1"/>
    <xf numFmtId="9" fontId="13" fillId="0" borderId="10" xfId="2" applyNumberFormat="1" applyFont="1" applyBorder="1"/>
    <xf numFmtId="43" fontId="67" fillId="57" borderId="1" xfId="1" applyFont="1" applyFill="1" applyBorder="1" applyAlignment="1" applyProtection="1">
      <alignment horizontal="center" wrapText="1"/>
    </xf>
    <xf numFmtId="0" fontId="31" fillId="0" borderId="0" xfId="0" applyFont="1" applyFill="1" applyBorder="1" applyAlignment="1">
      <alignment horizontal="right"/>
    </xf>
    <xf numFmtId="172" fontId="31" fillId="0" borderId="0" xfId="0" applyNumberFormat="1" applyFont="1"/>
    <xf numFmtId="0" fontId="74" fillId="0" borderId="0" xfId="0" applyFont="1" applyAlignment="1">
      <alignment horizontal="right"/>
    </xf>
    <xf numFmtId="172" fontId="74" fillId="0" borderId="0" xfId="0" applyNumberFormat="1" applyFont="1"/>
    <xf numFmtId="172" fontId="13" fillId="0" borderId="0" xfId="0" applyNumberFormat="1" applyFont="1"/>
    <xf numFmtId="0" fontId="67" fillId="0" borderId="0" xfId="0" applyFont="1" applyAlignment="1">
      <alignment horizontal="right"/>
    </xf>
    <xf numFmtId="2" fontId="75" fillId="0" borderId="0" xfId="0" applyNumberFormat="1" applyFont="1"/>
    <xf numFmtId="0" fontId="76" fillId="0" borderId="0" xfId="0" applyFont="1"/>
    <xf numFmtId="175" fontId="0" fillId="0" borderId="0" xfId="0" applyNumberFormat="1"/>
    <xf numFmtId="173" fontId="0" fillId="0" borderId="0" xfId="0" applyNumberFormat="1"/>
    <xf numFmtId="0" fontId="0" fillId="0" borderId="0" xfId="0" applyAlignment="1">
      <alignment wrapText="1"/>
    </xf>
    <xf numFmtId="0" fontId="67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7" fillId="3" borderId="1" xfId="0" applyFont="1" applyFill="1" applyBorder="1" applyAlignment="1">
      <alignment horizontal="right" vertical="center"/>
    </xf>
    <xf numFmtId="0" fontId="11" fillId="23" borderId="1" xfId="3" applyFont="1" applyFill="1" applyBorder="1" applyAlignment="1">
      <alignment horizontal="right"/>
    </xf>
    <xf numFmtId="0" fontId="0" fillId="0" borderId="0" xfId="0" applyFont="1" applyAlignment="1">
      <alignment horizontal="center"/>
    </xf>
    <xf numFmtId="9" fontId="1" fillId="0" borderId="0" xfId="2" applyFont="1" applyAlignment="1">
      <alignment horizontal="center"/>
    </xf>
    <xf numFmtId="9" fontId="1" fillId="0" borderId="0" xfId="2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0" fontId="11" fillId="4" borderId="1" xfId="3" applyFont="1" applyFill="1" applyBorder="1" applyAlignment="1">
      <alignment horizontal="right"/>
    </xf>
    <xf numFmtId="0" fontId="13" fillId="16" borderId="0" xfId="0" applyFont="1" applyFill="1" applyAlignment="1">
      <alignment horizontal="center"/>
    </xf>
    <xf numFmtId="0" fontId="45" fillId="0" borderId="0" xfId="3" applyFont="1" applyAlignment="1">
      <alignment horizontal="left"/>
    </xf>
    <xf numFmtId="0" fontId="0" fillId="0" borderId="0" xfId="0" applyBorder="1" applyAlignment="1">
      <alignment wrapText="1"/>
    </xf>
    <xf numFmtId="0" fontId="67" fillId="53" borderId="3" xfId="0" applyFont="1" applyFill="1" applyBorder="1" applyAlignment="1">
      <alignment horizontal="left" vertical="top" wrapText="1"/>
    </xf>
    <xf numFmtId="0" fontId="67" fillId="53" borderId="2" xfId="0" applyFont="1" applyFill="1" applyBorder="1" applyAlignment="1">
      <alignment horizontal="left" vertical="top" wrapText="1"/>
    </xf>
    <xf numFmtId="0" fontId="67" fillId="53" borderId="10" xfId="0" applyFont="1" applyFill="1" applyBorder="1" applyAlignment="1">
      <alignment horizontal="left" vertical="top" wrapText="1"/>
    </xf>
    <xf numFmtId="0" fontId="67" fillId="57" borderId="18" xfId="0" applyFont="1" applyFill="1" applyBorder="1" applyAlignment="1">
      <alignment horizontal="center" vertical="top" wrapText="1"/>
    </xf>
    <xf numFmtId="173" fontId="72" fillId="50" borderId="1" xfId="0" applyNumberFormat="1" applyFont="1" applyFill="1" applyBorder="1" applyAlignment="1">
      <alignment horizontal="center"/>
    </xf>
    <xf numFmtId="173" fontId="73" fillId="54" borderId="1" xfId="0" applyNumberFormat="1" applyFont="1" applyFill="1" applyBorder="1" applyAlignment="1">
      <alignment horizontal="center"/>
    </xf>
    <xf numFmtId="0" fontId="67" fillId="0" borderId="0" xfId="0" applyFont="1" applyBorder="1" applyAlignment="1">
      <alignment horizontal="center" vertical="center" wrapText="1"/>
    </xf>
    <xf numFmtId="0" fontId="66" fillId="15" borderId="12" xfId="0" applyFont="1" applyFill="1" applyBorder="1" applyAlignment="1">
      <alignment horizontal="center"/>
    </xf>
    <xf numFmtId="0" fontId="66" fillId="15" borderId="15" xfId="0" applyFont="1" applyFill="1" applyBorder="1" applyAlignment="1">
      <alignment horizontal="center"/>
    </xf>
    <xf numFmtId="0" fontId="66" fillId="15" borderId="13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3" xfId="0" applyBorder="1" applyAlignment="1">
      <alignment horizontal="right"/>
    </xf>
    <xf numFmtId="0" fontId="16" fillId="45" borderId="9" xfId="0" applyFont="1" applyFill="1" applyBorder="1" applyAlignment="1">
      <alignment horizontal="center"/>
    </xf>
    <xf numFmtId="0" fontId="16" fillId="45" borderId="14" xfId="0" applyFont="1" applyFill="1" applyBorder="1" applyAlignment="1">
      <alignment horizontal="center"/>
    </xf>
    <xf numFmtId="0" fontId="16" fillId="46" borderId="16" xfId="0" applyFont="1" applyFill="1" applyBorder="1" applyAlignment="1">
      <alignment horizontal="center"/>
    </xf>
    <xf numFmtId="0" fontId="16" fillId="46" borderId="14" xfId="0" applyFont="1" applyFill="1" applyBorder="1" applyAlignment="1">
      <alignment horizontal="center"/>
    </xf>
    <xf numFmtId="0" fontId="67" fillId="51" borderId="3" xfId="0" applyFont="1" applyFill="1" applyBorder="1" applyAlignment="1">
      <alignment horizontal="left" vertical="top" wrapText="1"/>
    </xf>
    <xf numFmtId="0" fontId="67" fillId="51" borderId="2" xfId="0" applyFont="1" applyFill="1" applyBorder="1" applyAlignment="1">
      <alignment horizontal="left" vertical="top" wrapText="1"/>
    </xf>
    <xf numFmtId="0" fontId="67" fillId="51" borderId="10" xfId="0" applyFont="1" applyFill="1" applyBorder="1" applyAlignment="1">
      <alignment horizontal="left" vertical="top" wrapText="1"/>
    </xf>
    <xf numFmtId="0" fontId="24" fillId="18" borderId="1" xfId="0" applyFont="1" applyFill="1" applyBorder="1" applyAlignment="1">
      <alignment horizontal="center" vertical="top" wrapText="1"/>
    </xf>
    <xf numFmtId="0" fontId="25" fillId="19" borderId="1" xfId="0" applyFont="1" applyFill="1" applyBorder="1" applyAlignment="1">
      <alignment horizontal="center" vertical="top" wrapText="1"/>
    </xf>
    <xf numFmtId="0" fontId="26" fillId="19" borderId="1" xfId="0" applyFont="1" applyFill="1" applyBorder="1" applyAlignment="1">
      <alignment horizontal="center" vertical="top" wrapText="1"/>
    </xf>
    <xf numFmtId="173" fontId="76" fillId="0" borderId="0" xfId="0" applyNumberFormat="1" applyFont="1"/>
    <xf numFmtId="172" fontId="31" fillId="22" borderId="18" xfId="0" applyNumberFormat="1" applyFont="1" applyFill="1" applyBorder="1" applyAlignment="1">
      <alignment horizontal="right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4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</a:t>
            </a:r>
            <a:r>
              <a:rPr lang="es-ES" baseline="0"/>
              <a:t> Conversión V@der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EstudioConversion!$J$2:$J$9</c:f>
              <c:strCache>
                <c:ptCount val="8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Total general</c:v>
                </c:pt>
              </c:strCache>
            </c:strRef>
          </c:cat>
          <c:val>
            <c:numRef>
              <c:f>EstudioConversion!$N$2:$N$9</c:f>
              <c:numCache>
                <c:formatCode>0.0%</c:formatCode>
                <c:ptCount val="8"/>
                <c:pt idx="0">
                  <c:v>0.2857142857142857</c:v>
                </c:pt>
                <c:pt idx="1">
                  <c:v>0.22222222222222221</c:v>
                </c:pt>
                <c:pt idx="2">
                  <c:v>0.4</c:v>
                </c:pt>
                <c:pt idx="3">
                  <c:v>0.38043478260869568</c:v>
                </c:pt>
                <c:pt idx="4">
                  <c:v>0.30769230769230771</c:v>
                </c:pt>
                <c:pt idx="5">
                  <c:v>0.46153846153846156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1-4441-AD41-C0EEDE99C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146144"/>
        <c:axId val="679719248"/>
      </c:lineChart>
      <c:catAx>
        <c:axId val="10471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719248"/>
        <c:crosses val="autoZero"/>
        <c:auto val="1"/>
        <c:lblAlgn val="ctr"/>
        <c:lblOffset val="100"/>
        <c:noMultiLvlLbl val="0"/>
      </c:catAx>
      <c:valAx>
        <c:axId val="6797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71461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boxWhisker" uniqueId="{BD9A0383-F7BD-4C7A-9C24-359AEDF328C3}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000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191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619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7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9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1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2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3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6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8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9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1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3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4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6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7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12</xdr:row>
      <xdr:rowOff>147636</xdr:rowOff>
    </xdr:from>
    <xdr:to>
      <xdr:col>13</xdr:col>
      <xdr:colOff>190500</xdr:colOff>
      <xdr:row>27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C73F3C-497F-4FFC-99E1-E5E94B4E0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105833</xdr:colOff>
      <xdr:row>7</xdr:row>
      <xdr:rowOff>65087</xdr:rowOff>
    </xdr:from>
    <xdr:to>
      <xdr:col>21</xdr:col>
      <xdr:colOff>500592</xdr:colOff>
      <xdr:row>31</xdr:row>
      <xdr:rowOff>21167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8DAA7112-6003-4407-AACF-CA2B87D76F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45658" y="1398587"/>
              <a:ext cx="5728759" cy="4528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77.615237268517" createdVersion="6" refreshedVersion="6" minRefreshableVersion="3" recordCount="48" xr:uid="{C045150E-B3B9-4169-B6E2-0FD43408F6AA}">
  <cacheSource type="worksheet">
    <worksheetSource ref="A1:H1048576" sheet="EstudioConversion"/>
  </cacheSource>
  <cacheFields count="9">
    <cacheField name="Fecha" numFmtId="0">
      <sharedItems containsNonDate="0" containsDate="1" containsString="0" containsBlank="1" minDate="2019-03-13T00:00:00" maxDate="2019-08-01T00:00:00" count="36">
        <d v="2019-07-24T00:00:00"/>
        <d v="2019-06-01T00:00:00"/>
        <d v="2019-03-26T00:00:00"/>
        <d v="2019-05-17T00:00:00"/>
        <d v="2019-05-25T00:00:00"/>
        <d v="2019-05-30T00:00:00"/>
        <d v="2019-06-08T00:00:00"/>
        <d v="2019-06-17T00:00:00"/>
        <d v="2019-06-18T00:00:00"/>
        <d v="2019-06-19T00:00:00"/>
        <d v="2019-06-20T00:00:00"/>
        <d v="2019-06-24T00:00:00"/>
        <d v="2019-06-25T00:00:00"/>
        <d v="2019-06-26T00:00:00"/>
        <d v="2019-07-31T00:00:00"/>
        <d v="2019-03-13T00:00:00"/>
        <d v="2019-03-16T00:00:00"/>
        <d v="2019-03-23T00:00:00"/>
        <d v="2019-05-04T00:00:00"/>
        <d v="2019-05-11T00:00:00"/>
        <d v="2019-05-18T00:00:00"/>
        <d v="2019-06-27T00:00:00"/>
        <d v="2019-06-28T00:00:00"/>
        <d v="2019-03-30T00:00:00"/>
        <d v="2019-04-06T00:00:00"/>
        <d v="2019-04-13T00:00:00"/>
        <d v="2019-04-20T00:00:00"/>
        <d v="2019-04-27T00:00:00"/>
        <d v="2019-07-09T00:00:00"/>
        <d v="2019-07-10T00:00:00"/>
        <d v="2019-07-06T00:00:00"/>
        <d v="2019-07-11T00:00:00"/>
        <d v="2019-07-20T00:00:00"/>
        <d v="2019-07-17T00:00:00"/>
        <d v="2019-07-26T00:00:00"/>
        <m/>
      </sharedItems>
      <fieldGroup par="8" base="0">
        <rangePr groupBy="days" startDate="2019-03-13T00:00:00" endDate="2019-08-01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8/2019"/>
        </groupItems>
      </fieldGroup>
    </cacheField>
    <cacheField name="Local" numFmtId="0">
      <sharedItems containsBlank="1"/>
    </cacheField>
    <cacheField name="Visitante" numFmtId="0">
      <sharedItems containsBlank="1"/>
    </cacheField>
    <cacheField name="NivelTactica" numFmtId="0">
      <sharedItems containsString="0" containsBlank="1" containsNumber="1" containsInteger="1" minValue="13" maxValue="20" count="9">
        <n v="14"/>
        <n v="15"/>
        <n v="16"/>
        <n v="17"/>
        <n v="18"/>
        <n v="19"/>
        <n v="20"/>
        <m/>
        <n v="13" u="1"/>
      </sharedItems>
    </cacheField>
    <cacheField name="NivelMedioVader" numFmtId="0">
      <sharedItems containsString="0" containsBlank="1" containsNumber="1" minValue="11" maxValue="12.409090909090908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5"/>
    </cacheField>
    <cacheField name="%_Conversión" numFmtId="0">
      <sharedItems containsString="0" containsBlank="1" containsNumber="1" minValue="0.14285714285714285" maxValue="0.66666666666666663"/>
    </cacheField>
    <cacheField name="Meses" numFmtId="0" databaseField="0">
      <fieldGroup base="0">
        <rangePr groupBy="months" startDate="2019-03-13T00:00:00" endDate="2019-08-01T00:00:00"/>
        <groupItems count="14">
          <s v="&lt;13/03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8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V@der SC"/>
    <s v="Fernando de Rojas"/>
    <x v="0"/>
    <n v="11.545454545454545"/>
    <n v="7"/>
    <n v="2"/>
    <n v="0.2857142857142857"/>
  </r>
  <r>
    <x v="1"/>
    <s v="Prodigy Sucany"/>
    <s v="V@der SC"/>
    <x v="1"/>
    <n v="11.727272727272727"/>
    <n v="9"/>
    <n v="2"/>
    <n v="0.22222222222222221"/>
  </r>
  <r>
    <x v="2"/>
    <s v="Santa Barbosa Aludosa"/>
    <s v="V@der SC"/>
    <x v="2"/>
    <n v="11.727272727272727"/>
    <n v="4"/>
    <n v="2"/>
    <n v="0.5"/>
  </r>
  <r>
    <x v="3"/>
    <s v="Hakom"/>
    <s v="V@der SC"/>
    <x v="2"/>
    <n v="12.090909090909092"/>
    <n v="6"/>
    <n v="3"/>
    <n v="0.5"/>
  </r>
  <r>
    <x v="4"/>
    <s v="V@der SC"/>
    <s v="iRatlle"/>
    <x v="2"/>
    <n v="12.090909090909092"/>
    <n v="5"/>
    <n v="3"/>
    <n v="0.6"/>
  </r>
  <r>
    <x v="5"/>
    <s v="V@der SC"/>
    <s v="Ulls de Gat Mesquer"/>
    <x v="2"/>
    <n v="12.363636363636363"/>
    <n v="9"/>
    <n v="4"/>
    <n v="0.44444444444444442"/>
  </r>
  <r>
    <x v="1"/>
    <s v="Cogollos F.C"/>
    <s v="V@der SC"/>
    <x v="2"/>
    <n v="12"/>
    <n v="5"/>
    <n v="3"/>
    <n v="0.6"/>
  </r>
  <r>
    <x v="6"/>
    <s v="CD Castalia"/>
    <s v="V@der SC"/>
    <x v="2"/>
    <n v="12.181818181818182"/>
    <n v="4"/>
    <n v="2"/>
    <n v="0.5"/>
  </r>
  <r>
    <x v="7"/>
    <s v="V@der SC"/>
    <s v="FC Bayern München 16"/>
    <x v="2"/>
    <n v="12.181818181818182"/>
    <n v="10"/>
    <n v="3"/>
    <n v="0.3"/>
  </r>
  <r>
    <x v="7"/>
    <s v="V@der SC"/>
    <s v="Grasshopper Club Nidwalden"/>
    <x v="2"/>
    <n v="12.181818181818182"/>
    <n v="7"/>
    <n v="3"/>
    <n v="0.42857142857142855"/>
  </r>
  <r>
    <x v="8"/>
    <s v="Ju.far72"/>
    <s v="V@der SC"/>
    <x v="2"/>
    <n v="12.181818181818182"/>
    <n v="9"/>
    <n v="3"/>
    <n v="0.33333333333333331"/>
  </r>
  <r>
    <x v="8"/>
    <s v="Mks Pilica PEDEZET"/>
    <s v="V@der SC"/>
    <x v="2"/>
    <n v="12.181818181818182"/>
    <n v="6"/>
    <n v="2"/>
    <n v="0.33333333333333331"/>
  </r>
  <r>
    <x v="9"/>
    <s v="V@der SC"/>
    <s v="Nie Zjednoczeni Kaczory"/>
    <x v="2"/>
    <n v="12.181818181818182"/>
    <n v="7"/>
    <n v="2"/>
    <n v="0.2857142857142857"/>
  </r>
  <r>
    <x v="9"/>
    <s v="V@der SC"/>
    <s v="Cuchufritos F.C."/>
    <x v="2"/>
    <n v="12.181818181818182"/>
    <n v="5"/>
    <n v="2"/>
    <n v="0.4"/>
  </r>
  <r>
    <x v="10"/>
    <s v="Ladány City"/>
    <s v="V@der SC"/>
    <x v="2"/>
    <n v="12.181818181818182"/>
    <n v="9"/>
    <n v="2"/>
    <n v="0.22222222222222221"/>
  </r>
  <r>
    <x v="11"/>
    <s v="konary"/>
    <s v="V@der SC"/>
    <x v="2"/>
    <n v="12.181818181818182"/>
    <n v="3"/>
    <n v="2"/>
    <n v="0.66666666666666663"/>
  </r>
  <r>
    <x v="12"/>
    <s v="VINATIKA FC 2"/>
    <s v="V@der SC"/>
    <x v="2"/>
    <n v="12.181818181818182"/>
    <n v="6"/>
    <n v="2"/>
    <n v="0.33333333333333331"/>
  </r>
  <r>
    <x v="12"/>
    <s v="V@der SC"/>
    <s v="Basil444"/>
    <x v="2"/>
    <n v="12.181818181818182"/>
    <n v="4"/>
    <n v="2"/>
    <n v="0.5"/>
  </r>
  <r>
    <x v="13"/>
    <s v="V@der SC"/>
    <s v="John Rebus F.c"/>
    <x v="2"/>
    <n v="12.181818181818182"/>
    <n v="9"/>
    <n v="3"/>
    <n v="0.33333333333333331"/>
  </r>
  <r>
    <x v="14"/>
    <s v="Los amiguitos de Don Pimpon"/>
    <s v="V@der SC"/>
    <x v="2"/>
    <n v="11"/>
    <n v="7"/>
    <n v="3"/>
    <n v="0.42857142857142855"/>
  </r>
  <r>
    <x v="15"/>
    <s v="Tuviejahuelemal"/>
    <s v="V@der SC"/>
    <x v="3"/>
    <n v="11.727272727272727"/>
    <n v="7"/>
    <n v="4"/>
    <n v="0.5714285714285714"/>
  </r>
  <r>
    <x v="16"/>
    <s v="Menkoko C.F."/>
    <s v="V@der SC"/>
    <x v="3"/>
    <n v="11.727272727272727"/>
    <n v="7"/>
    <n v="3"/>
    <n v="0.42857142857142855"/>
  </r>
  <r>
    <x v="17"/>
    <s v="V@der SC"/>
    <s v="CD Castalia"/>
    <x v="3"/>
    <n v="11.909090909090908"/>
    <n v="5"/>
    <n v="1"/>
    <n v="0.2"/>
  </r>
  <r>
    <x v="18"/>
    <s v="Kersky"/>
    <s v="V@der SC"/>
    <x v="3"/>
    <n v="11.909090909090908"/>
    <n v="8"/>
    <n v="4"/>
    <n v="0.5"/>
  </r>
  <r>
    <x v="19"/>
    <s v="V@der SC"/>
    <s v="Splug Team"/>
    <x v="3"/>
    <n v="12.090909090909092"/>
    <n v="6"/>
    <n v="1"/>
    <n v="0.16666666666666666"/>
  </r>
  <r>
    <x v="20"/>
    <s v="Refucilo CF"/>
    <s v="V@der SC"/>
    <x v="3"/>
    <n v="12.090909090909092"/>
    <n v="9"/>
    <n v="5"/>
    <n v="0.55555555555555558"/>
  </r>
  <r>
    <x v="10"/>
    <s v="USC Olaf Football"/>
    <s v="V@der SC"/>
    <x v="3"/>
    <n v="12.181818181818182"/>
    <n v="8"/>
    <n v="3"/>
    <n v="0.375"/>
  </r>
  <r>
    <x v="12"/>
    <s v="V@der SC"/>
    <s v="Ornitorrincos Purpura"/>
    <x v="3"/>
    <n v="12.181818181818182"/>
    <n v="8"/>
    <n v="3"/>
    <n v="0.375"/>
  </r>
  <r>
    <x v="13"/>
    <s v="Wisla Skawina"/>
    <s v="V@der SC"/>
    <x v="3"/>
    <n v="12.181818181818182"/>
    <n v="7"/>
    <n v="1"/>
    <n v="0.14285714285714285"/>
  </r>
  <r>
    <x v="21"/>
    <s v="Insulae Atlantis"/>
    <s v="V@der SC"/>
    <x v="3"/>
    <n v="12.181818181818182"/>
    <n v="4"/>
    <n v="2"/>
    <n v="0.5"/>
  </r>
  <r>
    <x v="21"/>
    <s v="V@der SC"/>
    <s v="Bar Karakas C.F."/>
    <x v="3"/>
    <n v="12.181818181818182"/>
    <n v="6"/>
    <n v="1"/>
    <n v="0.16666666666666666"/>
  </r>
  <r>
    <x v="21"/>
    <s v="Dzsoni Valkur"/>
    <s v="V@der SC"/>
    <x v="3"/>
    <n v="12.181818181818182"/>
    <n v="7"/>
    <n v="3"/>
    <n v="0.42857142857142855"/>
  </r>
  <r>
    <x v="22"/>
    <s v="V@der SC"/>
    <s v="Fc De Rositas"/>
    <x v="3"/>
    <n v="11.818181818181818"/>
    <n v="10"/>
    <n v="4"/>
    <n v="0.4"/>
  </r>
  <r>
    <x v="23"/>
    <s v="V@der SC"/>
    <s v="Cogollos F.C"/>
    <x v="4"/>
    <n v="11.909090909090908"/>
    <n v="6"/>
    <n v="1"/>
    <n v="0.16666666666666666"/>
  </r>
  <r>
    <x v="24"/>
    <s v="iRatlle"/>
    <s v="V@der SC"/>
    <x v="4"/>
    <n v="11.909090909090908"/>
    <n v="8"/>
    <n v="3"/>
    <n v="0.375"/>
  </r>
  <r>
    <x v="25"/>
    <s v="V@der SC"/>
    <s v="Refucilo CF"/>
    <x v="4"/>
    <n v="11.909090909090908"/>
    <n v="8"/>
    <n v="3"/>
    <n v="0.375"/>
  </r>
  <r>
    <x v="26"/>
    <s v="Splug Team"/>
    <s v="V@der SC"/>
    <x v="4"/>
    <n v="11.909090909090908"/>
    <n v="9"/>
    <n v="3"/>
    <n v="0.33333333333333331"/>
  </r>
  <r>
    <x v="27"/>
    <s v="V@der SC"/>
    <s v="Kersky"/>
    <x v="4"/>
    <n v="11.909090909090908"/>
    <n v="7"/>
    <n v="2"/>
    <n v="0.2857142857142857"/>
  </r>
  <r>
    <x v="28"/>
    <s v="V@der SC"/>
    <s v="S.H.M.Piast Gliwice"/>
    <x v="4"/>
    <n v="11.909090909090908"/>
    <n v="5"/>
    <n v="1"/>
    <n v="0.2"/>
  </r>
  <r>
    <x v="29"/>
    <s v="Lobos del Viento"/>
    <s v="V@der SC"/>
    <x v="4"/>
    <n v="12.181818181818182"/>
    <n v="6"/>
    <n v="2"/>
    <n v="0.33333333333333331"/>
  </r>
  <r>
    <x v="29"/>
    <s v="V@der SC"/>
    <s v="US Women National Tema"/>
    <x v="4"/>
    <n v="12"/>
    <n v="3"/>
    <n v="1"/>
    <n v="0.33333333333333331"/>
  </r>
  <r>
    <x v="30"/>
    <s v="V@der SC"/>
    <s v="The Pyramid Mystery"/>
    <x v="5"/>
    <n v="11.909090909090908"/>
    <n v="9"/>
    <n v="5"/>
    <n v="0.55555555555555558"/>
  </r>
  <r>
    <x v="31"/>
    <s v="V@der SC"/>
    <s v="I treni di Tozeur"/>
    <x v="5"/>
    <n v="11.909090909090908"/>
    <n v="12"/>
    <n v="5"/>
    <n v="0.41666666666666669"/>
  </r>
  <r>
    <x v="32"/>
    <s v="CD Castalia"/>
    <s v="V@der SC"/>
    <x v="5"/>
    <n v="11.454545454545455"/>
    <n v="5"/>
    <n v="2"/>
    <n v="0.4"/>
  </r>
  <r>
    <x v="33"/>
    <s v="V@der SC"/>
    <s v="Mendibil"/>
    <x v="6"/>
    <n v="12.409090909090908"/>
    <n v="7"/>
    <n v="4"/>
    <n v="0.5714285714285714"/>
  </r>
  <r>
    <x v="34"/>
    <s v="FC BvB"/>
    <s v="V@der SC"/>
    <x v="6"/>
    <n v="12.272727272727273"/>
    <n v="5"/>
    <n v="3"/>
    <n v="0.6"/>
  </r>
  <r>
    <x v="14"/>
    <s v="V@der SC"/>
    <s v="Wing Men"/>
    <x v="6"/>
    <n v="12.272727272727273"/>
    <n v="6"/>
    <n v="2"/>
    <n v="0.33333333333333331"/>
  </r>
  <r>
    <x v="35"/>
    <m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8AC77-194D-41F8-884A-96336CF2C176}" name="TablaDinámica1" cacheId="1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1:M9" firstHeaderRow="0" firstDataRow="1" firstDataCol="1"/>
  <pivotFields count="9">
    <pivotField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 sortType="ascending">
      <items count="10">
        <item m="1" x="8"/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dataField="1"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5" baseField="0" baseItem="0"/>
    <dataField name="Suma de CA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T32"/>
  <sheetViews>
    <sheetView workbookViewId="0">
      <selection activeCell="A3" sqref="A3"/>
    </sheetView>
  </sheetViews>
  <sheetFormatPr baseColWidth="10" defaultColWidth="11.42578125" defaultRowHeight="15" x14ac:dyDescent="0.25"/>
  <cols>
    <col min="1" max="1" width="12.28515625" bestFit="1" customWidth="1"/>
    <col min="2" max="2" width="15.85546875" bestFit="1" customWidth="1"/>
    <col min="3" max="3" width="10.7109375" bestFit="1" customWidth="1"/>
    <col min="4" max="4" width="7.7109375" bestFit="1" customWidth="1"/>
    <col min="5" max="5" width="5.140625" customWidth="1"/>
    <col min="6" max="6" width="5.28515625" style="119" bestFit="1" customWidth="1"/>
    <col min="7" max="7" width="20.85546875" bestFit="1" customWidth="1"/>
    <col min="8" max="8" width="5.85546875" style="108" customWidth="1"/>
    <col min="9" max="9" width="6.85546875" customWidth="1"/>
    <col min="10" max="10" width="5.28515625" style="119" bestFit="1" customWidth="1"/>
    <col min="11" max="11" width="21.7109375" bestFit="1" customWidth="1"/>
    <col min="12" max="12" width="5.85546875" customWidth="1"/>
    <col min="13" max="13" width="6.140625" customWidth="1"/>
    <col min="14" max="14" width="5.28515625" style="119" bestFit="1" customWidth="1"/>
    <col min="15" max="15" width="22" bestFit="1" customWidth="1"/>
    <col min="16" max="16" width="5.85546875" customWidth="1"/>
    <col min="17" max="17" width="5.140625" customWidth="1"/>
    <col min="18" max="18" width="5.28515625" style="119" bestFit="1" customWidth="1"/>
    <col min="19" max="19" width="21.28515625" bestFit="1" customWidth="1"/>
    <col min="20" max="20" width="5.85546875" customWidth="1"/>
  </cols>
  <sheetData>
    <row r="1" spans="1:20" x14ac:dyDescent="0.25">
      <c r="A1" s="109" t="s">
        <v>249</v>
      </c>
      <c r="F1" s="118" t="s">
        <v>296</v>
      </c>
      <c r="G1" s="450" t="s">
        <v>256</v>
      </c>
      <c r="H1" s="450"/>
      <c r="J1" s="118" t="s">
        <v>296</v>
      </c>
      <c r="K1" s="450" t="s">
        <v>297</v>
      </c>
      <c r="L1" s="450"/>
      <c r="N1" s="118" t="s">
        <v>296</v>
      </c>
      <c r="O1" s="450" t="s">
        <v>308</v>
      </c>
      <c r="P1" s="450"/>
      <c r="R1" s="118" t="s">
        <v>296</v>
      </c>
      <c r="S1" s="450" t="s">
        <v>327</v>
      </c>
      <c r="T1" s="450"/>
    </row>
    <row r="2" spans="1:20" x14ac:dyDescent="0.25">
      <c r="A2" s="28">
        <v>43696</v>
      </c>
      <c r="F2" s="48">
        <v>1</v>
      </c>
      <c r="G2" s="110" t="s">
        <v>257</v>
      </c>
      <c r="H2" s="108" t="s">
        <v>258</v>
      </c>
      <c r="J2" s="48">
        <v>1</v>
      </c>
      <c r="K2" s="110" t="s">
        <v>280</v>
      </c>
      <c r="L2" s="108">
        <v>175</v>
      </c>
      <c r="N2" s="48">
        <v>1</v>
      </c>
      <c r="O2" s="110" t="s">
        <v>280</v>
      </c>
      <c r="P2" s="108">
        <v>71</v>
      </c>
      <c r="R2" s="48">
        <v>1</v>
      </c>
      <c r="S2" s="110" t="s">
        <v>265</v>
      </c>
      <c r="T2" s="108">
        <v>58</v>
      </c>
    </row>
    <row r="3" spans="1:20" x14ac:dyDescent="0.25">
      <c r="F3" s="48">
        <v>2</v>
      </c>
      <c r="G3" s="110" t="s">
        <v>259</v>
      </c>
      <c r="H3" s="108" t="s">
        <v>260</v>
      </c>
      <c r="J3" s="48">
        <v>2</v>
      </c>
      <c r="K3" s="110" t="s">
        <v>298</v>
      </c>
      <c r="L3" s="108">
        <v>155</v>
      </c>
      <c r="N3" s="48">
        <v>2</v>
      </c>
      <c r="O3" s="110" t="s">
        <v>301</v>
      </c>
      <c r="P3" s="108">
        <v>29</v>
      </c>
      <c r="R3" s="48">
        <v>2</v>
      </c>
      <c r="S3" s="110" t="s">
        <v>299</v>
      </c>
      <c r="T3" s="108">
        <v>57</v>
      </c>
    </row>
    <row r="4" spans="1:20" x14ac:dyDescent="0.25">
      <c r="A4" s="109" t="s">
        <v>250</v>
      </c>
      <c r="F4" s="48">
        <v>3</v>
      </c>
      <c r="G4" s="110" t="s">
        <v>261</v>
      </c>
      <c r="H4" s="108" t="s">
        <v>262</v>
      </c>
      <c r="J4" s="48">
        <v>3</v>
      </c>
      <c r="K4" s="110" t="s">
        <v>266</v>
      </c>
      <c r="L4" s="108">
        <v>145</v>
      </c>
      <c r="N4" s="48">
        <v>3</v>
      </c>
      <c r="O4" s="110" t="s">
        <v>309</v>
      </c>
      <c r="P4" s="108">
        <v>16</v>
      </c>
      <c r="R4" s="48">
        <v>3</v>
      </c>
      <c r="S4" s="110" t="s">
        <v>259</v>
      </c>
      <c r="T4" s="108">
        <v>44</v>
      </c>
    </row>
    <row r="5" spans="1:20" x14ac:dyDescent="0.25">
      <c r="A5" s="128" t="s">
        <v>251</v>
      </c>
      <c r="B5" t="s">
        <v>365</v>
      </c>
      <c r="C5" s="28">
        <v>42847</v>
      </c>
      <c r="D5" t="s">
        <v>252</v>
      </c>
      <c r="F5" s="48">
        <v>4</v>
      </c>
      <c r="G5" s="110" t="s">
        <v>263</v>
      </c>
      <c r="H5" s="108" t="s">
        <v>264</v>
      </c>
      <c r="J5" s="48">
        <v>4</v>
      </c>
      <c r="K5" s="110" t="s">
        <v>263</v>
      </c>
      <c r="L5" s="108">
        <v>144</v>
      </c>
      <c r="N5" s="48">
        <v>4</v>
      </c>
      <c r="O5" s="110" t="s">
        <v>310</v>
      </c>
      <c r="P5" s="108">
        <v>12</v>
      </c>
      <c r="R5" s="48">
        <v>4</v>
      </c>
      <c r="S5" s="110" t="s">
        <v>257</v>
      </c>
      <c r="T5" s="108">
        <v>42</v>
      </c>
    </row>
    <row r="6" spans="1:20" x14ac:dyDescent="0.25">
      <c r="A6" s="128" t="s">
        <v>253</v>
      </c>
      <c r="B6" t="s">
        <v>254</v>
      </c>
      <c r="C6" s="28">
        <v>42991</v>
      </c>
      <c r="D6" t="s">
        <v>255</v>
      </c>
      <c r="F6" s="48">
        <v>5</v>
      </c>
      <c r="G6" s="110" t="s">
        <v>265</v>
      </c>
      <c r="H6" s="108" t="s">
        <v>264</v>
      </c>
      <c r="J6" s="48">
        <v>5</v>
      </c>
      <c r="K6" s="110" t="s">
        <v>257</v>
      </c>
      <c r="L6" s="108">
        <v>141</v>
      </c>
      <c r="N6" s="48">
        <v>4</v>
      </c>
      <c r="O6" s="112" t="s">
        <v>359</v>
      </c>
      <c r="P6" s="108">
        <v>12</v>
      </c>
      <c r="R6" s="48">
        <v>4</v>
      </c>
      <c r="S6" s="116" t="s">
        <v>194</v>
      </c>
      <c r="T6" s="111">
        <v>42</v>
      </c>
    </row>
    <row r="7" spans="1:20" x14ac:dyDescent="0.25">
      <c r="F7" s="48">
        <v>6</v>
      </c>
      <c r="G7" s="110" t="s">
        <v>266</v>
      </c>
      <c r="H7" s="108" t="s">
        <v>267</v>
      </c>
      <c r="J7" s="48">
        <v>6</v>
      </c>
      <c r="K7" s="110" t="s">
        <v>299</v>
      </c>
      <c r="L7" s="108">
        <v>140</v>
      </c>
      <c r="N7" s="48">
        <v>6</v>
      </c>
      <c r="O7" s="110" t="s">
        <v>311</v>
      </c>
      <c r="P7" s="108">
        <v>11</v>
      </c>
      <c r="R7" s="48">
        <v>6</v>
      </c>
      <c r="S7" s="116" t="s">
        <v>355</v>
      </c>
      <c r="T7" s="128">
        <v>28</v>
      </c>
    </row>
    <row r="8" spans="1:20" x14ac:dyDescent="0.25">
      <c r="F8" s="48">
        <v>7</v>
      </c>
      <c r="G8" s="110" t="s">
        <v>268</v>
      </c>
      <c r="H8" s="108" t="s">
        <v>269</v>
      </c>
      <c r="J8" s="48">
        <v>7</v>
      </c>
      <c r="K8" s="110" t="s">
        <v>302</v>
      </c>
      <c r="L8" s="108">
        <v>135</v>
      </c>
      <c r="N8" s="48">
        <v>6</v>
      </c>
      <c r="O8" s="110" t="s">
        <v>312</v>
      </c>
      <c r="P8" s="108">
        <v>11</v>
      </c>
      <c r="R8" s="48">
        <v>7</v>
      </c>
      <c r="S8" s="110" t="s">
        <v>261</v>
      </c>
      <c r="T8" s="108">
        <v>27</v>
      </c>
    </row>
    <row r="9" spans="1:20" x14ac:dyDescent="0.25">
      <c r="F9" s="48">
        <v>8</v>
      </c>
      <c r="G9" s="110" t="s">
        <v>271</v>
      </c>
      <c r="H9" s="108" t="s">
        <v>270</v>
      </c>
      <c r="J9" s="48">
        <v>8</v>
      </c>
      <c r="K9" s="110" t="s">
        <v>271</v>
      </c>
      <c r="L9" s="108">
        <v>111</v>
      </c>
      <c r="N9" s="48">
        <v>8</v>
      </c>
      <c r="O9" s="110" t="s">
        <v>313</v>
      </c>
      <c r="P9" s="108">
        <v>6</v>
      </c>
      <c r="R9" s="48">
        <v>8</v>
      </c>
      <c r="S9" s="110" t="s">
        <v>304</v>
      </c>
      <c r="T9" s="108">
        <v>22</v>
      </c>
    </row>
    <row r="10" spans="1:20" x14ac:dyDescent="0.25">
      <c r="F10" s="48">
        <v>9</v>
      </c>
      <c r="G10" s="110" t="s">
        <v>272</v>
      </c>
      <c r="H10" s="108" t="s">
        <v>270</v>
      </c>
      <c r="J10" s="48">
        <v>9</v>
      </c>
      <c r="K10" s="110" t="s">
        <v>300</v>
      </c>
      <c r="L10" s="108">
        <v>105</v>
      </c>
      <c r="N10" s="48">
        <v>8</v>
      </c>
      <c r="O10" s="112" t="s">
        <v>337</v>
      </c>
      <c r="P10" s="108">
        <v>6</v>
      </c>
      <c r="R10" s="48">
        <v>9</v>
      </c>
      <c r="S10" s="110" t="s">
        <v>328</v>
      </c>
      <c r="T10" s="108">
        <v>20</v>
      </c>
    </row>
    <row r="11" spans="1:20" x14ac:dyDescent="0.25">
      <c r="F11" s="48">
        <v>10</v>
      </c>
      <c r="G11" s="110" t="s">
        <v>273</v>
      </c>
      <c r="H11" s="108" t="s">
        <v>270</v>
      </c>
      <c r="J11" s="48">
        <v>10</v>
      </c>
      <c r="K11" s="116" t="s">
        <v>190</v>
      </c>
      <c r="L11" s="108">
        <v>101</v>
      </c>
      <c r="N11" s="48">
        <v>10</v>
      </c>
      <c r="O11" s="110" t="s">
        <v>314</v>
      </c>
      <c r="P11" s="108">
        <v>4</v>
      </c>
      <c r="R11" s="48">
        <v>10</v>
      </c>
      <c r="S11" s="110" t="s">
        <v>307</v>
      </c>
      <c r="T11" s="108">
        <v>13</v>
      </c>
    </row>
    <row r="12" spans="1:20" x14ac:dyDescent="0.25">
      <c r="F12" s="48">
        <v>11</v>
      </c>
      <c r="G12" s="110" t="s">
        <v>274</v>
      </c>
      <c r="H12" s="108" t="s">
        <v>270</v>
      </c>
      <c r="J12" s="48">
        <v>11</v>
      </c>
      <c r="K12" s="116" t="s">
        <v>362</v>
      </c>
      <c r="L12" s="108">
        <v>95</v>
      </c>
      <c r="N12" s="48">
        <v>11</v>
      </c>
      <c r="O12" s="110" t="s">
        <v>315</v>
      </c>
      <c r="P12" s="108">
        <v>3</v>
      </c>
      <c r="R12" s="48">
        <v>10</v>
      </c>
      <c r="S12" s="110" t="s">
        <v>329</v>
      </c>
      <c r="T12" s="108">
        <v>12</v>
      </c>
    </row>
    <row r="13" spans="1:20" x14ac:dyDescent="0.25">
      <c r="F13" s="48">
        <v>12</v>
      </c>
      <c r="G13" s="110" t="s">
        <v>276</v>
      </c>
      <c r="H13" s="108" t="s">
        <v>275</v>
      </c>
      <c r="J13" s="48">
        <v>12</v>
      </c>
      <c r="K13" s="110" t="s">
        <v>301</v>
      </c>
      <c r="L13" s="108">
        <v>93</v>
      </c>
      <c r="N13" s="48">
        <v>12</v>
      </c>
      <c r="O13" s="110" t="s">
        <v>316</v>
      </c>
      <c r="P13" s="108">
        <v>2</v>
      </c>
      <c r="R13" s="48">
        <v>10</v>
      </c>
      <c r="S13" s="115" t="s">
        <v>246</v>
      </c>
      <c r="T13" s="108">
        <v>12</v>
      </c>
    </row>
    <row r="14" spans="1:20" x14ac:dyDescent="0.25">
      <c r="F14" s="48">
        <v>13</v>
      </c>
      <c r="G14" s="110" t="s">
        <v>277</v>
      </c>
      <c r="H14" s="108" t="s">
        <v>275</v>
      </c>
      <c r="J14" s="48">
        <v>13</v>
      </c>
      <c r="K14" s="116" t="s">
        <v>194</v>
      </c>
      <c r="L14" s="108">
        <v>87</v>
      </c>
      <c r="N14" s="48">
        <v>12</v>
      </c>
      <c r="O14" s="115" t="s">
        <v>338</v>
      </c>
      <c r="P14" s="114">
        <v>2</v>
      </c>
      <c r="R14" s="48">
        <v>13</v>
      </c>
      <c r="S14" s="110" t="s">
        <v>330</v>
      </c>
      <c r="T14" s="108">
        <v>11</v>
      </c>
    </row>
    <row r="15" spans="1:20" x14ac:dyDescent="0.25">
      <c r="F15" s="48">
        <v>14</v>
      </c>
      <c r="G15" s="110" t="s">
        <v>278</v>
      </c>
      <c r="H15" s="108" t="s">
        <v>275</v>
      </c>
      <c r="J15" s="48">
        <v>13</v>
      </c>
      <c r="K15" s="116" t="s">
        <v>363</v>
      </c>
      <c r="L15" s="108">
        <v>87</v>
      </c>
      <c r="N15" s="48">
        <v>14</v>
      </c>
      <c r="O15" s="110" t="s">
        <v>317</v>
      </c>
      <c r="P15" s="108">
        <v>1</v>
      </c>
      <c r="R15" s="48">
        <v>13</v>
      </c>
      <c r="S15" s="110" t="s">
        <v>311</v>
      </c>
      <c r="T15" s="108">
        <v>11</v>
      </c>
    </row>
    <row r="16" spans="1:20" x14ac:dyDescent="0.25">
      <c r="F16" s="48">
        <v>15</v>
      </c>
      <c r="G16" s="110" t="s">
        <v>279</v>
      </c>
      <c r="H16" s="108" t="s">
        <v>275</v>
      </c>
      <c r="J16" s="48">
        <v>13</v>
      </c>
      <c r="K16" s="116" t="s">
        <v>248</v>
      </c>
      <c r="L16" s="108">
        <v>87</v>
      </c>
      <c r="N16" s="48">
        <v>14</v>
      </c>
      <c r="O16" s="110" t="s">
        <v>318</v>
      </c>
      <c r="P16" s="108">
        <v>1</v>
      </c>
      <c r="R16" s="48">
        <v>14</v>
      </c>
      <c r="S16" s="116" t="s">
        <v>362</v>
      </c>
      <c r="T16" s="132">
        <v>9</v>
      </c>
    </row>
    <row r="17" spans="6:20" x14ac:dyDescent="0.25">
      <c r="F17" s="48">
        <v>16</v>
      </c>
      <c r="G17" s="110" t="s">
        <v>280</v>
      </c>
      <c r="H17" s="108" t="s">
        <v>275</v>
      </c>
      <c r="J17" s="48">
        <v>16</v>
      </c>
      <c r="K17" s="110" t="s">
        <v>287</v>
      </c>
      <c r="L17" s="108">
        <v>83</v>
      </c>
      <c r="N17" s="48">
        <v>14</v>
      </c>
      <c r="O17" s="110" t="s">
        <v>319</v>
      </c>
      <c r="P17" s="108">
        <v>1</v>
      </c>
      <c r="R17" s="48">
        <v>15</v>
      </c>
      <c r="S17" s="110" t="s">
        <v>331</v>
      </c>
      <c r="T17" s="108">
        <v>8</v>
      </c>
    </row>
    <row r="18" spans="6:20" x14ac:dyDescent="0.25">
      <c r="F18" s="48">
        <v>17</v>
      </c>
      <c r="G18" s="110" t="s">
        <v>282</v>
      </c>
      <c r="H18" s="108" t="s">
        <v>281</v>
      </c>
      <c r="J18" s="48">
        <v>17</v>
      </c>
      <c r="K18" s="110" t="s">
        <v>288</v>
      </c>
      <c r="L18" s="108">
        <v>78</v>
      </c>
      <c r="N18" s="48">
        <v>14</v>
      </c>
      <c r="O18" s="110" t="s">
        <v>320</v>
      </c>
      <c r="P18" s="108">
        <v>1</v>
      </c>
      <c r="R18" s="48">
        <v>15</v>
      </c>
      <c r="S18" s="110" t="s">
        <v>332</v>
      </c>
      <c r="T18" s="108">
        <v>8</v>
      </c>
    </row>
    <row r="19" spans="6:20" x14ac:dyDescent="0.25">
      <c r="F19" s="48">
        <v>18</v>
      </c>
      <c r="G19" s="110" t="s">
        <v>283</v>
      </c>
      <c r="H19" s="108" t="s">
        <v>281</v>
      </c>
      <c r="J19" s="48">
        <v>18</v>
      </c>
      <c r="K19" s="110" t="s">
        <v>278</v>
      </c>
      <c r="L19" s="108">
        <v>67</v>
      </c>
      <c r="N19" s="48">
        <v>14</v>
      </c>
      <c r="O19" s="110" t="s">
        <v>321</v>
      </c>
      <c r="P19" s="108">
        <v>1</v>
      </c>
      <c r="R19" s="48">
        <v>15</v>
      </c>
      <c r="S19" s="110" t="s">
        <v>306</v>
      </c>
      <c r="T19" s="108">
        <v>8</v>
      </c>
    </row>
    <row r="20" spans="6:20" x14ac:dyDescent="0.25">
      <c r="F20" s="48">
        <v>19</v>
      </c>
      <c r="G20" s="110" t="s">
        <v>284</v>
      </c>
      <c r="H20" s="108" t="s">
        <v>281</v>
      </c>
      <c r="J20" s="48">
        <v>19</v>
      </c>
      <c r="K20" s="110" t="s">
        <v>265</v>
      </c>
      <c r="L20" s="108">
        <v>64</v>
      </c>
      <c r="N20" s="48">
        <v>14</v>
      </c>
      <c r="O20" s="110" t="s">
        <v>322</v>
      </c>
      <c r="P20" s="108">
        <v>1</v>
      </c>
      <c r="R20" s="48">
        <v>18</v>
      </c>
      <c r="S20" s="110" t="s">
        <v>333</v>
      </c>
      <c r="T20" s="108">
        <v>7</v>
      </c>
    </row>
    <row r="21" spans="6:20" x14ac:dyDescent="0.25">
      <c r="F21" s="48">
        <v>20</v>
      </c>
      <c r="G21" s="110" t="s">
        <v>285</v>
      </c>
      <c r="H21" s="108" t="s">
        <v>281</v>
      </c>
      <c r="J21" s="48">
        <v>20</v>
      </c>
      <c r="K21" s="110" t="s">
        <v>289</v>
      </c>
      <c r="L21" s="108">
        <v>60</v>
      </c>
      <c r="N21" s="48">
        <v>14</v>
      </c>
      <c r="O21" s="110" t="s">
        <v>323</v>
      </c>
      <c r="P21" s="108">
        <v>1</v>
      </c>
      <c r="R21" s="48">
        <v>18</v>
      </c>
      <c r="S21" s="110" t="s">
        <v>334</v>
      </c>
      <c r="T21" s="108">
        <v>7</v>
      </c>
    </row>
    <row r="22" spans="6:20" x14ac:dyDescent="0.25">
      <c r="F22" s="48">
        <v>21</v>
      </c>
      <c r="G22" s="110" t="s">
        <v>286</v>
      </c>
      <c r="H22" s="108" t="s">
        <v>281</v>
      </c>
      <c r="J22" s="48">
        <v>20</v>
      </c>
      <c r="K22" s="110" t="s">
        <v>279</v>
      </c>
      <c r="L22" s="108">
        <v>60</v>
      </c>
      <c r="N22" s="48">
        <v>14</v>
      </c>
      <c r="O22" s="110" t="s">
        <v>324</v>
      </c>
      <c r="P22" s="108">
        <v>1</v>
      </c>
      <c r="R22" s="48">
        <v>18</v>
      </c>
      <c r="S22" s="116" t="s">
        <v>366</v>
      </c>
      <c r="T22" s="131">
        <v>7</v>
      </c>
    </row>
    <row r="23" spans="6:20" x14ac:dyDescent="0.25">
      <c r="F23" s="48">
        <v>22</v>
      </c>
      <c r="G23" s="110" t="s">
        <v>287</v>
      </c>
      <c r="H23" s="108" t="s">
        <v>281</v>
      </c>
      <c r="J23" s="48">
        <v>22</v>
      </c>
      <c r="K23" s="110" t="s">
        <v>303</v>
      </c>
      <c r="L23" s="108">
        <v>58</v>
      </c>
      <c r="N23" s="48">
        <v>14</v>
      </c>
      <c r="O23" s="110" t="s">
        <v>325</v>
      </c>
      <c r="P23" s="108">
        <v>1</v>
      </c>
      <c r="R23" s="48">
        <v>21</v>
      </c>
      <c r="S23" s="110" t="s">
        <v>335</v>
      </c>
      <c r="T23" s="108">
        <v>6</v>
      </c>
    </row>
    <row r="24" spans="6:20" x14ac:dyDescent="0.25">
      <c r="F24" s="48">
        <v>23</v>
      </c>
      <c r="G24" s="110" t="s">
        <v>288</v>
      </c>
      <c r="H24" s="108" t="s">
        <v>281</v>
      </c>
      <c r="J24" s="48">
        <v>23</v>
      </c>
      <c r="K24" s="110" t="s">
        <v>304</v>
      </c>
      <c r="L24" s="108">
        <v>57</v>
      </c>
      <c r="N24" s="48">
        <v>14</v>
      </c>
      <c r="O24" s="110" t="s">
        <v>326</v>
      </c>
      <c r="P24" s="108">
        <v>1</v>
      </c>
      <c r="R24" s="48">
        <v>21</v>
      </c>
      <c r="S24" s="110" t="s">
        <v>336</v>
      </c>
      <c r="T24" s="108">
        <v>6</v>
      </c>
    </row>
    <row r="25" spans="6:20" x14ac:dyDescent="0.25">
      <c r="F25" s="48">
        <v>24</v>
      </c>
      <c r="G25" s="110" t="s">
        <v>289</v>
      </c>
      <c r="H25" s="108" t="s">
        <v>281</v>
      </c>
      <c r="J25" s="48">
        <v>23</v>
      </c>
      <c r="K25" s="110" t="s">
        <v>259</v>
      </c>
      <c r="L25" s="108">
        <v>57</v>
      </c>
      <c r="N25" s="48">
        <v>14</v>
      </c>
      <c r="O25" s="115" t="s">
        <v>364</v>
      </c>
      <c r="P25" s="108">
        <v>1</v>
      </c>
      <c r="R25" s="119">
        <v>21</v>
      </c>
      <c r="S25" s="110" t="s">
        <v>302</v>
      </c>
      <c r="T25" s="108">
        <v>6</v>
      </c>
    </row>
    <row r="26" spans="6:20" x14ac:dyDescent="0.25">
      <c r="F26" s="48">
        <v>25</v>
      </c>
      <c r="G26" s="110" t="s">
        <v>290</v>
      </c>
      <c r="H26" s="108" t="s">
        <v>281</v>
      </c>
      <c r="J26" s="48">
        <v>25</v>
      </c>
      <c r="K26" s="110" t="s">
        <v>305</v>
      </c>
      <c r="L26" s="108">
        <v>56</v>
      </c>
      <c r="O26" s="60"/>
      <c r="P26" s="108"/>
    </row>
    <row r="27" spans="6:20" x14ac:dyDescent="0.25">
      <c r="F27" s="48">
        <v>26</v>
      </c>
      <c r="G27" s="110" t="s">
        <v>291</v>
      </c>
      <c r="H27" s="108" t="s">
        <v>281</v>
      </c>
      <c r="J27" s="48">
        <v>26</v>
      </c>
      <c r="K27" s="110" t="s">
        <v>283</v>
      </c>
      <c r="L27" s="108">
        <v>56</v>
      </c>
      <c r="O27" s="60"/>
      <c r="P27" s="108"/>
    </row>
    <row r="28" spans="6:20" x14ac:dyDescent="0.25">
      <c r="F28" s="48">
        <v>27</v>
      </c>
      <c r="G28" s="110" t="s">
        <v>292</v>
      </c>
      <c r="H28" s="108" t="s">
        <v>281</v>
      </c>
      <c r="J28" s="48">
        <v>27</v>
      </c>
      <c r="K28" s="110" t="s">
        <v>268</v>
      </c>
      <c r="L28" s="108">
        <v>54</v>
      </c>
      <c r="O28" s="60"/>
      <c r="P28" s="108"/>
    </row>
    <row r="29" spans="6:20" x14ac:dyDescent="0.25">
      <c r="F29" s="48">
        <v>28</v>
      </c>
      <c r="G29" s="110" t="s">
        <v>293</v>
      </c>
      <c r="H29" s="108" t="s">
        <v>281</v>
      </c>
      <c r="J29" s="48">
        <v>28</v>
      </c>
      <c r="K29" s="129" t="s">
        <v>345</v>
      </c>
      <c r="L29" s="117">
        <v>52</v>
      </c>
      <c r="O29" s="60"/>
      <c r="P29" s="108"/>
    </row>
    <row r="30" spans="6:20" x14ac:dyDescent="0.25">
      <c r="F30" s="48">
        <v>29</v>
      </c>
      <c r="G30" s="110" t="s">
        <v>294</v>
      </c>
      <c r="H30" s="108" t="s">
        <v>281</v>
      </c>
      <c r="J30" s="48">
        <v>29</v>
      </c>
      <c r="K30" s="110" t="s">
        <v>292</v>
      </c>
      <c r="L30" s="108">
        <v>51</v>
      </c>
      <c r="O30" s="60"/>
      <c r="P30" s="108"/>
    </row>
    <row r="31" spans="6:20" x14ac:dyDescent="0.25">
      <c r="F31" s="48">
        <v>30</v>
      </c>
      <c r="G31" s="110" t="s">
        <v>295</v>
      </c>
      <c r="H31" s="108" t="s">
        <v>281</v>
      </c>
      <c r="J31" s="48">
        <v>29</v>
      </c>
      <c r="K31" s="110" t="s">
        <v>306</v>
      </c>
      <c r="L31" s="108">
        <v>51</v>
      </c>
      <c r="O31" s="60"/>
      <c r="P31" s="108"/>
    </row>
    <row r="32" spans="6:20" x14ac:dyDescent="0.25">
      <c r="J32" s="48">
        <v>29</v>
      </c>
      <c r="K32" s="130" t="s">
        <v>359</v>
      </c>
      <c r="L32" s="132">
        <v>51</v>
      </c>
    </row>
  </sheetData>
  <mergeCells count="4">
    <mergeCell ref="G1:H1"/>
    <mergeCell ref="K1:L1"/>
    <mergeCell ref="O1:P1"/>
    <mergeCell ref="S1:T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>
    <tabColor rgb="FF00B0F0"/>
  </sheetPr>
  <dimension ref="A1:CE2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Y1" sqref="A1:Y9"/>
    </sheetView>
  </sheetViews>
  <sheetFormatPr baseColWidth="10" defaultColWidth="11.42578125" defaultRowHeight="15" x14ac:dyDescent="0.25"/>
  <cols>
    <col min="1" max="1" width="19.7109375" bestFit="1" customWidth="1"/>
    <col min="2" max="2" width="5.42578125" bestFit="1" customWidth="1"/>
    <col min="3" max="3" width="5.5703125" bestFit="1" customWidth="1"/>
    <col min="4" max="4" width="5.42578125" style="47" bestFit="1" customWidth="1"/>
    <col min="5" max="5" width="13" bestFit="1" customWidth="1"/>
    <col min="6" max="6" width="4.5703125" bestFit="1" customWidth="1"/>
    <col min="7" max="7" width="5.42578125" bestFit="1" customWidth="1"/>
    <col min="8" max="8" width="5.7109375" bestFit="1" customWidth="1"/>
    <col min="9" max="9" width="7.42578125" bestFit="1" customWidth="1"/>
    <col min="10" max="10" width="4.5703125" bestFit="1" customWidth="1"/>
    <col min="11" max="17" width="5.5703125" bestFit="1" customWidth="1"/>
    <col min="18" max="18" width="4.85546875" bestFit="1" customWidth="1"/>
    <col min="19" max="20" width="6.140625" bestFit="1" customWidth="1"/>
    <col min="21" max="22" width="7.85546875" bestFit="1" customWidth="1"/>
    <col min="23" max="23" width="7.7109375" bestFit="1" customWidth="1"/>
    <col min="24" max="24" width="7.85546875" bestFit="1" customWidth="1"/>
    <col min="25" max="25" width="7.42578125" bestFit="1" customWidth="1"/>
    <col min="26" max="26" width="10" bestFit="1" customWidth="1"/>
    <col min="27" max="27" width="7.85546875" bestFit="1" customWidth="1"/>
    <col min="28" max="28" width="7.42578125" bestFit="1" customWidth="1"/>
    <col min="29" max="29" width="5.1406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5.140625" bestFit="1" customWidth="1"/>
    <col min="34" max="34" width="9.7109375" bestFit="1" customWidth="1"/>
    <col min="35" max="35" width="7.85546875" bestFit="1" customWidth="1"/>
    <col min="36" max="36" width="5.140625" bestFit="1" customWidth="1"/>
    <col min="37" max="37" width="6.42578125" bestFit="1" customWidth="1"/>
    <col min="38" max="38" width="7.42578125" bestFit="1" customWidth="1"/>
    <col min="39" max="41" width="7.85546875" bestFit="1" customWidth="1"/>
    <col min="42" max="42" width="7.42578125" bestFit="1" customWidth="1"/>
    <col min="43" max="43" width="7.85546875" bestFit="1" customWidth="1"/>
    <col min="44" max="44" width="7.42578125" bestFit="1" customWidth="1"/>
    <col min="45" max="45" width="5.5703125" bestFit="1" customWidth="1"/>
    <col min="46" max="46" width="6.42578125" bestFit="1" customWidth="1"/>
    <col min="47" max="47" width="6.85546875" bestFit="1" customWidth="1"/>
    <col min="48" max="48" width="6.42578125" bestFit="1" customWidth="1"/>
    <col min="49" max="49" width="7.42578125" bestFit="1" customWidth="1"/>
    <col min="50" max="50" width="7.85546875" bestFit="1" customWidth="1"/>
    <col min="51" max="51" width="7.42578125" bestFit="1" customWidth="1"/>
    <col min="52" max="52" width="5.5703125" bestFit="1" customWidth="1"/>
    <col min="53" max="53" width="6.42578125" bestFit="1" customWidth="1"/>
    <col min="54" max="54" width="6.8554687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5703125" bestFit="1" customWidth="1"/>
    <col min="59" max="59" width="6.42578125" bestFit="1" customWidth="1"/>
    <col min="60" max="60" width="6.85546875" bestFit="1" customWidth="1"/>
    <col min="61" max="61" width="7.42578125" bestFit="1" customWidth="1"/>
    <col min="62" max="62" width="7.85546875" bestFit="1" customWidth="1"/>
    <col min="63" max="63" width="5.140625" bestFit="1" customWidth="1"/>
    <col min="64" max="64" width="6.42578125" bestFit="1" customWidth="1"/>
    <col min="65" max="65" width="6.85546875" bestFit="1" customWidth="1"/>
    <col min="66" max="66" width="7.42578125" bestFit="1" customWidth="1"/>
    <col min="67" max="67" width="7.8554687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7.42578125" bestFit="1" customWidth="1"/>
    <col min="72" max="72" width="7.85546875" bestFit="1" customWidth="1"/>
    <col min="73" max="73" width="6" customWidth="1"/>
    <col min="74" max="74" width="6.42578125" bestFit="1" customWidth="1"/>
    <col min="75" max="75" width="6.85546875" bestFit="1" customWidth="1"/>
    <col min="76" max="76" width="5.140625" bestFit="1" customWidth="1"/>
    <col min="77" max="77" width="6.42578125" bestFit="1" customWidth="1"/>
    <col min="78" max="78" width="6.85546875" bestFit="1" customWidth="1"/>
    <col min="79" max="80" width="6.42578125" bestFit="1" customWidth="1"/>
    <col min="81" max="81" width="6.85546875" bestFit="1" customWidth="1"/>
    <col min="82" max="82" width="6.42578125" bestFit="1" customWidth="1"/>
    <col min="83" max="83" width="5.140625" bestFit="1" customWidth="1"/>
  </cols>
  <sheetData>
    <row r="1" spans="1:83" x14ac:dyDescent="0.25">
      <c r="A1" s="28"/>
      <c r="W1" t="s">
        <v>52</v>
      </c>
      <c r="Z1" t="s">
        <v>53</v>
      </c>
      <c r="AD1" t="s">
        <v>54</v>
      </c>
      <c r="AH1" t="s">
        <v>55</v>
      </c>
      <c r="AL1" t="s">
        <v>56</v>
      </c>
      <c r="AP1" t="s">
        <v>57</v>
      </c>
      <c r="AW1" t="s">
        <v>58</v>
      </c>
      <c r="BD1" t="s">
        <v>47</v>
      </c>
      <c r="BI1" t="s">
        <v>59</v>
      </c>
      <c r="BN1" t="s">
        <v>60</v>
      </c>
      <c r="BS1" t="s">
        <v>61</v>
      </c>
      <c r="BX1" t="s">
        <v>62</v>
      </c>
      <c r="CB1" t="s">
        <v>43</v>
      </c>
    </row>
    <row r="2" spans="1:83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65</v>
      </c>
      <c r="F2" s="44" t="s">
        <v>66</v>
      </c>
      <c r="G2" s="44" t="s">
        <v>78</v>
      </c>
      <c r="H2" s="44" t="s">
        <v>79</v>
      </c>
      <c r="I2" s="45" t="s">
        <v>80</v>
      </c>
      <c r="J2" s="37" t="s">
        <v>67</v>
      </c>
      <c r="K2" s="37" t="s">
        <v>27</v>
      </c>
      <c r="L2" s="37" t="s">
        <v>29</v>
      </c>
      <c r="M2" s="37" t="s">
        <v>68</v>
      </c>
      <c r="N2" s="37" t="s">
        <v>51</v>
      </c>
      <c r="O2" s="37" t="s">
        <v>69</v>
      </c>
      <c r="P2" s="37" t="s">
        <v>70</v>
      </c>
      <c r="Q2" s="37" t="s">
        <v>46</v>
      </c>
      <c r="R2" s="38" t="s">
        <v>21</v>
      </c>
      <c r="S2" s="38" t="s">
        <v>71</v>
      </c>
      <c r="T2" s="38" t="s">
        <v>72</v>
      </c>
      <c r="U2" s="38" t="s">
        <v>25</v>
      </c>
      <c r="V2" s="38" t="s">
        <v>26</v>
      </c>
      <c r="W2" s="39" t="s">
        <v>73</v>
      </c>
      <c r="X2" s="39" t="s">
        <v>74</v>
      </c>
      <c r="Y2" s="39" t="s">
        <v>73</v>
      </c>
      <c r="Z2" s="40" t="s">
        <v>73</v>
      </c>
      <c r="AA2" s="40" t="s">
        <v>74</v>
      </c>
      <c r="AB2" s="40" t="s">
        <v>73</v>
      </c>
      <c r="AC2" s="40" t="s">
        <v>75</v>
      </c>
      <c r="AD2" s="40" t="s">
        <v>73</v>
      </c>
      <c r="AE2" s="40" t="s">
        <v>74</v>
      </c>
      <c r="AF2" s="40" t="s">
        <v>73</v>
      </c>
      <c r="AG2" s="40" t="s">
        <v>75</v>
      </c>
      <c r="AH2" s="39" t="s">
        <v>73</v>
      </c>
      <c r="AI2" s="39" t="s">
        <v>74</v>
      </c>
      <c r="AJ2" s="39" t="s">
        <v>75</v>
      </c>
      <c r="AK2" s="39" t="s">
        <v>76</v>
      </c>
      <c r="AL2" s="39" t="s">
        <v>73</v>
      </c>
      <c r="AM2" s="39" t="s">
        <v>74</v>
      </c>
      <c r="AN2" s="39" t="s">
        <v>75</v>
      </c>
      <c r="AO2" s="39" t="s">
        <v>76</v>
      </c>
      <c r="AP2" s="39" t="s">
        <v>73</v>
      </c>
      <c r="AQ2" s="39" t="s">
        <v>74</v>
      </c>
      <c r="AR2" s="39" t="s">
        <v>73</v>
      </c>
      <c r="AS2" s="39" t="s">
        <v>75</v>
      </c>
      <c r="AT2" s="39" t="s">
        <v>76</v>
      </c>
      <c r="AU2" s="39" t="s">
        <v>77</v>
      </c>
      <c r="AV2" s="39" t="s">
        <v>76</v>
      </c>
      <c r="AW2" s="39" t="s">
        <v>73</v>
      </c>
      <c r="AX2" s="39" t="s">
        <v>74</v>
      </c>
      <c r="AY2" s="39" t="s">
        <v>73</v>
      </c>
      <c r="AZ2" s="39" t="s">
        <v>75</v>
      </c>
      <c r="BA2" s="39" t="s">
        <v>76</v>
      </c>
      <c r="BB2" s="39" t="s">
        <v>77</v>
      </c>
      <c r="BC2" s="39" t="s">
        <v>76</v>
      </c>
      <c r="BD2" s="40" t="s">
        <v>73</v>
      </c>
      <c r="BE2" s="40" t="s">
        <v>74</v>
      </c>
      <c r="BF2" s="40" t="s">
        <v>75</v>
      </c>
      <c r="BG2" s="40" t="s">
        <v>76</v>
      </c>
      <c r="BH2" s="40" t="s">
        <v>77</v>
      </c>
      <c r="BI2" s="40" t="s">
        <v>73</v>
      </c>
      <c r="BJ2" s="40" t="s">
        <v>74</v>
      </c>
      <c r="BK2" s="40" t="s">
        <v>75</v>
      </c>
      <c r="BL2" s="40" t="s">
        <v>76</v>
      </c>
      <c r="BM2" s="40" t="s">
        <v>77</v>
      </c>
      <c r="BN2" s="39" t="s">
        <v>73</v>
      </c>
      <c r="BO2" s="39" t="s">
        <v>74</v>
      </c>
      <c r="BP2" s="39" t="s">
        <v>75</v>
      </c>
      <c r="BQ2" s="39" t="s">
        <v>76</v>
      </c>
      <c r="BR2" s="39" t="s">
        <v>77</v>
      </c>
      <c r="BS2" s="39" t="s">
        <v>73</v>
      </c>
      <c r="BT2" s="39" t="s">
        <v>74</v>
      </c>
      <c r="BU2" s="39" t="s">
        <v>75</v>
      </c>
      <c r="BV2" s="39" t="s">
        <v>76</v>
      </c>
      <c r="BW2" s="39" t="s">
        <v>77</v>
      </c>
      <c r="BX2" s="40" t="s">
        <v>75</v>
      </c>
      <c r="BY2" s="40" t="s">
        <v>76</v>
      </c>
      <c r="BZ2" s="40" t="s">
        <v>77</v>
      </c>
      <c r="CA2" s="40" t="s">
        <v>76</v>
      </c>
      <c r="CB2" s="39" t="s">
        <v>76</v>
      </c>
      <c r="CC2" s="39" t="s">
        <v>77</v>
      </c>
      <c r="CD2" s="39" t="s">
        <v>76</v>
      </c>
      <c r="CE2" s="39" t="s">
        <v>75</v>
      </c>
    </row>
    <row r="3" spans="1:83" x14ac:dyDescent="0.25">
      <c r="A3" t="str">
        <f>Plantilla!D4</f>
        <v>Cosme Fonteboa</v>
      </c>
      <c r="B3">
        <f>Plantilla!E4</f>
        <v>22</v>
      </c>
      <c r="C3" s="30">
        <f ca="1">Plantilla!F4</f>
        <v>107</v>
      </c>
      <c r="D3" s="113">
        <f>Plantilla!G4</f>
        <v>0</v>
      </c>
      <c r="E3" s="28">
        <f>Plantilla!M4</f>
        <v>43415</v>
      </c>
      <c r="F3" s="42">
        <f>Plantilla!Q4</f>
        <v>6</v>
      </c>
      <c r="G3" s="43">
        <f t="shared" ref="G3" si="0">(F3/7)^0.5</f>
        <v>0.92582009977255142</v>
      </c>
      <c r="H3" s="43">
        <f t="shared" ref="H3" si="1">IF(F3=7,1,((F3+0.99)/7)^0.5)</f>
        <v>0.99928545900129484</v>
      </c>
      <c r="I3" s="138">
        <f ca="1">Plantilla!N4</f>
        <v>0.89189741911905607</v>
      </c>
      <c r="J3" s="34">
        <f>Plantilla!I4</f>
        <v>5</v>
      </c>
      <c r="K3" s="41">
        <f>Plantilla!X4</f>
        <v>15</v>
      </c>
      <c r="L3" s="41">
        <f>Plantilla!Y4</f>
        <v>11.111111111111111</v>
      </c>
      <c r="M3" s="41">
        <f>Plantilla!Z4</f>
        <v>0</v>
      </c>
      <c r="N3" s="41">
        <f>Plantilla!AA4</f>
        <v>0</v>
      </c>
      <c r="O3" s="41">
        <f>Plantilla!AB4</f>
        <v>0</v>
      </c>
      <c r="P3" s="41">
        <f>Plantilla!AC4</f>
        <v>1</v>
      </c>
      <c r="Q3" s="41">
        <f>Plantilla!AD4</f>
        <v>1</v>
      </c>
      <c r="R3" s="41">
        <f t="shared" ref="R3" si="2">((2*(O3+1))+(L3+1))/8</f>
        <v>1.7638888888888888</v>
      </c>
      <c r="S3" s="41">
        <f t="shared" ref="S3" si="3">(0.5*P3+ 0.3*Q3)/10</f>
        <v>0.08</v>
      </c>
      <c r="T3" s="41">
        <f t="shared" ref="T3" si="4">(0.4*L3+0.3*Q3)/10</f>
        <v>0.47444444444444445</v>
      </c>
      <c r="U3" s="41">
        <f t="shared" ref="U3" ca="1" si="5">(Q3+I3+(LOG(J3)*4/3))*(F3/7)^0.5</f>
        <v>2.6143839628647623</v>
      </c>
      <c r="V3" s="41">
        <f t="shared" ref="V3" ca="1" si="6">IF(F3=7,U3,(Q3+I3+(LOG(J3)*4/3))*((F3+0.99)/7)^0.5)</f>
        <v>2.8218396629958256</v>
      </c>
      <c r="W3" s="32">
        <f t="shared" ref="W3" ca="1" si="7">((K3+I3+(LOG(J3)*4/3))*0.597)+((L3+I3+(LOG(J3)*4/3))*0.276)</f>
        <v>13.613894198604729</v>
      </c>
      <c r="X3" s="32">
        <f t="shared" ref="X3" ca="1" si="8">((K3+I3+(LOG(J3)*4/3))*0.866)+((L3+I3+(LOG(J3)*4/3))*0.425)</f>
        <v>20.066822157768655</v>
      </c>
      <c r="Y3" s="32">
        <f t="shared" ref="Y3" ca="1" si="9">W3</f>
        <v>13.613894198604729</v>
      </c>
      <c r="Z3" s="32">
        <f t="shared" ref="Z3" ca="1" si="10">((L3+I3+(LOG(J3)*4/3))*0.516)</f>
        <v>6.6744437645819472</v>
      </c>
      <c r="AA3" s="32">
        <f t="shared" ref="AA3" ca="1" si="11">((L3+I3+(LOG(J3)*4/3))*1)</f>
        <v>12.934968536011525</v>
      </c>
      <c r="AB3" s="32">
        <f t="shared" ref="AB3" ca="1" si="12">Z3/2</f>
        <v>3.3372218822909736</v>
      </c>
      <c r="AC3" s="32">
        <f t="shared" ref="AC3" ca="1" si="13">((M3+I3+(LOG(J3)*4/3))*0.238)</f>
        <v>0.43407806712629865</v>
      </c>
      <c r="AD3" s="32">
        <f t="shared" ref="AD3" ca="1" si="14">((L3+I3+(LOG(J3)*4/3))*0.378)</f>
        <v>4.8894181066123563</v>
      </c>
      <c r="AE3" s="32">
        <f t="shared" ref="AE3" ca="1" si="15">((L3+I3+(LOG(J3)*4/3))*0.723)</f>
        <v>9.3519822515363327</v>
      </c>
      <c r="AF3" s="32">
        <f t="shared" ref="AF3" ca="1" si="16">AD3/2</f>
        <v>2.4447090533061782</v>
      </c>
      <c r="AG3" s="32">
        <f t="shared" ref="AG3" ca="1" si="17">((M3+I3+(LOG(J3)*4/3))*0.385)</f>
        <v>0.70218510858665972</v>
      </c>
      <c r="AH3" s="32">
        <f t="shared" ref="AH3" ca="1" si="18">((L3+I3+(LOG(J3)*4/3))*0.92)</f>
        <v>11.900171053130602</v>
      </c>
      <c r="AI3" s="32">
        <f t="shared" ref="AI3" ca="1" si="19">((L3+I3+(LOG(J3)*4/3))*0.414)</f>
        <v>5.3550769739087709</v>
      </c>
      <c r="AJ3" s="32">
        <f t="shared" ref="AJ3" ca="1" si="20">((M3+I3+(LOG(J3)*4/3))*0.167)</f>
        <v>0.30458418995836928</v>
      </c>
      <c r="AK3" s="32">
        <f t="shared" ref="AK3" ca="1" si="21">((N3+I3+(LOG(J3)*4/3))*0.588)</f>
        <v>1.0724281658414438</v>
      </c>
      <c r="AL3" s="32">
        <f t="shared" ref="AL3" ca="1" si="22">((L3+I3+(LOG(J3)*4/3))*0.754)</f>
        <v>9.752966276152689</v>
      </c>
      <c r="AM3" s="32">
        <f t="shared" ref="AM3" ca="1" si="23">((L3+I3+(LOG(J3)*4/3))*0.708)</f>
        <v>9.1579577234961587</v>
      </c>
      <c r="AN3" s="32">
        <f t="shared" ref="AN3" ca="1" si="24">((Q3+I3+(LOG(J3)*4/3))*0.167)</f>
        <v>0.47158418995836926</v>
      </c>
      <c r="AO3" s="32">
        <f t="shared" ref="AO3" ca="1" si="25">((R3+I3+(LOG(J3)*4/3))*0.288)</f>
        <v>1.0332709383713194</v>
      </c>
      <c r="AP3" s="32">
        <f t="shared" ref="AP3" ca="1" si="26">((L3+I3+(LOG(J3)*4/3))*0.27)</f>
        <v>3.4924415047231117</v>
      </c>
      <c r="AQ3" s="32">
        <f t="shared" ref="AQ3" ca="1" si="27">((L3+I3+(LOG(J3)*4/3))*0.594)</f>
        <v>7.6833713103908456</v>
      </c>
      <c r="AR3" s="32">
        <f t="shared" ref="AR3" ca="1" si="28">AP3/2</f>
        <v>1.7462207523615558</v>
      </c>
      <c r="AS3" s="32">
        <f t="shared" ref="AS3" ca="1" si="29">((M3+I3+(LOG(J3)*4/3))*0.944)</f>
        <v>1.7217214091059914</v>
      </c>
      <c r="AT3" s="32">
        <f t="shared" ref="AT3" ca="1" si="30">((O3+I3+(LOG(J3)*4/3))*0.13)</f>
        <v>0.23710146523705392</v>
      </c>
      <c r="AU3" s="32">
        <f t="shared" ref="AU3" ca="1" si="31">((P3+I3+(LOG(J3)*4/3))*0.173)+((O3+I3+(LOG(J3)*4/3))*0.12)</f>
        <v>0.70739022549582142</v>
      </c>
      <c r="AV3" s="32">
        <f t="shared" ref="AV3" ca="1" si="32">AT3/2</f>
        <v>0.11855073261852696</v>
      </c>
      <c r="AW3" s="32">
        <f t="shared" ref="AW3" ca="1" si="33">((L3+I3+(LOG(J3)*4/3))*0.189)</f>
        <v>2.4447090533061782</v>
      </c>
      <c r="AX3" s="32">
        <f t="shared" ref="AX3" ca="1" si="34">((L3+I3+(LOG(J3)*4/3))*0.4)</f>
        <v>5.1739874144046105</v>
      </c>
      <c r="AY3" s="32">
        <f t="shared" ref="AY3" ca="1" si="35">AW3/2</f>
        <v>1.2223545266530891</v>
      </c>
      <c r="AZ3" s="32">
        <f t="shared" ref="AZ3" ca="1" si="36">((M3+I3+(LOG(J3)*4/3))*1)</f>
        <v>1.8238574249004147</v>
      </c>
      <c r="BA3" s="32">
        <f t="shared" ref="BA3" ca="1" si="37">((O3+I3+(LOG(J3)*4/3))*0.253)</f>
        <v>0.46143592849980491</v>
      </c>
      <c r="BB3" s="32">
        <f t="shared" ref="BB3" ca="1" si="38">((P3+I3+(LOG(J3)*4/3))*0.21)+((O3+I3+(LOG(J3)*4/3))*0.341)</f>
        <v>1.2149454411201286</v>
      </c>
      <c r="BC3" s="32">
        <f t="shared" ref="BC3" ca="1" si="39">BA3/2</f>
        <v>0.23071796424990246</v>
      </c>
      <c r="BD3" s="32">
        <f t="shared" ref="BD3" ca="1" si="40">((L3+I3+(LOG(J3)*4/3))*0.291)</f>
        <v>3.7640758439793536</v>
      </c>
      <c r="BE3" s="32">
        <f t="shared" ref="BE3" ca="1" si="41">((L3+I3+(LOG(J3)*4/3))*0.348)</f>
        <v>4.5013690505320101</v>
      </c>
      <c r="BF3" s="32">
        <f t="shared" ref="BF3" ca="1" si="42">((M3+I3+(LOG(J3)*4/3))*0.881)</f>
        <v>1.6068183913372653</v>
      </c>
      <c r="BG3" s="32">
        <f t="shared" ref="BG3" ca="1" si="43">((N3+I3+(LOG(J3)*4/3))*0.574)+((O3+I3+(LOG(J3)*4/3))*0.315)</f>
        <v>1.6214092507364688</v>
      </c>
      <c r="BH3" s="32">
        <f t="shared" ref="BH3" ca="1" si="44">((O3+I3+(LOG(J3)*4/3))*0.241)</f>
        <v>0.43954963940099995</v>
      </c>
      <c r="BI3" s="32">
        <f t="shared" ref="BI3" ca="1" si="45">((L3+I3+(LOG(J3)*4/3))*0.485)</f>
        <v>6.2734597399655891</v>
      </c>
      <c r="BJ3" s="32">
        <f t="shared" ref="BJ3" ca="1" si="46">((L3+I3+(LOG(J3)*4/3))*0.264)</f>
        <v>3.4148316935070429</v>
      </c>
      <c r="BK3" s="32">
        <f t="shared" ref="BK3" ca="1" si="47">((M3+I3+(LOG(J3)*4/3))*0.381)</f>
        <v>0.69488967888705799</v>
      </c>
      <c r="BL3" s="32">
        <f t="shared" ref="BL3" ca="1" si="48">((N3+I3+(LOG(J3)*4/3))*0.673)+((O3+I3+(LOG(J3)*4/3))*0.201)</f>
        <v>1.5940513893629626</v>
      </c>
      <c r="BM3" s="32">
        <f t="shared" ref="BM3" ca="1" si="49">((O3+I3+(LOG(J3)*4/3))*0.052)</f>
        <v>9.4840586094821558E-2</v>
      </c>
      <c r="BN3" s="32">
        <f t="shared" ref="BN3" ca="1" si="50">((L3+I3+(LOG(J3)*4/3))*0.18)</f>
        <v>2.3282943364820743</v>
      </c>
      <c r="BO3" s="32">
        <f t="shared" ref="BO3" ca="1" si="51">((L3+I3+(LOG(J3)*4/3))*0.068)</f>
        <v>0.87957786044878372</v>
      </c>
      <c r="BP3" s="32">
        <f t="shared" ref="BP3" ca="1" si="52">((M3+I3+(LOG(J3)*4/3))*0.305)</f>
        <v>0.55627651459462646</v>
      </c>
      <c r="BQ3" s="32">
        <f t="shared" ref="BQ3" ca="1" si="53">((N3+I3+(LOG(J3)*4/3))*1)+((O3+I3+(LOG(J3)*4/3))*0.286)</f>
        <v>2.3454806484219333</v>
      </c>
      <c r="BR3" s="32">
        <f t="shared" ref="BR3" ca="1" si="54">((O3+I3+(LOG(J3)*4/3))*0.135)</f>
        <v>0.24622075236155599</v>
      </c>
      <c r="BS3" s="32">
        <f t="shared" ref="BS3" ca="1" si="55">((L3+I3+(LOG(J3)*4/3))*0.284)</f>
        <v>3.6735310642272725</v>
      </c>
      <c r="BT3" s="32">
        <f t="shared" ref="BT3" ca="1" si="56">((L3+I3+(LOG(J3)*4/3))*0.244)</f>
        <v>3.1561323227868119</v>
      </c>
      <c r="BU3" s="32">
        <f t="shared" ref="BU3" ca="1" si="57">((M3+I3+(LOG(J3)*4/3))*0.631)</f>
        <v>1.1508540351121617</v>
      </c>
      <c r="BV3" s="32">
        <f t="shared" ref="BV3" ca="1" si="58">((N3+I3+(LOG(J3)*4/3))*0.702)+((O3+I3+(LOG(J3)*4/3))*0.193)</f>
        <v>1.6323523952858709</v>
      </c>
      <c r="BW3" s="32">
        <f t="shared" ref="BW3" ca="1" si="59">((O3+I3+(LOG(J3)*4/3))*0.148)</f>
        <v>0.26993089888526134</v>
      </c>
      <c r="BX3" s="32">
        <f t="shared" ref="BX3" ca="1" si="60">((M3+I3+(LOG(J3)*4/3))*0.406)</f>
        <v>0.74048611450956836</v>
      </c>
      <c r="BY3" s="32">
        <f t="shared" ref="BY3" ca="1" si="61">IF(D3="TEC",((N3+I3+(LOG(J3)*4/3))*0.15)+((O3+I3+(LOG(J3)*4/3))*0.324)+((P3+I3+(LOG(J3)*4/3))*0.127),((N3+I3+(LOG(J3)*4/3))*0.144)+((O3+I3+(LOG(J3)*4/3))*0.25)+((P3+I3+(LOG(J3)*4/3))*0.127))</f>
        <v>1.0772297183731161</v>
      </c>
      <c r="BZ3" s="32">
        <f t="shared" ref="BZ3" ca="1" si="62">IF(D3="TEC",((O3+I3+(LOG(J3)*4/3))*0.543)+((P3+I3+(LOG(J3)*4/3))*0.583),((O3+I3+(LOG(J3)*4/3))*0.543)+((P3+I3+(LOG(J3)*4/3))*0.583))</f>
        <v>2.6366634604378669</v>
      </c>
      <c r="CA3" s="32">
        <f t="shared" ref="CA3" ca="1" si="63">BY3</f>
        <v>1.0772297183731161</v>
      </c>
      <c r="CB3" s="32">
        <f t="shared" ref="CB3" ca="1" si="64">((P3+I3+(LOG(J3)*4/3))*0.26)+((N3+I3+(LOG(J3)*4/3))*0.221)+((O3+I3+(LOG(J3)*4/3))*0.142)</f>
        <v>1.3962631757129582</v>
      </c>
      <c r="CC3" s="32">
        <f t="shared" ref="CC3" ca="1" si="65">((P3+I3+(LOG(J3)*4/3))*1)+((O3+I3+(LOG(J3)*4/3))*0.369)</f>
        <v>3.4968608146886675</v>
      </c>
      <c r="CD3" s="32">
        <f t="shared" ref="CD3" ca="1" si="66">CB3</f>
        <v>1.3962631757129582</v>
      </c>
      <c r="CE3" s="32">
        <f t="shared" ref="CE3" ca="1" si="67">((M3+I3+(LOG(J3)*4/3))*0.25)</f>
        <v>0.45596435622510367</v>
      </c>
    </row>
    <row r="4" spans="1:83" x14ac:dyDescent="0.25">
      <c r="A4" t="str">
        <f>Plantilla!D5</f>
        <v>Nicolae Hornet</v>
      </c>
      <c r="B4">
        <f>Plantilla!E5</f>
        <v>23</v>
      </c>
      <c r="C4" s="30">
        <f ca="1">Plantilla!F5</f>
        <v>20</v>
      </c>
      <c r="D4" s="132">
        <f>Plantilla!G5</f>
        <v>0</v>
      </c>
      <c r="E4" s="28">
        <f>Plantilla!M5</f>
        <v>43190</v>
      </c>
      <c r="F4" s="42">
        <f>Plantilla!Q5</f>
        <v>6</v>
      </c>
      <c r="G4" s="43">
        <f t="shared" ref="G4:G18" si="68">(F4/7)^0.5</f>
        <v>0.92582009977255142</v>
      </c>
      <c r="H4" s="43">
        <f t="shared" ref="H4:H18" si="69">IF(F4=7,1,((F4+0.99)/7)^0.5)</f>
        <v>0.99928545900129484</v>
      </c>
      <c r="I4" s="138">
        <f ca="1">Plantilla!N5</f>
        <v>1</v>
      </c>
      <c r="J4" s="34">
        <f>Plantilla!I5</f>
        <v>1.4</v>
      </c>
      <c r="K4" s="41">
        <f>Plantilla!X5</f>
        <v>6</v>
      </c>
      <c r="L4" s="41">
        <f>Plantilla!Y5</f>
        <v>4.75</v>
      </c>
      <c r="M4" s="41">
        <f>Plantilla!Z5</f>
        <v>0</v>
      </c>
      <c r="N4" s="41">
        <f>Plantilla!AA5</f>
        <v>3</v>
      </c>
      <c r="O4" s="41">
        <f>Plantilla!AB5</f>
        <v>0</v>
      </c>
      <c r="P4" s="41">
        <f>Plantilla!AC5</f>
        <v>1</v>
      </c>
      <c r="Q4" s="41">
        <f>Plantilla!AD5</f>
        <v>1</v>
      </c>
      <c r="R4" s="41">
        <f t="shared" ref="R4:R20" si="70">((2*(O4+1))+(L4+1))/8</f>
        <v>0.96875</v>
      </c>
      <c r="S4" s="41">
        <f t="shared" ref="S4:S20" si="71">(0.5*P4+ 0.3*Q4)/10</f>
        <v>0.08</v>
      </c>
      <c r="T4" s="41">
        <f t="shared" ref="T4:T20" si="72">(0.4*L4+0.3*Q4)/10</f>
        <v>0.22000000000000003</v>
      </c>
      <c r="U4" s="41">
        <f t="shared" ref="U4:U20" ca="1" si="73">(Q4+I4+(LOG(J4)*4/3))*(F4/7)^0.5</f>
        <v>2.0320245629733606</v>
      </c>
      <c r="V4" s="41">
        <f t="shared" ref="V4:V20" ca="1" si="74">IF(F4=7,U4,(Q4+I4+(LOG(J4)*4/3))*((F4+0.99)/7)^0.5)</f>
        <v>2.1932690796101708</v>
      </c>
      <c r="W4" s="32">
        <f t="shared" ref="W4:W20" ca="1" si="75">((K4+I4+(LOG(J4)*4/3))*0.597)+((L4+I4+(LOG(J4)*4/3))*0.276)</f>
        <v>5.9360930335294695</v>
      </c>
      <c r="X4" s="32">
        <f t="shared" ref="X4:X20" ca="1" si="76">((K4+I4+(LOG(J4)*4/3))*0.866)+((L4+I4+(LOG(J4)*4/3))*0.425)</f>
        <v>8.757285058747474</v>
      </c>
      <c r="Y4" s="32">
        <f t="shared" ref="Y4:Y20" ca="1" si="77">W4</f>
        <v>5.9360930335294695</v>
      </c>
      <c r="Z4" s="32">
        <f t="shared" ref="Z4:Z20" ca="1" si="78">((L4+I4+(LOG(J4)*4/3))*0.516)</f>
        <v>3.0675360885466278</v>
      </c>
      <c r="AA4" s="32">
        <f t="shared" ref="AA4:AA20" ca="1" si="79">((L4+I4+(LOG(J4)*4/3))*1)</f>
        <v>5.9448373809043176</v>
      </c>
      <c r="AB4" s="32">
        <f t="shared" ref="AB4:AB20" ca="1" si="80">Z4/2</f>
        <v>1.5337680442733139</v>
      </c>
      <c r="AC4" s="32">
        <f t="shared" ref="AC4:AC20" ca="1" si="81">((M4+I4+(LOG(J4)*4/3))*0.238)</f>
        <v>0.28437129665522753</v>
      </c>
      <c r="AD4" s="32">
        <f t="shared" ref="AD4:AD20" ca="1" si="82">((L4+I4+(LOG(J4)*4/3))*0.378)</f>
        <v>2.2471485299818319</v>
      </c>
      <c r="AE4" s="32">
        <f t="shared" ref="AE4:AE20" ca="1" si="83">((L4+I4+(LOG(J4)*4/3))*0.723)</f>
        <v>4.2981174263938211</v>
      </c>
      <c r="AF4" s="32">
        <f t="shared" ref="AF4:AF20" ca="1" si="84">AD4/2</f>
        <v>1.1235742649909159</v>
      </c>
      <c r="AG4" s="32">
        <f t="shared" ref="AG4:AG20" ca="1" si="85">((M4+I4+(LOG(J4)*4/3))*0.385)</f>
        <v>0.46001239164816221</v>
      </c>
      <c r="AH4" s="32">
        <f t="shared" ref="AH4:AH20" ca="1" si="86">((L4+I4+(LOG(J4)*4/3))*0.92)</f>
        <v>5.4692503904319727</v>
      </c>
      <c r="AI4" s="32">
        <f t="shared" ref="AI4:AI20" ca="1" si="87">((L4+I4+(LOG(J4)*4/3))*0.414)</f>
        <v>2.4611626756943874</v>
      </c>
      <c r="AJ4" s="32">
        <f t="shared" ref="AJ4:AJ20" ca="1" si="88">((M4+I4+(LOG(J4)*4/3))*0.167)</f>
        <v>0.199537842611021</v>
      </c>
      <c r="AK4" s="32">
        <f t="shared" ref="AK4:AK20" ca="1" si="89">((N4+I4+(LOG(J4)*4/3))*0.588)</f>
        <v>2.4665643799717385</v>
      </c>
      <c r="AL4" s="32">
        <f t="shared" ref="AL4:AL20" ca="1" si="90">((L4+I4+(LOG(J4)*4/3))*0.754)</f>
        <v>4.4824073852018556</v>
      </c>
      <c r="AM4" s="32">
        <f t="shared" ref="AM4:AM20" ca="1" si="91">((L4+I4+(LOG(J4)*4/3))*0.708)</f>
        <v>4.2089448656802571</v>
      </c>
      <c r="AN4" s="32">
        <f t="shared" ref="AN4:AN20" ca="1" si="92">((Q4+I4+(LOG(J4)*4/3))*0.167)</f>
        <v>0.36653784261102107</v>
      </c>
      <c r="AO4" s="32">
        <f t="shared" ref="AO4:AO20" ca="1" si="93">((R4+I4+(LOG(J4)*4/3))*0.288)</f>
        <v>0.62311316570044339</v>
      </c>
      <c r="AP4" s="32">
        <f t="shared" ref="AP4:AP20" ca="1" si="94">((L4+I4+(LOG(J4)*4/3))*0.27)</f>
        <v>1.6051060928441658</v>
      </c>
      <c r="AQ4" s="32">
        <f t="shared" ref="AQ4:AQ20" ca="1" si="95">((L4+I4+(LOG(J4)*4/3))*0.594)</f>
        <v>3.5312334042571645</v>
      </c>
      <c r="AR4" s="32">
        <f t="shared" ref="AR4:AR20" ca="1" si="96">AP4/2</f>
        <v>0.80255304642208292</v>
      </c>
      <c r="AS4" s="32">
        <f t="shared" ref="AS4:AS20" ca="1" si="97">((M4+I4+(LOG(J4)*4/3))*0.944)</f>
        <v>1.1279264875736754</v>
      </c>
      <c r="AT4" s="32">
        <f t="shared" ref="AT4:AT20" ca="1" si="98">((O4+I4+(LOG(J4)*4/3))*0.13)</f>
        <v>0.15532885951756126</v>
      </c>
      <c r="AU4" s="32">
        <f t="shared" ref="AU4:AU20" ca="1" si="99">((P4+I4+(LOG(J4)*4/3))*0.173)+((O4+I4+(LOG(J4)*4/3))*0.12)</f>
        <v>0.52308735260496497</v>
      </c>
      <c r="AV4" s="32">
        <f t="shared" ref="AV4:AV20" ca="1" si="100">AT4/2</f>
        <v>7.7664429758780629E-2</v>
      </c>
      <c r="AW4" s="32">
        <f t="shared" ref="AW4:AW20" ca="1" si="101">((L4+I4+(LOG(J4)*4/3))*0.189)</f>
        <v>1.1235742649909159</v>
      </c>
      <c r="AX4" s="32">
        <f t="shared" ref="AX4:AX20" ca="1" si="102">((L4+I4+(LOG(J4)*4/3))*0.4)</f>
        <v>2.377934952361727</v>
      </c>
      <c r="AY4" s="32">
        <f t="shared" ref="AY4:AY20" ca="1" si="103">AW4/2</f>
        <v>0.56178713249545797</v>
      </c>
      <c r="AZ4" s="32">
        <f t="shared" ref="AZ4:AZ20" ca="1" si="104">((M4+I4+(LOG(J4)*4/3))*1)</f>
        <v>1.1948373809043173</v>
      </c>
      <c r="BA4" s="32">
        <f t="shared" ref="BA4:BA20" ca="1" si="105">((O4+I4+(LOG(J4)*4/3))*0.253)</f>
        <v>0.30229385736879227</v>
      </c>
      <c r="BB4" s="32">
        <f t="shared" ref="BB4:BB20" ca="1" si="106">((P4+I4+(LOG(J4)*4/3))*0.21)+((O4+I4+(LOG(J4)*4/3))*0.341)</f>
        <v>0.8683553968782789</v>
      </c>
      <c r="BC4" s="32">
        <f t="shared" ref="BC4:BC20" ca="1" si="107">BA4/2</f>
        <v>0.15114692868439614</v>
      </c>
      <c r="BD4" s="32">
        <f t="shared" ref="BD4:BD20" ca="1" si="108">((L4+I4+(LOG(J4)*4/3))*0.291)</f>
        <v>1.7299476778431564</v>
      </c>
      <c r="BE4" s="32">
        <f t="shared" ref="BE4:BE20" ca="1" si="109">((L4+I4+(LOG(J4)*4/3))*0.348)</f>
        <v>2.0688034085547025</v>
      </c>
      <c r="BF4" s="32">
        <f t="shared" ref="BF4:BF20" ca="1" si="110">((M4+I4+(LOG(J4)*4/3))*0.881)</f>
        <v>1.0526517325767035</v>
      </c>
      <c r="BG4" s="32">
        <f t="shared" ref="BG4:BG20" ca="1" si="111">((N4+I4+(LOG(J4)*4/3))*0.574)+((O4+I4+(LOG(J4)*4/3))*0.315)</f>
        <v>2.7842104316239382</v>
      </c>
      <c r="BH4" s="32">
        <f t="shared" ref="BH4:BH20" ca="1" si="112">((O4+I4+(LOG(J4)*4/3))*0.241)</f>
        <v>0.28795580879794047</v>
      </c>
      <c r="BI4" s="32">
        <f t="shared" ref="BI4:BI20" ca="1" si="113">((L4+I4+(LOG(J4)*4/3))*0.485)</f>
        <v>2.8832461297385938</v>
      </c>
      <c r="BJ4" s="32">
        <f t="shared" ref="BJ4:BJ20" ca="1" si="114">((L4+I4+(LOG(J4)*4/3))*0.264)</f>
        <v>1.56943706855874</v>
      </c>
      <c r="BK4" s="32">
        <f t="shared" ref="BK4:BK20" ca="1" si="115">((M4+I4+(LOG(J4)*4/3))*0.381)</f>
        <v>0.45523304212454491</v>
      </c>
      <c r="BL4" s="32">
        <f t="shared" ref="BL4:BL20" ca="1" si="116">((N4+I4+(LOG(J4)*4/3))*0.673)+((O4+I4+(LOG(J4)*4/3))*0.201)</f>
        <v>3.0632878709103739</v>
      </c>
      <c r="BM4" s="32">
        <f t="shared" ref="BM4:BM20" ca="1" si="117">((O4+I4+(LOG(J4)*4/3))*0.052)</f>
        <v>6.21315438070245E-2</v>
      </c>
      <c r="BN4" s="32">
        <f t="shared" ref="BN4:BN20" ca="1" si="118">((L4+I4+(LOG(J4)*4/3))*0.18)</f>
        <v>1.0700707285627771</v>
      </c>
      <c r="BO4" s="32">
        <f t="shared" ref="BO4:BO20" ca="1" si="119">((L4+I4+(LOG(J4)*4/3))*0.068)</f>
        <v>0.40424894190149363</v>
      </c>
      <c r="BP4" s="32">
        <f t="shared" ref="BP4:BP20" ca="1" si="120">((M4+I4+(LOG(J4)*4/3))*0.305)</f>
        <v>0.36442540117581679</v>
      </c>
      <c r="BQ4" s="32">
        <f t="shared" ref="BQ4:BQ20" ca="1" si="121">((N4+I4+(LOG(J4)*4/3))*1)+((O4+I4+(LOG(J4)*4/3))*0.286)</f>
        <v>4.5365608718429522</v>
      </c>
      <c r="BR4" s="32">
        <f t="shared" ref="BR4:BR20" ca="1" si="122">((O4+I4+(LOG(J4)*4/3))*0.135)</f>
        <v>0.16130304642208285</v>
      </c>
      <c r="BS4" s="32">
        <f t="shared" ref="BS4:BS20" ca="1" si="123">((L4+I4+(LOG(J4)*4/3))*0.284)</f>
        <v>1.688333816176826</v>
      </c>
      <c r="BT4" s="32">
        <f t="shared" ref="BT4:BT20" ca="1" si="124">((L4+I4+(LOG(J4)*4/3))*0.244)</f>
        <v>1.4505403209406535</v>
      </c>
      <c r="BU4" s="32">
        <f t="shared" ref="BU4:BU20" ca="1" si="125">((M4+I4+(LOG(J4)*4/3))*0.631)</f>
        <v>0.75394238735062424</v>
      </c>
      <c r="BV4" s="32">
        <f t="shared" ref="BV4:BV20" ca="1" si="126">((N4+I4+(LOG(J4)*4/3))*0.702)+((O4+I4+(LOG(J4)*4/3))*0.193)</f>
        <v>3.175379455909364</v>
      </c>
      <c r="BW4" s="32">
        <f t="shared" ref="BW4:BW20" ca="1" si="127">((O4+I4+(LOG(J4)*4/3))*0.148)</f>
        <v>0.17683593237383896</v>
      </c>
      <c r="BX4" s="32">
        <f t="shared" ref="BX4:BX20" ca="1" si="128">((M4+I4+(LOG(J4)*4/3))*0.406)</f>
        <v>0.48510397664715288</v>
      </c>
      <c r="BY4" s="32">
        <f t="shared" ref="BY4:BY20" ca="1" si="129">IF(D4="TEC",((N4+I4+(LOG(J4)*4/3))*0.15)+((O4+I4+(LOG(J4)*4/3))*0.324)+((P4+I4+(LOG(J4)*4/3))*0.127),((N4+I4+(LOG(J4)*4/3))*0.144)+((O4+I4+(LOG(J4)*4/3))*0.25)+((P4+I4+(LOG(J4)*4/3))*0.127))</f>
        <v>1.1815102754511493</v>
      </c>
      <c r="BZ4" s="32">
        <f t="shared" ref="BZ4:BZ20" ca="1" si="130">IF(D4="TEC",((O4+I4+(LOG(J4)*4/3))*0.543)+((P4+I4+(LOG(J4)*4/3))*0.583),((O4+I4+(LOG(J4)*4/3))*0.543)+((P4+I4+(LOG(J4)*4/3))*0.583))</f>
        <v>1.9283868908982615</v>
      </c>
      <c r="CA4" s="32">
        <f t="shared" ref="CA4:CA20" ca="1" si="131">BY4</f>
        <v>1.1815102754511493</v>
      </c>
      <c r="CB4" s="32">
        <f t="shared" ref="CB4:CB20" ca="1" si="132">((P4+I4+(LOG(J4)*4/3))*0.26)+((N4+I4+(LOG(J4)*4/3))*0.221)+((O4+I4+(LOG(J4)*4/3))*0.142)</f>
        <v>1.6673836883033897</v>
      </c>
      <c r="CC4" s="32">
        <f t="shared" ref="CC4:CC20" ca="1" si="133">((P4+I4+(LOG(J4)*4/3))*1)+((O4+I4+(LOG(J4)*4/3))*0.369)</f>
        <v>2.6357323744580108</v>
      </c>
      <c r="CD4" s="32">
        <f t="shared" ref="CD4:CD20" ca="1" si="134">CB4</f>
        <v>1.6673836883033897</v>
      </c>
      <c r="CE4" s="32">
        <f t="shared" ref="CE4:CE20" ca="1" si="135">((M4+I4+(LOG(J4)*4/3))*0.25)</f>
        <v>0.29870934522607934</v>
      </c>
    </row>
    <row r="5" spans="1:83" x14ac:dyDescent="0.25">
      <c r="A5" t="str">
        <f>Plantilla!D6</f>
        <v>Miguel Fernández</v>
      </c>
      <c r="B5">
        <f>Plantilla!E6</f>
        <v>22</v>
      </c>
      <c r="C5" s="30">
        <f ca="1">Plantilla!F6</f>
        <v>104</v>
      </c>
      <c r="D5" s="132">
        <f>Plantilla!G6</f>
        <v>0</v>
      </c>
      <c r="E5" s="28">
        <f>Plantilla!M6</f>
        <v>43395</v>
      </c>
      <c r="F5" s="42">
        <f>Plantilla!Q6</f>
        <v>4</v>
      </c>
      <c r="G5" s="43">
        <f t="shared" si="68"/>
        <v>0.7559289460184544</v>
      </c>
      <c r="H5" s="43">
        <f t="shared" si="69"/>
        <v>0.84430867747355465</v>
      </c>
      <c r="I5" s="138">
        <f ca="1">Plantilla!N6</f>
        <v>0.93202040297026145</v>
      </c>
      <c r="J5" s="34">
        <f>Plantilla!I6</f>
        <v>2.8</v>
      </c>
      <c r="K5" s="41">
        <f>Plantilla!X6</f>
        <v>0</v>
      </c>
      <c r="L5" s="41">
        <f>Plantilla!Y6</f>
        <v>15</v>
      </c>
      <c r="M5" s="41">
        <f>Plantilla!Z6</f>
        <v>5</v>
      </c>
      <c r="N5" s="41">
        <f>Plantilla!AA6</f>
        <v>5.4</v>
      </c>
      <c r="O5" s="41">
        <f>Plantilla!AB6</f>
        <v>6</v>
      </c>
      <c r="P5" s="41">
        <f>Plantilla!AC6</f>
        <v>2</v>
      </c>
      <c r="Q5" s="41">
        <f>Plantilla!AD6</f>
        <v>1</v>
      </c>
      <c r="R5" s="41">
        <f t="shared" si="70"/>
        <v>3.75</v>
      </c>
      <c r="S5" s="41">
        <f t="shared" si="71"/>
        <v>0.13</v>
      </c>
      <c r="T5" s="41">
        <f t="shared" si="72"/>
        <v>0.63</v>
      </c>
      <c r="U5" s="41">
        <f t="shared" ca="1" si="73"/>
        <v>1.9111630793517402</v>
      </c>
      <c r="V5" s="41">
        <f t="shared" ca="1" si="74"/>
        <v>2.1346074660360488</v>
      </c>
      <c r="W5" s="32">
        <f t="shared" ca="1" si="75"/>
        <v>5.4741457602753814</v>
      </c>
      <c r="X5" s="32">
        <f t="shared" ca="1" si="76"/>
        <v>8.3479463648516798</v>
      </c>
      <c r="Y5" s="32">
        <f t="shared" ca="1" si="77"/>
        <v>5.4741457602753814</v>
      </c>
      <c r="Z5" s="32">
        <f t="shared" ca="1" si="78"/>
        <v>8.5285672534961012</v>
      </c>
      <c r="AA5" s="32">
        <f t="shared" ca="1" si="79"/>
        <v>16.528231111426553</v>
      </c>
      <c r="AB5" s="32">
        <f t="shared" ca="1" si="80"/>
        <v>4.2642836267480506</v>
      </c>
      <c r="AC5" s="32">
        <f t="shared" ca="1" si="81"/>
        <v>1.5537190045195195</v>
      </c>
      <c r="AD5" s="32">
        <f t="shared" ca="1" si="82"/>
        <v>6.2476713601192371</v>
      </c>
      <c r="AE5" s="32">
        <f t="shared" ca="1" si="83"/>
        <v>11.949911093561397</v>
      </c>
      <c r="AF5" s="32">
        <f t="shared" ca="1" si="84"/>
        <v>3.1238356800596185</v>
      </c>
      <c r="AG5" s="32">
        <f t="shared" ca="1" si="85"/>
        <v>2.5133689778992232</v>
      </c>
      <c r="AH5" s="32">
        <f t="shared" ca="1" si="86"/>
        <v>15.20597262251243</v>
      </c>
      <c r="AI5" s="32">
        <f t="shared" ca="1" si="87"/>
        <v>6.8426876801305925</v>
      </c>
      <c r="AJ5" s="32">
        <f t="shared" ca="1" si="88"/>
        <v>1.0902145956082345</v>
      </c>
      <c r="AK5" s="32">
        <f t="shared" ca="1" si="89"/>
        <v>4.0737998935188129</v>
      </c>
      <c r="AL5" s="32">
        <f t="shared" ca="1" si="90"/>
        <v>12.462286258015622</v>
      </c>
      <c r="AM5" s="32">
        <f t="shared" ca="1" si="91"/>
        <v>11.701987626889998</v>
      </c>
      <c r="AN5" s="32">
        <f t="shared" ca="1" si="92"/>
        <v>0.42221459560823449</v>
      </c>
      <c r="AO5" s="32">
        <f t="shared" ca="1" si="93"/>
        <v>1.5201305600908472</v>
      </c>
      <c r="AP5" s="32">
        <f t="shared" ca="1" si="94"/>
        <v>4.46262240008517</v>
      </c>
      <c r="AQ5" s="32">
        <f t="shared" ca="1" si="95"/>
        <v>9.8177692801873722</v>
      </c>
      <c r="AR5" s="32">
        <f t="shared" ca="1" si="96"/>
        <v>2.231311200042585</v>
      </c>
      <c r="AS5" s="32">
        <f t="shared" ca="1" si="97"/>
        <v>6.1626501691866657</v>
      </c>
      <c r="AT5" s="32">
        <f t="shared" ca="1" si="98"/>
        <v>0.97867004448545192</v>
      </c>
      <c r="AU5" s="32">
        <f t="shared" ca="1" si="99"/>
        <v>1.5137717156479802</v>
      </c>
      <c r="AV5" s="32">
        <f t="shared" ca="1" si="100"/>
        <v>0.48933502224272596</v>
      </c>
      <c r="AW5" s="32">
        <f t="shared" ca="1" si="101"/>
        <v>3.1238356800596185</v>
      </c>
      <c r="AX5" s="32">
        <f t="shared" ca="1" si="102"/>
        <v>6.6112924445706218</v>
      </c>
      <c r="AY5" s="32">
        <f t="shared" ca="1" si="103"/>
        <v>1.5619178400298093</v>
      </c>
      <c r="AZ5" s="32">
        <f t="shared" ca="1" si="104"/>
        <v>6.5282311114265532</v>
      </c>
      <c r="BA5" s="32">
        <f t="shared" ca="1" si="105"/>
        <v>1.904642471190918</v>
      </c>
      <c r="BB5" s="32">
        <f t="shared" ca="1" si="106"/>
        <v>3.3080553423960311</v>
      </c>
      <c r="BC5" s="32">
        <f t="shared" ca="1" si="107"/>
        <v>0.952321235595459</v>
      </c>
      <c r="BD5" s="32">
        <f t="shared" ca="1" si="108"/>
        <v>4.8097152534251268</v>
      </c>
      <c r="BE5" s="32">
        <f t="shared" ca="1" si="109"/>
        <v>5.75182442677644</v>
      </c>
      <c r="BF5" s="32">
        <f t="shared" ca="1" si="110"/>
        <v>5.7513716091667932</v>
      </c>
      <c r="BG5" s="32">
        <f t="shared" ca="1" si="111"/>
        <v>6.3481974580582055</v>
      </c>
      <c r="BH5" s="32">
        <f t="shared" ca="1" si="112"/>
        <v>1.8143036978537992</v>
      </c>
      <c r="BI5" s="32">
        <f t="shared" ca="1" si="113"/>
        <v>8.0161920890418781</v>
      </c>
      <c r="BJ5" s="32">
        <f t="shared" ca="1" si="114"/>
        <v>4.3634530134166098</v>
      </c>
      <c r="BK5" s="32">
        <f t="shared" ca="1" si="115"/>
        <v>2.4872560534535166</v>
      </c>
      <c r="BL5" s="32">
        <f t="shared" ca="1" si="116"/>
        <v>6.1758739913868084</v>
      </c>
      <c r="BM5" s="32">
        <f t="shared" ca="1" si="117"/>
        <v>0.39146801779418072</v>
      </c>
      <c r="BN5" s="32">
        <f t="shared" ca="1" si="118"/>
        <v>2.9750816000567797</v>
      </c>
      <c r="BO5" s="32">
        <f t="shared" ca="1" si="119"/>
        <v>1.1239197155770058</v>
      </c>
      <c r="BP5" s="32">
        <f t="shared" ca="1" si="120"/>
        <v>1.9911104889850988</v>
      </c>
      <c r="BQ5" s="32">
        <f t="shared" ca="1" si="121"/>
        <v>9.0813052092945483</v>
      </c>
      <c r="BR5" s="32">
        <f t="shared" ca="1" si="122"/>
        <v>1.0163112000425847</v>
      </c>
      <c r="BS5" s="32">
        <f t="shared" ca="1" si="123"/>
        <v>4.6940176356451406</v>
      </c>
      <c r="BT5" s="32">
        <f t="shared" ca="1" si="124"/>
        <v>4.0328883911880791</v>
      </c>
      <c r="BU5" s="32">
        <f t="shared" ca="1" si="125"/>
        <v>4.1193138313101549</v>
      </c>
      <c r="BV5" s="32">
        <f t="shared" ca="1" si="126"/>
        <v>6.3165668447267658</v>
      </c>
      <c r="BW5" s="32">
        <f t="shared" ca="1" si="127"/>
        <v>1.1141782044911299</v>
      </c>
      <c r="BX5" s="32">
        <f t="shared" ca="1" si="128"/>
        <v>2.650461831239181</v>
      </c>
      <c r="BY5" s="32">
        <f t="shared" ca="1" si="129"/>
        <v>3.3278084090532345</v>
      </c>
      <c r="BZ5" s="32">
        <f t="shared" ca="1" si="130"/>
        <v>6.1447882314662987</v>
      </c>
      <c r="CA5" s="32">
        <f t="shared" ca="1" si="131"/>
        <v>3.3278084090532345</v>
      </c>
      <c r="CB5" s="32">
        <f t="shared" ca="1" si="132"/>
        <v>3.5174879824187428</v>
      </c>
      <c r="CC5" s="32">
        <f t="shared" ca="1" si="133"/>
        <v>6.3061483915429513</v>
      </c>
      <c r="CD5" s="32">
        <f t="shared" ca="1" si="134"/>
        <v>3.5174879824187428</v>
      </c>
      <c r="CE5" s="32">
        <f t="shared" ca="1" si="135"/>
        <v>1.6320577778566383</v>
      </c>
    </row>
    <row r="6" spans="1:83" x14ac:dyDescent="0.25">
      <c r="A6" t="str">
        <f>Plantilla!D7</f>
        <v>Iván Real Figueroa</v>
      </c>
      <c r="B6">
        <f>Plantilla!E7</f>
        <v>22</v>
      </c>
      <c r="C6" s="30">
        <f ca="1">Plantilla!F7</f>
        <v>85</v>
      </c>
      <c r="D6" s="132">
        <f>Plantilla!G7</f>
        <v>0</v>
      </c>
      <c r="E6" s="28">
        <f>Plantilla!M7</f>
        <v>43410</v>
      </c>
      <c r="F6" s="42">
        <f>Plantilla!Q7</f>
        <v>6</v>
      </c>
      <c r="G6" s="43">
        <f t="shared" si="68"/>
        <v>0.92582009977255142</v>
      </c>
      <c r="H6" s="43">
        <f t="shared" si="69"/>
        <v>0.99928545900129484</v>
      </c>
      <c r="I6" s="138">
        <f ca="1">Plantilla!N7</f>
        <v>0.90202198693989699</v>
      </c>
      <c r="J6" s="34">
        <f>Plantilla!I7</f>
        <v>3.8</v>
      </c>
      <c r="K6" s="41">
        <f>Plantilla!X7</f>
        <v>0</v>
      </c>
      <c r="L6" s="41">
        <f>Plantilla!Y7</f>
        <v>14.9375</v>
      </c>
      <c r="M6" s="41">
        <f>Plantilla!Z7</f>
        <v>5</v>
      </c>
      <c r="N6" s="41">
        <f>Plantilla!AA7</f>
        <v>7</v>
      </c>
      <c r="O6" s="41">
        <f>Plantilla!AB7</f>
        <v>5.25</v>
      </c>
      <c r="P6" s="41">
        <f>Plantilla!AC7</f>
        <v>1</v>
      </c>
      <c r="Q6" s="41">
        <f>Plantilla!AD7</f>
        <v>0</v>
      </c>
      <c r="R6" s="41">
        <f t="shared" si="70"/>
        <v>3.5546875</v>
      </c>
      <c r="S6" s="41">
        <f t="shared" si="71"/>
        <v>0.05</v>
      </c>
      <c r="T6" s="41">
        <f t="shared" si="72"/>
        <v>0.59750000000000003</v>
      </c>
      <c r="U6" s="41">
        <f t="shared" ca="1" si="73"/>
        <v>1.5508104956340822</v>
      </c>
      <c r="V6" s="41">
        <f t="shared" ca="1" si="74"/>
        <v>1.6738698785373625</v>
      </c>
      <c r="W6" s="32">
        <f t="shared" ca="1" si="75"/>
        <v>5.5850833010604974</v>
      </c>
      <c r="X6" s="32">
        <f t="shared" ca="1" si="76"/>
        <v>8.5109487161158093</v>
      </c>
      <c r="Y6" s="32">
        <f t="shared" ca="1" si="77"/>
        <v>5.5850833010604974</v>
      </c>
      <c r="Z6" s="32">
        <f t="shared" ca="1" si="78"/>
        <v>8.5720844597333521</v>
      </c>
      <c r="AA6" s="32">
        <f t="shared" ca="1" si="79"/>
        <v>16.612566782428978</v>
      </c>
      <c r="AB6" s="32">
        <f t="shared" ca="1" si="80"/>
        <v>4.286042229866676</v>
      </c>
      <c r="AC6" s="32">
        <f t="shared" ca="1" si="81"/>
        <v>1.5886658942180967</v>
      </c>
      <c r="AD6" s="32">
        <f t="shared" ca="1" si="82"/>
        <v>6.2795502437581536</v>
      </c>
      <c r="AE6" s="32">
        <f t="shared" ca="1" si="83"/>
        <v>12.01088578369615</v>
      </c>
      <c r="AF6" s="32">
        <f t="shared" ca="1" si="84"/>
        <v>3.1397751218790768</v>
      </c>
      <c r="AG6" s="32">
        <f t="shared" ca="1" si="85"/>
        <v>2.5699007112351566</v>
      </c>
      <c r="AH6" s="32">
        <f t="shared" ca="1" si="86"/>
        <v>15.28356143983466</v>
      </c>
      <c r="AI6" s="32">
        <f t="shared" ca="1" si="87"/>
        <v>6.8776026479255963</v>
      </c>
      <c r="AJ6" s="32">
        <f t="shared" ca="1" si="88"/>
        <v>1.1147361526656394</v>
      </c>
      <c r="AK6" s="32">
        <f t="shared" ca="1" si="89"/>
        <v>5.1009392680682391</v>
      </c>
      <c r="AL6" s="32">
        <f t="shared" ca="1" si="90"/>
        <v>12.525875353951449</v>
      </c>
      <c r="AM6" s="32">
        <f t="shared" ca="1" si="91"/>
        <v>11.761697281959716</v>
      </c>
      <c r="AN6" s="32">
        <f t="shared" ca="1" si="92"/>
        <v>0.27973615266563917</v>
      </c>
      <c r="AO6" s="32">
        <f t="shared" ca="1" si="93"/>
        <v>1.5061692333395456</v>
      </c>
      <c r="AP6" s="32">
        <f t="shared" ca="1" si="94"/>
        <v>4.4853930312558239</v>
      </c>
      <c r="AQ6" s="32">
        <f t="shared" ca="1" si="95"/>
        <v>9.8678646687628131</v>
      </c>
      <c r="AR6" s="32">
        <f t="shared" ca="1" si="96"/>
        <v>2.2426965156279119</v>
      </c>
      <c r="AS6" s="32">
        <f t="shared" ca="1" si="97"/>
        <v>6.3012630426129546</v>
      </c>
      <c r="AT6" s="32">
        <f t="shared" ca="1" si="98"/>
        <v>0.90025868171576717</v>
      </c>
      <c r="AU6" s="32">
        <f t="shared" ca="1" si="99"/>
        <v>1.2937945672516902</v>
      </c>
      <c r="AV6" s="32">
        <f t="shared" ca="1" si="100"/>
        <v>0.45012934085788359</v>
      </c>
      <c r="AW6" s="32">
        <f t="shared" ca="1" si="101"/>
        <v>3.1397751218790768</v>
      </c>
      <c r="AX6" s="32">
        <f t="shared" ca="1" si="102"/>
        <v>6.6450267129715916</v>
      </c>
      <c r="AY6" s="32">
        <f t="shared" ca="1" si="103"/>
        <v>1.5698875609395384</v>
      </c>
      <c r="AZ6" s="32">
        <f t="shared" ca="1" si="104"/>
        <v>6.6750667824289778</v>
      </c>
      <c r="BA6" s="32">
        <f t="shared" ca="1" si="105"/>
        <v>1.7520418959545314</v>
      </c>
      <c r="BB6" s="32">
        <f t="shared" ca="1" si="106"/>
        <v>2.9232117971183667</v>
      </c>
      <c r="BC6" s="32">
        <f t="shared" ca="1" si="107"/>
        <v>0.87602094797726571</v>
      </c>
      <c r="BD6" s="32">
        <f t="shared" ca="1" si="108"/>
        <v>4.8342569336868326</v>
      </c>
      <c r="BE6" s="32">
        <f t="shared" ca="1" si="109"/>
        <v>5.781173240285284</v>
      </c>
      <c r="BF6" s="32">
        <f t="shared" ca="1" si="110"/>
        <v>5.8807338353199299</v>
      </c>
      <c r="BG6" s="32">
        <f t="shared" ca="1" si="111"/>
        <v>7.1608843695793611</v>
      </c>
      <c r="BH6" s="32">
        <f t="shared" ca="1" si="112"/>
        <v>1.6689410945653835</v>
      </c>
      <c r="BI6" s="32">
        <f t="shared" ca="1" si="113"/>
        <v>8.0570948894780532</v>
      </c>
      <c r="BJ6" s="32">
        <f t="shared" ca="1" si="114"/>
        <v>4.38571763056125</v>
      </c>
      <c r="BK6" s="32">
        <f t="shared" ca="1" si="115"/>
        <v>2.5432004441054405</v>
      </c>
      <c r="BL6" s="32">
        <f t="shared" ca="1" si="116"/>
        <v>7.2302583678429269</v>
      </c>
      <c r="BM6" s="32">
        <f t="shared" ca="1" si="117"/>
        <v>0.36010347268630682</v>
      </c>
      <c r="BN6" s="32">
        <f t="shared" ca="1" si="118"/>
        <v>2.9902620208372159</v>
      </c>
      <c r="BO6" s="32">
        <f t="shared" ca="1" si="119"/>
        <v>1.1296545412051706</v>
      </c>
      <c r="BP6" s="32">
        <f t="shared" ca="1" si="120"/>
        <v>2.0358953686408383</v>
      </c>
      <c r="BQ6" s="32">
        <f t="shared" ca="1" si="121"/>
        <v>10.655635882203665</v>
      </c>
      <c r="BR6" s="32">
        <f t="shared" ca="1" si="122"/>
        <v>0.93488401562791201</v>
      </c>
      <c r="BS6" s="32">
        <f t="shared" ca="1" si="123"/>
        <v>4.7179689662098294</v>
      </c>
      <c r="BT6" s="32">
        <f t="shared" ca="1" si="124"/>
        <v>4.0534662949126705</v>
      </c>
      <c r="BU6" s="32">
        <f t="shared" ca="1" si="125"/>
        <v>4.2119671397126854</v>
      </c>
      <c r="BV6" s="32">
        <f t="shared" ca="1" si="126"/>
        <v>7.4264347702739348</v>
      </c>
      <c r="BW6" s="32">
        <f t="shared" ca="1" si="127"/>
        <v>1.0249098837994886</v>
      </c>
      <c r="BX6" s="32">
        <f t="shared" ca="1" si="128"/>
        <v>2.710077113666165</v>
      </c>
      <c r="BY6" s="32">
        <f t="shared" ca="1" si="129"/>
        <v>3.3202097936454971</v>
      </c>
      <c r="BZ6" s="32">
        <f t="shared" ca="1" si="130"/>
        <v>5.3198751970150289</v>
      </c>
      <c r="CA6" s="32">
        <f t="shared" ca="1" si="131"/>
        <v>3.3202097936454971</v>
      </c>
      <c r="CB6" s="32">
        <f t="shared" ca="1" si="132"/>
        <v>3.5960666054532529</v>
      </c>
      <c r="CC6" s="32">
        <f t="shared" ca="1" si="133"/>
        <v>5.2304164251452701</v>
      </c>
      <c r="CD6" s="32">
        <f t="shared" ca="1" si="134"/>
        <v>3.5960666054532529</v>
      </c>
      <c r="CE6" s="32">
        <f t="shared" ca="1" si="135"/>
        <v>1.6687666956072444</v>
      </c>
    </row>
    <row r="7" spans="1:83" x14ac:dyDescent="0.25">
      <c r="A7" t="str">
        <f>Plantilla!D8</f>
        <v>Berto Abandero</v>
      </c>
      <c r="B7">
        <f>Plantilla!E8</f>
        <v>23</v>
      </c>
      <c r="C7" s="30">
        <f ca="1">Plantilla!F8</f>
        <v>23</v>
      </c>
      <c r="D7" s="132">
        <f>Plantilla!G8</f>
        <v>0</v>
      </c>
      <c r="E7" s="28">
        <f>Plantilla!M8</f>
        <v>43383</v>
      </c>
      <c r="F7" s="42">
        <f>Plantilla!Q8</f>
        <v>6</v>
      </c>
      <c r="G7" s="43">
        <f t="shared" si="68"/>
        <v>0.92582009977255142</v>
      </c>
      <c r="H7" s="43">
        <f t="shared" si="69"/>
        <v>0.99928545900129484</v>
      </c>
      <c r="I7" s="138">
        <f ca="1">Plantilla!N8</f>
        <v>0.95563322019551677</v>
      </c>
      <c r="J7" s="34">
        <f>Plantilla!I8</f>
        <v>4</v>
      </c>
      <c r="K7" s="41">
        <f>Plantilla!X8</f>
        <v>0</v>
      </c>
      <c r="L7" s="41">
        <f>Plantilla!Y8</f>
        <v>13.083333333333334</v>
      </c>
      <c r="M7" s="41">
        <f>Plantilla!Z8</f>
        <v>3</v>
      </c>
      <c r="N7" s="41">
        <f>Plantilla!AA8</f>
        <v>7.1999999999999993</v>
      </c>
      <c r="O7" s="41">
        <f>Plantilla!AB8</f>
        <v>10.125</v>
      </c>
      <c r="P7" s="41">
        <f>Plantilla!AC8</f>
        <v>3</v>
      </c>
      <c r="Q7" s="41">
        <f>Plantilla!AD8</f>
        <v>2</v>
      </c>
      <c r="R7" s="41">
        <f t="shared" si="70"/>
        <v>4.541666666666667</v>
      </c>
      <c r="S7" s="41">
        <f t="shared" si="71"/>
        <v>0.21000000000000002</v>
      </c>
      <c r="T7" s="41">
        <f t="shared" si="72"/>
        <v>0.58333333333333337</v>
      </c>
      <c r="U7" s="41">
        <f t="shared" ca="1" si="73"/>
        <v>3.4795836311329014</v>
      </c>
      <c r="V7" s="41">
        <f t="shared" ca="1" si="74"/>
        <v>3.7556943587898566</v>
      </c>
      <c r="W7" s="32">
        <f t="shared" ca="1" si="75"/>
        <v>5.1460656311364357</v>
      </c>
      <c r="X7" s="32">
        <f t="shared" ca="1" si="76"/>
        <v>7.8304850856782791</v>
      </c>
      <c r="Y7" s="32">
        <f t="shared" ca="1" si="77"/>
        <v>5.1460656311364357</v>
      </c>
      <c r="Z7" s="32">
        <f t="shared" ca="1" si="78"/>
        <v>7.658324015654526</v>
      </c>
      <c r="AA7" s="32">
        <f t="shared" ca="1" si="79"/>
        <v>14.841713208632802</v>
      </c>
      <c r="AB7" s="32">
        <f t="shared" ca="1" si="80"/>
        <v>3.829162007827263</v>
      </c>
      <c r="AC7" s="32">
        <f t="shared" ca="1" si="81"/>
        <v>1.1324944103212728</v>
      </c>
      <c r="AD7" s="32">
        <f t="shared" ca="1" si="82"/>
        <v>5.6101675928631991</v>
      </c>
      <c r="AE7" s="32">
        <f t="shared" ca="1" si="83"/>
        <v>10.730558649841516</v>
      </c>
      <c r="AF7" s="32">
        <f t="shared" ca="1" si="84"/>
        <v>2.8050837964315996</v>
      </c>
      <c r="AG7" s="32">
        <f t="shared" ca="1" si="85"/>
        <v>1.8319762519902947</v>
      </c>
      <c r="AH7" s="32">
        <f t="shared" ca="1" si="86"/>
        <v>13.654376151942179</v>
      </c>
      <c r="AI7" s="32">
        <f t="shared" ca="1" si="87"/>
        <v>6.1444692683739799</v>
      </c>
      <c r="AJ7" s="32">
        <f t="shared" ca="1" si="88"/>
        <v>0.79464943917501096</v>
      </c>
      <c r="AK7" s="32">
        <f t="shared" ca="1" si="89"/>
        <v>5.2675273666760862</v>
      </c>
      <c r="AL7" s="32">
        <f t="shared" ca="1" si="90"/>
        <v>11.190651759309134</v>
      </c>
      <c r="AM7" s="32">
        <f t="shared" ca="1" si="91"/>
        <v>10.507932951712023</v>
      </c>
      <c r="AN7" s="32">
        <f t="shared" ca="1" si="92"/>
        <v>0.62764943917501093</v>
      </c>
      <c r="AO7" s="32">
        <f t="shared" ca="1" si="93"/>
        <v>1.8144134040862463</v>
      </c>
      <c r="AP7" s="32">
        <f t="shared" ca="1" si="94"/>
        <v>4.0072625663308568</v>
      </c>
      <c r="AQ7" s="32">
        <f t="shared" ca="1" si="95"/>
        <v>8.8159776459278838</v>
      </c>
      <c r="AR7" s="32">
        <f t="shared" ca="1" si="96"/>
        <v>2.0036312831654284</v>
      </c>
      <c r="AS7" s="32">
        <f t="shared" ca="1" si="97"/>
        <v>4.4919106022826965</v>
      </c>
      <c r="AT7" s="32">
        <f t="shared" ca="1" si="98"/>
        <v>1.5448393837889309</v>
      </c>
      <c r="AU7" s="32">
        <f t="shared" ca="1" si="99"/>
        <v>2.2492053034627437</v>
      </c>
      <c r="AV7" s="32">
        <f t="shared" ca="1" si="100"/>
        <v>0.77241969189446547</v>
      </c>
      <c r="AW7" s="32">
        <f t="shared" ca="1" si="101"/>
        <v>2.8050837964315996</v>
      </c>
      <c r="AX7" s="32">
        <f t="shared" ca="1" si="102"/>
        <v>5.9366852834531212</v>
      </c>
      <c r="AY7" s="32">
        <f t="shared" ca="1" si="103"/>
        <v>1.4025418982157998</v>
      </c>
      <c r="AZ7" s="32">
        <f t="shared" ca="1" si="104"/>
        <v>4.7583798752994664</v>
      </c>
      <c r="BA7" s="32">
        <f t="shared" ca="1" si="105"/>
        <v>3.0064951084507654</v>
      </c>
      <c r="BB7" s="32">
        <f t="shared" ca="1" si="106"/>
        <v>5.0514923112900068</v>
      </c>
      <c r="BC7" s="32">
        <f t="shared" ca="1" si="107"/>
        <v>1.5032475542253827</v>
      </c>
      <c r="BD7" s="32">
        <f t="shared" ca="1" si="108"/>
        <v>4.3189385437121448</v>
      </c>
      <c r="BE7" s="32">
        <f t="shared" ca="1" si="109"/>
        <v>5.1649161966042145</v>
      </c>
      <c r="BF7" s="32">
        <f t="shared" ca="1" si="110"/>
        <v>4.1921326701388297</v>
      </c>
      <c r="BG7" s="32">
        <f t="shared" ca="1" si="111"/>
        <v>8.8853747091412263</v>
      </c>
      <c r="BH7" s="32">
        <f t="shared" ca="1" si="112"/>
        <v>2.8638945499471715</v>
      </c>
      <c r="BI7" s="32">
        <f t="shared" ca="1" si="113"/>
        <v>7.1982309061869092</v>
      </c>
      <c r="BJ7" s="32">
        <f t="shared" ca="1" si="114"/>
        <v>3.9182122870790601</v>
      </c>
      <c r="BK7" s="32">
        <f t="shared" ca="1" si="115"/>
        <v>1.8129427324890968</v>
      </c>
      <c r="BL7" s="32">
        <f t="shared" ca="1" si="116"/>
        <v>8.4175490110117348</v>
      </c>
      <c r="BM7" s="32">
        <f t="shared" ca="1" si="117"/>
        <v>0.61793575351557228</v>
      </c>
      <c r="BN7" s="32">
        <f t="shared" ca="1" si="118"/>
        <v>2.6715083775539044</v>
      </c>
      <c r="BO7" s="32">
        <f t="shared" ca="1" si="119"/>
        <v>1.0092364981870305</v>
      </c>
      <c r="BP7" s="32">
        <f t="shared" ca="1" si="120"/>
        <v>1.4513058619663373</v>
      </c>
      <c r="BQ7" s="32">
        <f t="shared" ca="1" si="121"/>
        <v>12.357026519635115</v>
      </c>
      <c r="BR7" s="32">
        <f t="shared" ca="1" si="122"/>
        <v>1.6042562831654283</v>
      </c>
      <c r="BS7" s="32">
        <f t="shared" ca="1" si="123"/>
        <v>4.2150465512517155</v>
      </c>
      <c r="BT7" s="32">
        <f t="shared" ca="1" si="124"/>
        <v>3.6213780229064034</v>
      </c>
      <c r="BU7" s="32">
        <f t="shared" ca="1" si="125"/>
        <v>3.0025377013139631</v>
      </c>
      <c r="BV7" s="32">
        <f t="shared" ca="1" si="126"/>
        <v>8.5822749883930225</v>
      </c>
      <c r="BW7" s="32">
        <f t="shared" ca="1" si="127"/>
        <v>1.7587402215443213</v>
      </c>
      <c r="BX7" s="32">
        <f t="shared" ca="1" si="128"/>
        <v>1.9319022293715835</v>
      </c>
      <c r="BY7" s="32">
        <f t="shared" ca="1" si="129"/>
        <v>4.8651659150310227</v>
      </c>
      <c r="BZ7" s="32">
        <f t="shared" ca="1" si="130"/>
        <v>9.2268107395872008</v>
      </c>
      <c r="CA7" s="32">
        <f t="shared" ca="1" si="131"/>
        <v>4.8651659150310227</v>
      </c>
      <c r="CB7" s="32">
        <f t="shared" ca="1" si="132"/>
        <v>4.9044206623115683</v>
      </c>
      <c r="CC7" s="32">
        <f t="shared" ca="1" si="133"/>
        <v>9.1433470492849693</v>
      </c>
      <c r="CD7" s="32">
        <f t="shared" ca="1" si="134"/>
        <v>4.9044206623115683</v>
      </c>
      <c r="CE7" s="32">
        <f t="shared" ca="1" si="135"/>
        <v>1.1895949688248666</v>
      </c>
    </row>
    <row r="8" spans="1:83" x14ac:dyDescent="0.25">
      <c r="A8" t="str">
        <f>Plantilla!D9</f>
        <v>Guillermo Pedrajas</v>
      </c>
      <c r="B8">
        <f>Plantilla!E9</f>
        <v>23</v>
      </c>
      <c r="C8" s="30">
        <f ca="1">Plantilla!F9</f>
        <v>8</v>
      </c>
      <c r="D8" s="132">
        <f>Plantilla!G9</f>
        <v>0</v>
      </c>
      <c r="E8" s="28">
        <f>Plantilla!M9</f>
        <v>43419</v>
      </c>
      <c r="F8" s="42">
        <f>Plantilla!Q9</f>
        <v>6</v>
      </c>
      <c r="G8" s="43">
        <f t="shared" si="68"/>
        <v>0.92582009977255142</v>
      </c>
      <c r="H8" s="43">
        <f t="shared" si="69"/>
        <v>0.99928545900129484</v>
      </c>
      <c r="I8" s="138">
        <f ca="1">Plantilla!N9</f>
        <v>0.8837509927653624</v>
      </c>
      <c r="J8" s="34">
        <f>Plantilla!I9</f>
        <v>4.7</v>
      </c>
      <c r="K8" s="41">
        <f>Plantilla!X9</f>
        <v>0</v>
      </c>
      <c r="L8" s="41">
        <f>Plantilla!Y9</f>
        <v>11.111111111111111</v>
      </c>
      <c r="M8" s="41">
        <f>Plantilla!Z9</f>
        <v>11</v>
      </c>
      <c r="N8" s="41">
        <f>Plantilla!AA9</f>
        <v>4</v>
      </c>
      <c r="O8" s="41">
        <f>Plantilla!AB9</f>
        <v>9.1428571428571423</v>
      </c>
      <c r="P8" s="41">
        <f>Plantilla!AC9</f>
        <v>4</v>
      </c>
      <c r="Q8" s="41">
        <f>Plantilla!AD9</f>
        <v>1</v>
      </c>
      <c r="R8" s="41">
        <f t="shared" si="70"/>
        <v>4.049603174603174</v>
      </c>
      <c r="S8" s="41">
        <f t="shared" si="71"/>
        <v>0.22999999999999998</v>
      </c>
      <c r="T8" s="41">
        <f t="shared" si="72"/>
        <v>0.47444444444444445</v>
      </c>
      <c r="U8" s="41">
        <f t="shared" ca="1" si="73"/>
        <v>2.5736701399232893</v>
      </c>
      <c r="V8" s="41">
        <f t="shared" ca="1" si="74"/>
        <v>2.777895130731121</v>
      </c>
      <c r="W8" s="32">
        <f t="shared" ca="1" si="75"/>
        <v>4.6205031899880034</v>
      </c>
      <c r="X8" s="32">
        <f t="shared" ca="1" si="76"/>
        <v>7.0200492000089865</v>
      </c>
      <c r="Y8" s="32">
        <f t="shared" ca="1" si="77"/>
        <v>4.6205031899880034</v>
      </c>
      <c r="Z8" s="32">
        <f t="shared" ca="1" si="78"/>
        <v>6.6517521718600339</v>
      </c>
      <c r="AA8" s="32">
        <f t="shared" ca="1" si="79"/>
        <v>12.890992581124097</v>
      </c>
      <c r="AB8" s="32">
        <f t="shared" ca="1" si="80"/>
        <v>3.3258760859300169</v>
      </c>
      <c r="AC8" s="32">
        <f t="shared" ca="1" si="81"/>
        <v>3.0416117898630906</v>
      </c>
      <c r="AD8" s="32">
        <f t="shared" ca="1" si="82"/>
        <v>4.8727951956649092</v>
      </c>
      <c r="AE8" s="32">
        <f t="shared" ca="1" si="83"/>
        <v>9.3201876361527223</v>
      </c>
      <c r="AF8" s="32">
        <f t="shared" ca="1" si="84"/>
        <v>2.4363975978324546</v>
      </c>
      <c r="AG8" s="32">
        <f t="shared" ca="1" si="85"/>
        <v>4.9202543659549995</v>
      </c>
      <c r="AH8" s="32">
        <f t="shared" ca="1" si="86"/>
        <v>11.85971317463417</v>
      </c>
      <c r="AI8" s="32">
        <f t="shared" ca="1" si="87"/>
        <v>5.3368709285853759</v>
      </c>
      <c r="AJ8" s="32">
        <f t="shared" ca="1" si="88"/>
        <v>2.1342402054921688</v>
      </c>
      <c r="AK8" s="32">
        <f t="shared" ca="1" si="89"/>
        <v>3.3985703043676354</v>
      </c>
      <c r="AL8" s="32">
        <f t="shared" ca="1" si="90"/>
        <v>9.7198084061675694</v>
      </c>
      <c r="AM8" s="32">
        <f t="shared" ca="1" si="91"/>
        <v>9.1268227474358596</v>
      </c>
      <c r="AN8" s="32">
        <f t="shared" ca="1" si="92"/>
        <v>0.46424020549216866</v>
      </c>
      <c r="AO8" s="32">
        <f t="shared" ca="1" si="93"/>
        <v>1.6788915776494537</v>
      </c>
      <c r="AP8" s="32">
        <f t="shared" ca="1" si="94"/>
        <v>3.4805679969035066</v>
      </c>
      <c r="AQ8" s="32">
        <f t="shared" ca="1" si="95"/>
        <v>7.6572495931877134</v>
      </c>
      <c r="AR8" s="32">
        <f t="shared" ca="1" si="96"/>
        <v>1.7402839984517533</v>
      </c>
      <c r="AS8" s="32">
        <f t="shared" ca="1" si="97"/>
        <v>12.064208107692258</v>
      </c>
      <c r="AT8" s="32">
        <f t="shared" ca="1" si="98"/>
        <v>1.4199560196731167</v>
      </c>
      <c r="AU8" s="32">
        <f t="shared" ca="1" si="99"/>
        <v>2.3106481278566617</v>
      </c>
      <c r="AV8" s="32">
        <f t="shared" ca="1" si="100"/>
        <v>0.70997800983655834</v>
      </c>
      <c r="AW8" s="32">
        <f t="shared" ca="1" si="101"/>
        <v>2.4363975978324546</v>
      </c>
      <c r="AX8" s="32">
        <f t="shared" ca="1" si="102"/>
        <v>5.1563970324496395</v>
      </c>
      <c r="AY8" s="32">
        <f t="shared" ca="1" si="103"/>
        <v>1.2181987989162273</v>
      </c>
      <c r="AZ8" s="32">
        <f t="shared" ca="1" si="104"/>
        <v>12.779881470012986</v>
      </c>
      <c r="BA8" s="32">
        <f t="shared" ca="1" si="105"/>
        <v>2.7634528690561426</v>
      </c>
      <c r="BB8" s="32">
        <f t="shared" ca="1" si="106"/>
        <v>4.9384289756914406</v>
      </c>
      <c r="BC8" s="32">
        <f t="shared" ca="1" si="107"/>
        <v>1.3817264345280713</v>
      </c>
      <c r="BD8" s="32">
        <f t="shared" ca="1" si="108"/>
        <v>3.7512788411071121</v>
      </c>
      <c r="BE8" s="32">
        <f t="shared" ca="1" si="109"/>
        <v>4.4860654182311857</v>
      </c>
      <c r="BF8" s="32">
        <f t="shared" ca="1" si="110"/>
        <v>11.259075575081441</v>
      </c>
      <c r="BG8" s="32">
        <f t="shared" ca="1" si="111"/>
        <v>6.7583146268415444</v>
      </c>
      <c r="BH8" s="32">
        <f t="shared" ca="1" si="112"/>
        <v>2.6323800057017008</v>
      </c>
      <c r="BI8" s="32">
        <f t="shared" ca="1" si="113"/>
        <v>6.2521314018451868</v>
      </c>
      <c r="BJ8" s="32">
        <f t="shared" ca="1" si="114"/>
        <v>3.403222041416762</v>
      </c>
      <c r="BK8" s="32">
        <f t="shared" ca="1" si="115"/>
        <v>4.8691348400749481</v>
      </c>
      <c r="BL8" s="32">
        <f t="shared" ca="1" si="116"/>
        <v>6.0853306905056357</v>
      </c>
      <c r="BM8" s="32">
        <f t="shared" ca="1" si="117"/>
        <v>0.5679824078692467</v>
      </c>
      <c r="BN8" s="32">
        <f t="shared" ca="1" si="118"/>
        <v>2.3203786646023374</v>
      </c>
      <c r="BO8" s="32">
        <f t="shared" ca="1" si="119"/>
        <v>0.87658749551643866</v>
      </c>
      <c r="BP8" s="32">
        <f t="shared" ca="1" si="120"/>
        <v>3.8978638483539609</v>
      </c>
      <c r="BQ8" s="32">
        <f t="shared" ca="1" si="121"/>
        <v>8.9037847132938417</v>
      </c>
      <c r="BR8" s="32">
        <f t="shared" ca="1" si="122"/>
        <v>1.4745697127374675</v>
      </c>
      <c r="BS8" s="32">
        <f t="shared" ca="1" si="123"/>
        <v>3.6610418930392434</v>
      </c>
      <c r="BT8" s="32">
        <f t="shared" ca="1" si="124"/>
        <v>3.1454021897942797</v>
      </c>
      <c r="BU8" s="32">
        <f t="shared" ca="1" si="125"/>
        <v>8.0641052075781943</v>
      </c>
      <c r="BV8" s="32">
        <f t="shared" ca="1" si="126"/>
        <v>6.16556534423305</v>
      </c>
      <c r="BW8" s="32">
        <f t="shared" ca="1" si="127"/>
        <v>1.6165653147047789</v>
      </c>
      <c r="BX8" s="32">
        <f t="shared" ca="1" si="128"/>
        <v>5.1886318768252728</v>
      </c>
      <c r="BY8" s="32">
        <f t="shared" ca="1" si="129"/>
        <v>4.2970325315910509</v>
      </c>
      <c r="BZ8" s="32">
        <f t="shared" ca="1" si="130"/>
        <v>9.3007179638060506</v>
      </c>
      <c r="CA8" s="32">
        <f t="shared" ca="1" si="131"/>
        <v>4.2970325315910509</v>
      </c>
      <c r="CB8" s="32">
        <f t="shared" ca="1" si="132"/>
        <v>4.3311518701038043</v>
      </c>
      <c r="CC8" s="32">
        <f t="shared" ca="1" si="133"/>
        <v>9.8103720181620631</v>
      </c>
      <c r="CD8" s="32">
        <f t="shared" ca="1" si="134"/>
        <v>4.3311518701038043</v>
      </c>
      <c r="CE8" s="32">
        <f t="shared" ca="1" si="135"/>
        <v>3.1949703675032466</v>
      </c>
    </row>
    <row r="9" spans="1:83" x14ac:dyDescent="0.25">
      <c r="A9">
        <f>Plantilla!D10</f>
        <v>0</v>
      </c>
      <c r="B9">
        <f>Plantilla!E10</f>
        <v>22</v>
      </c>
      <c r="C9" s="30">
        <f ca="1">Plantilla!F10</f>
        <v>96</v>
      </c>
      <c r="D9" s="132">
        <f>Plantilla!G10</f>
        <v>0</v>
      </c>
      <c r="E9" s="28">
        <f>Plantilla!M10</f>
        <v>0</v>
      </c>
      <c r="F9" s="42">
        <f>Plantilla!Q10</f>
        <v>0</v>
      </c>
      <c r="G9" s="43">
        <f t="shared" si="68"/>
        <v>0</v>
      </c>
      <c r="H9" s="43">
        <f t="shared" si="69"/>
        <v>0.37606990231680526</v>
      </c>
      <c r="I9" s="138">
        <f ca="1">Plantilla!N10</f>
        <v>1</v>
      </c>
      <c r="J9" s="34">
        <f>Plantilla!I10</f>
        <v>0</v>
      </c>
      <c r="K9" s="41">
        <f>Plantilla!X10</f>
        <v>0</v>
      </c>
      <c r="L9" s="41">
        <f>Plantilla!Y10</f>
        <v>0</v>
      </c>
      <c r="M9" s="41">
        <f>Plantilla!Z10</f>
        <v>0</v>
      </c>
      <c r="N9" s="41">
        <f>Plantilla!AA10</f>
        <v>0</v>
      </c>
      <c r="O9" s="41">
        <f>Plantilla!AB10</f>
        <v>0</v>
      </c>
      <c r="P9" s="41">
        <f>Plantilla!AC10</f>
        <v>0</v>
      </c>
      <c r="Q9" s="41">
        <f>Plantilla!AD10</f>
        <v>0</v>
      </c>
      <c r="R9" s="41">
        <f t="shared" si="70"/>
        <v>0.375</v>
      </c>
      <c r="S9" s="41">
        <f t="shared" si="71"/>
        <v>0</v>
      </c>
      <c r="T9" s="41">
        <f t="shared" si="72"/>
        <v>0</v>
      </c>
      <c r="U9" s="41" t="e">
        <f t="shared" ca="1" si="73"/>
        <v>#NUM!</v>
      </c>
      <c r="V9" s="41" t="e">
        <f t="shared" ca="1" si="74"/>
        <v>#NUM!</v>
      </c>
      <c r="W9" s="32" t="e">
        <f t="shared" ca="1" si="75"/>
        <v>#NUM!</v>
      </c>
      <c r="X9" s="32" t="e">
        <f t="shared" ca="1" si="76"/>
        <v>#NUM!</v>
      </c>
      <c r="Y9" s="32" t="e">
        <f t="shared" ca="1" si="77"/>
        <v>#NUM!</v>
      </c>
      <c r="Z9" s="32" t="e">
        <f t="shared" ca="1" si="78"/>
        <v>#NUM!</v>
      </c>
      <c r="AA9" s="32" t="e">
        <f t="shared" ca="1" si="79"/>
        <v>#NUM!</v>
      </c>
      <c r="AB9" s="32" t="e">
        <f t="shared" ca="1" si="80"/>
        <v>#NUM!</v>
      </c>
      <c r="AC9" s="32" t="e">
        <f t="shared" ca="1" si="81"/>
        <v>#NUM!</v>
      </c>
      <c r="AD9" s="32" t="e">
        <f t="shared" ca="1" si="82"/>
        <v>#NUM!</v>
      </c>
      <c r="AE9" s="32" t="e">
        <f t="shared" ca="1" si="83"/>
        <v>#NUM!</v>
      </c>
      <c r="AF9" s="32" t="e">
        <f t="shared" ca="1" si="84"/>
        <v>#NUM!</v>
      </c>
      <c r="AG9" s="32" t="e">
        <f t="shared" ca="1" si="85"/>
        <v>#NUM!</v>
      </c>
      <c r="AH9" s="32" t="e">
        <f t="shared" ca="1" si="86"/>
        <v>#NUM!</v>
      </c>
      <c r="AI9" s="32" t="e">
        <f t="shared" ca="1" si="87"/>
        <v>#NUM!</v>
      </c>
      <c r="AJ9" s="32" t="e">
        <f t="shared" ca="1" si="88"/>
        <v>#NUM!</v>
      </c>
      <c r="AK9" s="32" t="e">
        <f t="shared" ca="1" si="89"/>
        <v>#NUM!</v>
      </c>
      <c r="AL9" s="32" t="e">
        <f t="shared" ca="1" si="90"/>
        <v>#NUM!</v>
      </c>
      <c r="AM9" s="32" t="e">
        <f t="shared" ca="1" si="91"/>
        <v>#NUM!</v>
      </c>
      <c r="AN9" s="32" t="e">
        <f t="shared" ca="1" si="92"/>
        <v>#NUM!</v>
      </c>
      <c r="AO9" s="32" t="e">
        <f t="shared" ca="1" si="93"/>
        <v>#NUM!</v>
      </c>
      <c r="AP9" s="32" t="e">
        <f t="shared" ca="1" si="94"/>
        <v>#NUM!</v>
      </c>
      <c r="AQ9" s="32" t="e">
        <f t="shared" ca="1" si="95"/>
        <v>#NUM!</v>
      </c>
      <c r="AR9" s="32" t="e">
        <f t="shared" ca="1" si="96"/>
        <v>#NUM!</v>
      </c>
      <c r="AS9" s="32" t="e">
        <f t="shared" ca="1" si="97"/>
        <v>#NUM!</v>
      </c>
      <c r="AT9" s="32" t="e">
        <f t="shared" ca="1" si="98"/>
        <v>#NUM!</v>
      </c>
      <c r="AU9" s="32" t="e">
        <f t="shared" ca="1" si="99"/>
        <v>#NUM!</v>
      </c>
      <c r="AV9" s="32" t="e">
        <f t="shared" ca="1" si="100"/>
        <v>#NUM!</v>
      </c>
      <c r="AW9" s="32" t="e">
        <f t="shared" ca="1" si="101"/>
        <v>#NUM!</v>
      </c>
      <c r="AX9" s="32" t="e">
        <f t="shared" ca="1" si="102"/>
        <v>#NUM!</v>
      </c>
      <c r="AY9" s="32" t="e">
        <f t="shared" ca="1" si="103"/>
        <v>#NUM!</v>
      </c>
      <c r="AZ9" s="32" t="e">
        <f t="shared" ca="1" si="104"/>
        <v>#NUM!</v>
      </c>
      <c r="BA9" s="32" t="e">
        <f t="shared" ca="1" si="105"/>
        <v>#NUM!</v>
      </c>
      <c r="BB9" s="32" t="e">
        <f t="shared" ca="1" si="106"/>
        <v>#NUM!</v>
      </c>
      <c r="BC9" s="32" t="e">
        <f t="shared" ca="1" si="107"/>
        <v>#NUM!</v>
      </c>
      <c r="BD9" s="32" t="e">
        <f t="shared" ca="1" si="108"/>
        <v>#NUM!</v>
      </c>
      <c r="BE9" s="32" t="e">
        <f t="shared" ca="1" si="109"/>
        <v>#NUM!</v>
      </c>
      <c r="BF9" s="32" t="e">
        <f t="shared" ca="1" si="110"/>
        <v>#NUM!</v>
      </c>
      <c r="BG9" s="32" t="e">
        <f t="shared" ca="1" si="111"/>
        <v>#NUM!</v>
      </c>
      <c r="BH9" s="32" t="e">
        <f t="shared" ca="1" si="112"/>
        <v>#NUM!</v>
      </c>
      <c r="BI9" s="32" t="e">
        <f t="shared" ca="1" si="113"/>
        <v>#NUM!</v>
      </c>
      <c r="BJ9" s="32" t="e">
        <f t="shared" ca="1" si="114"/>
        <v>#NUM!</v>
      </c>
      <c r="BK9" s="32" t="e">
        <f t="shared" ca="1" si="115"/>
        <v>#NUM!</v>
      </c>
      <c r="BL9" s="32" t="e">
        <f t="shared" ca="1" si="116"/>
        <v>#NUM!</v>
      </c>
      <c r="BM9" s="32" t="e">
        <f t="shared" ca="1" si="117"/>
        <v>#NUM!</v>
      </c>
      <c r="BN9" s="32" t="e">
        <f t="shared" ca="1" si="118"/>
        <v>#NUM!</v>
      </c>
      <c r="BO9" s="32" t="e">
        <f t="shared" ca="1" si="119"/>
        <v>#NUM!</v>
      </c>
      <c r="BP9" s="32" t="e">
        <f t="shared" ca="1" si="120"/>
        <v>#NUM!</v>
      </c>
      <c r="BQ9" s="32" t="e">
        <f t="shared" ca="1" si="121"/>
        <v>#NUM!</v>
      </c>
      <c r="BR9" s="32" t="e">
        <f t="shared" ca="1" si="122"/>
        <v>#NUM!</v>
      </c>
      <c r="BS9" s="32" t="e">
        <f t="shared" ca="1" si="123"/>
        <v>#NUM!</v>
      </c>
      <c r="BT9" s="32" t="e">
        <f t="shared" ca="1" si="124"/>
        <v>#NUM!</v>
      </c>
      <c r="BU9" s="32" t="e">
        <f t="shared" ca="1" si="125"/>
        <v>#NUM!</v>
      </c>
      <c r="BV9" s="32" t="e">
        <f t="shared" ca="1" si="126"/>
        <v>#NUM!</v>
      </c>
      <c r="BW9" s="32" t="e">
        <f t="shared" ca="1" si="127"/>
        <v>#NUM!</v>
      </c>
      <c r="BX9" s="32" t="e">
        <f t="shared" ca="1" si="128"/>
        <v>#NUM!</v>
      </c>
      <c r="BY9" s="32" t="e">
        <f t="shared" ca="1" si="129"/>
        <v>#NUM!</v>
      </c>
      <c r="BZ9" s="32" t="e">
        <f t="shared" ca="1" si="130"/>
        <v>#NUM!</v>
      </c>
      <c r="CA9" s="32" t="e">
        <f t="shared" ca="1" si="131"/>
        <v>#NUM!</v>
      </c>
      <c r="CB9" s="32" t="e">
        <f t="shared" ca="1" si="132"/>
        <v>#NUM!</v>
      </c>
      <c r="CC9" s="32" t="e">
        <f t="shared" ca="1" si="133"/>
        <v>#NUM!</v>
      </c>
      <c r="CD9" s="32" t="e">
        <f t="shared" ca="1" si="134"/>
        <v>#NUM!</v>
      </c>
      <c r="CE9" s="32" t="e">
        <f t="shared" ca="1" si="135"/>
        <v>#NUM!</v>
      </c>
    </row>
    <row r="10" spans="1:83" x14ac:dyDescent="0.25">
      <c r="A10" t="str">
        <f>Plantilla!D11</f>
        <v>Francesc Añigas</v>
      </c>
      <c r="B10">
        <f>Plantilla!E11</f>
        <v>22</v>
      </c>
      <c r="C10" s="30">
        <f ca="1">Plantilla!F11</f>
        <v>100</v>
      </c>
      <c r="D10" s="132" t="str">
        <f>Plantilla!G11</f>
        <v>IMP</v>
      </c>
      <c r="E10" s="28">
        <f>Plantilla!M11</f>
        <v>43137</v>
      </c>
      <c r="F10" s="42">
        <f>Plantilla!Q11</f>
        <v>7</v>
      </c>
      <c r="G10" s="43">
        <f t="shared" si="68"/>
        <v>1</v>
      </c>
      <c r="H10" s="43">
        <f t="shared" si="69"/>
        <v>1</v>
      </c>
      <c r="I10" s="138">
        <f ca="1">Plantilla!N11</f>
        <v>1</v>
      </c>
      <c r="J10" s="34">
        <f>Plantilla!I11</f>
        <v>4.4000000000000004</v>
      </c>
      <c r="K10" s="41">
        <f>Plantilla!X11</f>
        <v>0</v>
      </c>
      <c r="L10" s="41">
        <f>Plantilla!Y11</f>
        <v>12.4</v>
      </c>
      <c r="M10" s="41">
        <f>Plantilla!Z11</f>
        <v>4</v>
      </c>
      <c r="N10" s="41">
        <f>Plantilla!AA11</f>
        <v>12.666666666666666</v>
      </c>
      <c r="O10" s="41">
        <f>Plantilla!AB11</f>
        <v>4.5</v>
      </c>
      <c r="P10" s="41">
        <f>Plantilla!AC11</f>
        <v>7</v>
      </c>
      <c r="Q10" s="41">
        <f>Plantilla!AD11</f>
        <v>3</v>
      </c>
      <c r="R10" s="41">
        <f t="shared" si="70"/>
        <v>3.05</v>
      </c>
      <c r="S10" s="41">
        <f t="shared" si="71"/>
        <v>0.44000000000000006</v>
      </c>
      <c r="T10" s="41">
        <f t="shared" si="72"/>
        <v>0.58600000000000008</v>
      </c>
      <c r="U10" s="41">
        <f t="shared" ca="1" si="73"/>
        <v>4.8579369019815832</v>
      </c>
      <c r="V10" s="41">
        <f t="shared" ca="1" si="74"/>
        <v>4.8579369019815832</v>
      </c>
      <c r="W10" s="32">
        <f t="shared" ca="1" si="75"/>
        <v>5.044378915429923</v>
      </c>
      <c r="X10" s="32">
        <f t="shared" ca="1" si="76"/>
        <v>7.6685965404582239</v>
      </c>
      <c r="Y10" s="32">
        <f t="shared" ca="1" si="77"/>
        <v>5.044378915429923</v>
      </c>
      <c r="Z10" s="32">
        <f t="shared" ca="1" si="78"/>
        <v>7.3570954414224969</v>
      </c>
      <c r="AA10" s="32">
        <f t="shared" ca="1" si="79"/>
        <v>14.257936901981584</v>
      </c>
      <c r="AB10" s="32">
        <f t="shared" ca="1" si="80"/>
        <v>3.6785477207112485</v>
      </c>
      <c r="AC10" s="32">
        <f t="shared" ca="1" si="81"/>
        <v>1.3941889826716167</v>
      </c>
      <c r="AD10" s="32">
        <f t="shared" ca="1" si="82"/>
        <v>5.3895001489490388</v>
      </c>
      <c r="AE10" s="32">
        <f t="shared" ca="1" si="83"/>
        <v>10.308488380132685</v>
      </c>
      <c r="AF10" s="32">
        <f t="shared" ca="1" si="84"/>
        <v>2.6947500744745194</v>
      </c>
      <c r="AG10" s="32">
        <f t="shared" ca="1" si="85"/>
        <v>2.2553057072629095</v>
      </c>
      <c r="AH10" s="32">
        <f t="shared" ca="1" si="86"/>
        <v>13.117301949823057</v>
      </c>
      <c r="AI10" s="32">
        <f t="shared" ca="1" si="87"/>
        <v>5.9027858774203752</v>
      </c>
      <c r="AJ10" s="32">
        <f t="shared" ca="1" si="88"/>
        <v>0.97827546263092446</v>
      </c>
      <c r="AK10" s="32">
        <f t="shared" ca="1" si="89"/>
        <v>8.5404668983651693</v>
      </c>
      <c r="AL10" s="32">
        <f t="shared" ca="1" si="90"/>
        <v>10.750484424094115</v>
      </c>
      <c r="AM10" s="32">
        <f t="shared" ca="1" si="91"/>
        <v>10.094619326602961</v>
      </c>
      <c r="AN10" s="32">
        <f t="shared" ca="1" si="92"/>
        <v>0.81127546263092443</v>
      </c>
      <c r="AO10" s="32">
        <f t="shared" ca="1" si="93"/>
        <v>1.4134858277706959</v>
      </c>
      <c r="AP10" s="32">
        <f t="shared" ca="1" si="94"/>
        <v>3.849642963535028</v>
      </c>
      <c r="AQ10" s="32">
        <f t="shared" ca="1" si="95"/>
        <v>8.4692145197770596</v>
      </c>
      <c r="AR10" s="32">
        <f t="shared" ca="1" si="96"/>
        <v>1.924821481767514</v>
      </c>
      <c r="AS10" s="32">
        <f t="shared" ca="1" si="97"/>
        <v>5.5298924354706145</v>
      </c>
      <c r="AT10" s="32">
        <f t="shared" ca="1" si="98"/>
        <v>0.82653179725760584</v>
      </c>
      <c r="AU10" s="32">
        <f t="shared" ca="1" si="99"/>
        <v>2.2953755122806037</v>
      </c>
      <c r="AV10" s="32">
        <f t="shared" ca="1" si="100"/>
        <v>0.41326589862880292</v>
      </c>
      <c r="AW10" s="32">
        <f t="shared" ca="1" si="101"/>
        <v>2.6947500744745194</v>
      </c>
      <c r="AX10" s="32">
        <f t="shared" ca="1" si="102"/>
        <v>5.703174760792634</v>
      </c>
      <c r="AY10" s="32">
        <f t="shared" ca="1" si="103"/>
        <v>1.3473750372372597</v>
      </c>
      <c r="AZ10" s="32">
        <f t="shared" ca="1" si="104"/>
        <v>5.8579369019815832</v>
      </c>
      <c r="BA10" s="32">
        <f t="shared" ca="1" si="105"/>
        <v>1.6085580362013405</v>
      </c>
      <c r="BB10" s="32">
        <f t="shared" ca="1" si="106"/>
        <v>4.0282232329918521</v>
      </c>
      <c r="BC10" s="32">
        <f t="shared" ca="1" si="107"/>
        <v>0.80427901810067026</v>
      </c>
      <c r="BD10" s="32">
        <f t="shared" ca="1" si="108"/>
        <v>4.1490596384766407</v>
      </c>
      <c r="BE10" s="32">
        <f t="shared" ca="1" si="109"/>
        <v>4.9617620418895907</v>
      </c>
      <c r="BF10" s="32">
        <f t="shared" ca="1" si="110"/>
        <v>5.1608424106457749</v>
      </c>
      <c r="BG10" s="32">
        <f t="shared" ca="1" si="111"/>
        <v>10.339872572528293</v>
      </c>
      <c r="BH10" s="32">
        <f t="shared" ca="1" si="112"/>
        <v>1.5322627933775614</v>
      </c>
      <c r="BI10" s="32">
        <f t="shared" ca="1" si="113"/>
        <v>6.9150993974610682</v>
      </c>
      <c r="BJ10" s="32">
        <f t="shared" ca="1" si="114"/>
        <v>3.7640953421231385</v>
      </c>
      <c r="BK10" s="32">
        <f t="shared" ca="1" si="115"/>
        <v>2.2318739596549833</v>
      </c>
      <c r="BL10" s="32">
        <f t="shared" ca="1" si="116"/>
        <v>11.053003518998571</v>
      </c>
      <c r="BM10" s="32">
        <f t="shared" ca="1" si="117"/>
        <v>0.33061271890304234</v>
      </c>
      <c r="BN10" s="32">
        <f t="shared" ca="1" si="118"/>
        <v>2.5664286423566849</v>
      </c>
      <c r="BO10" s="32">
        <f t="shared" ca="1" si="119"/>
        <v>0.96953970933474776</v>
      </c>
      <c r="BP10" s="32">
        <f t="shared" ca="1" si="120"/>
        <v>1.7866707551043828</v>
      </c>
      <c r="BQ10" s="32">
        <f t="shared" ca="1" si="121"/>
        <v>16.342973522614983</v>
      </c>
      <c r="BR10" s="32">
        <f t="shared" ca="1" si="122"/>
        <v>0.85832148176751377</v>
      </c>
      <c r="BS10" s="32">
        <f t="shared" ca="1" si="123"/>
        <v>4.0492540801627692</v>
      </c>
      <c r="BT10" s="32">
        <f t="shared" ca="1" si="124"/>
        <v>3.4789366040835064</v>
      </c>
      <c r="BU10" s="32">
        <f t="shared" ca="1" si="125"/>
        <v>3.6963581851503791</v>
      </c>
      <c r="BV10" s="32">
        <f t="shared" ca="1" si="126"/>
        <v>11.423353527273516</v>
      </c>
      <c r="BW10" s="32">
        <f t="shared" ca="1" si="127"/>
        <v>0.94097466149327424</v>
      </c>
      <c r="BX10" s="32">
        <f t="shared" ca="1" si="128"/>
        <v>2.378322382204523</v>
      </c>
      <c r="BY10" s="32">
        <f t="shared" ca="1" si="129"/>
        <v>4.8059851259324047</v>
      </c>
      <c r="BZ10" s="32">
        <f t="shared" ca="1" si="130"/>
        <v>8.6165369516312627</v>
      </c>
      <c r="CA10" s="32">
        <f t="shared" ca="1" si="131"/>
        <v>4.8059851259324047</v>
      </c>
      <c r="CB10" s="32">
        <f t="shared" ca="1" si="132"/>
        <v>6.4158280232678591</v>
      </c>
      <c r="CC10" s="32">
        <f t="shared" ca="1" si="133"/>
        <v>11.204015618812788</v>
      </c>
      <c r="CD10" s="32">
        <f t="shared" ca="1" si="134"/>
        <v>6.4158280232678591</v>
      </c>
      <c r="CE10" s="32">
        <f t="shared" ca="1" si="135"/>
        <v>1.4644842254953958</v>
      </c>
    </row>
    <row r="11" spans="1:83" x14ac:dyDescent="0.25">
      <c r="A11" t="str">
        <f>Plantilla!D12</f>
        <v>Will Duffill</v>
      </c>
      <c r="B11">
        <f>Plantilla!E12</f>
        <v>22</v>
      </c>
      <c r="C11" s="30">
        <f ca="1">Plantilla!F12</f>
        <v>61</v>
      </c>
      <c r="D11" s="132" t="str">
        <f>Plantilla!G12</f>
        <v>RAP</v>
      </c>
      <c r="E11" s="28">
        <f>Plantilla!M12</f>
        <v>43122</v>
      </c>
      <c r="F11" s="42">
        <f>Plantilla!Q12</f>
        <v>5</v>
      </c>
      <c r="G11" s="43">
        <f t="shared" si="68"/>
        <v>0.84515425472851657</v>
      </c>
      <c r="H11" s="43">
        <f t="shared" si="69"/>
        <v>0.92504826128926143</v>
      </c>
      <c r="I11" s="138">
        <f ca="1">Plantilla!N12</f>
        <v>1</v>
      </c>
      <c r="J11" s="34">
        <f>Plantilla!I12</f>
        <v>4.5</v>
      </c>
      <c r="K11" s="41">
        <f>Plantilla!X12</f>
        <v>0</v>
      </c>
      <c r="L11" s="41">
        <f>Plantilla!Y12</f>
        <v>11.555555555555555</v>
      </c>
      <c r="M11" s="41">
        <f>Plantilla!Z12</f>
        <v>3</v>
      </c>
      <c r="N11" s="41">
        <f>Plantilla!AA12</f>
        <v>13</v>
      </c>
      <c r="O11" s="41">
        <f>Plantilla!AB12</f>
        <v>7.25</v>
      </c>
      <c r="P11" s="41">
        <f>Plantilla!AC12</f>
        <v>7</v>
      </c>
      <c r="Q11" s="41">
        <f>Plantilla!AD12</f>
        <v>3</v>
      </c>
      <c r="R11" s="41">
        <f t="shared" si="70"/>
        <v>3.6319444444444446</v>
      </c>
      <c r="S11" s="41">
        <f t="shared" si="71"/>
        <v>0.44000000000000006</v>
      </c>
      <c r="T11" s="41">
        <f t="shared" si="72"/>
        <v>0.55222222222222217</v>
      </c>
      <c r="U11" s="41">
        <f t="shared" ca="1" si="73"/>
        <v>4.1167041325929219</v>
      </c>
      <c r="V11" s="41">
        <f t="shared" ca="1" si="74"/>
        <v>4.5058638453174051</v>
      </c>
      <c r="W11" s="32">
        <f t="shared" ca="1" si="75"/>
        <v>4.8226726993678337</v>
      </c>
      <c r="X11" s="32">
        <f t="shared" ca="1" si="76"/>
        <v>7.3265075848230694</v>
      </c>
      <c r="Y11" s="32">
        <f t="shared" ca="1" si="77"/>
        <v>4.8226726993678337</v>
      </c>
      <c r="Z11" s="32">
        <f t="shared" ca="1" si="78"/>
        <v>6.9280768761441038</v>
      </c>
      <c r="AA11" s="32">
        <f t="shared" ca="1" si="79"/>
        <v>13.426505573922681</v>
      </c>
      <c r="AB11" s="32">
        <f t="shared" ca="1" si="80"/>
        <v>3.4640384380720519</v>
      </c>
      <c r="AC11" s="32">
        <f t="shared" ca="1" si="81"/>
        <v>1.1592861043713758</v>
      </c>
      <c r="AD11" s="32">
        <f t="shared" ca="1" si="82"/>
        <v>5.0752191069427735</v>
      </c>
      <c r="AE11" s="32">
        <f t="shared" ca="1" si="83"/>
        <v>9.7073635299460985</v>
      </c>
      <c r="AF11" s="32">
        <f t="shared" ca="1" si="84"/>
        <v>2.5376095534713867</v>
      </c>
      <c r="AG11" s="32">
        <f t="shared" ca="1" si="85"/>
        <v>1.8753157570713432</v>
      </c>
      <c r="AH11" s="32">
        <f t="shared" ca="1" si="86"/>
        <v>12.352385128008867</v>
      </c>
      <c r="AI11" s="32">
        <f t="shared" ca="1" si="87"/>
        <v>5.5585733076039894</v>
      </c>
      <c r="AJ11" s="32">
        <f t="shared" ca="1" si="88"/>
        <v>0.81344865306730996</v>
      </c>
      <c r="AK11" s="32">
        <f t="shared" ca="1" si="89"/>
        <v>8.7441186107998696</v>
      </c>
      <c r="AL11" s="32">
        <f t="shared" ca="1" si="90"/>
        <v>10.123585202737701</v>
      </c>
      <c r="AM11" s="32">
        <f t="shared" ca="1" si="91"/>
        <v>9.5059659463372572</v>
      </c>
      <c r="AN11" s="32">
        <f t="shared" ca="1" si="92"/>
        <v>0.81344865306730996</v>
      </c>
      <c r="AO11" s="32">
        <f t="shared" ca="1" si="93"/>
        <v>1.5848336052897321</v>
      </c>
      <c r="AP11" s="32">
        <f t="shared" ca="1" si="94"/>
        <v>3.6251565049591239</v>
      </c>
      <c r="AQ11" s="32">
        <f t="shared" ca="1" si="95"/>
        <v>7.9753443109100717</v>
      </c>
      <c r="AR11" s="32">
        <f t="shared" ca="1" si="96"/>
        <v>1.8125782524795619</v>
      </c>
      <c r="AS11" s="32">
        <f t="shared" ca="1" si="97"/>
        <v>4.5981768173385662</v>
      </c>
      <c r="AT11" s="32">
        <f t="shared" ca="1" si="98"/>
        <v>1.1857235023877264</v>
      </c>
      <c r="AU11" s="32">
        <f t="shared" ca="1" si="99"/>
        <v>2.6291883553815678</v>
      </c>
      <c r="AV11" s="32">
        <f t="shared" ca="1" si="100"/>
        <v>0.5928617511938632</v>
      </c>
      <c r="AW11" s="32">
        <f t="shared" ca="1" si="101"/>
        <v>2.5376095534713867</v>
      </c>
      <c r="AX11" s="32">
        <f t="shared" ca="1" si="102"/>
        <v>5.370602229569073</v>
      </c>
      <c r="AY11" s="32">
        <f t="shared" ca="1" si="103"/>
        <v>1.2688047767356934</v>
      </c>
      <c r="AZ11" s="32">
        <f t="shared" ca="1" si="104"/>
        <v>4.8709500183671253</v>
      </c>
      <c r="BA11" s="32">
        <f t="shared" ca="1" si="105"/>
        <v>2.3076003546468828</v>
      </c>
      <c r="BB11" s="32">
        <f t="shared" ca="1" si="106"/>
        <v>4.9731434601202862</v>
      </c>
      <c r="BC11" s="32">
        <f t="shared" ca="1" si="107"/>
        <v>1.1538001773234414</v>
      </c>
      <c r="BD11" s="32">
        <f t="shared" ca="1" si="108"/>
        <v>3.9071131220114999</v>
      </c>
      <c r="BE11" s="32">
        <f t="shared" ca="1" si="109"/>
        <v>4.6724239397250926</v>
      </c>
      <c r="BF11" s="32">
        <f t="shared" ca="1" si="110"/>
        <v>4.2913069661814376</v>
      </c>
      <c r="BG11" s="32">
        <f t="shared" ca="1" si="111"/>
        <v>11.409024566328375</v>
      </c>
      <c r="BH11" s="32">
        <f t="shared" ca="1" si="112"/>
        <v>2.1981489544264772</v>
      </c>
      <c r="BI11" s="32">
        <f t="shared" ca="1" si="113"/>
        <v>6.5118552033524999</v>
      </c>
      <c r="BJ11" s="32">
        <f t="shared" ca="1" si="114"/>
        <v>3.5445974715155879</v>
      </c>
      <c r="BK11" s="32">
        <f t="shared" ca="1" si="115"/>
        <v>1.8558319569978747</v>
      </c>
      <c r="BL11" s="32">
        <f t="shared" ca="1" si="116"/>
        <v>11.841460316052867</v>
      </c>
      <c r="BM11" s="32">
        <f t="shared" ca="1" si="117"/>
        <v>0.47428940095509048</v>
      </c>
      <c r="BN11" s="32">
        <f t="shared" ca="1" si="118"/>
        <v>2.4167710033060823</v>
      </c>
      <c r="BO11" s="32">
        <f t="shared" ca="1" si="119"/>
        <v>0.91300237902674231</v>
      </c>
      <c r="BP11" s="32">
        <f t="shared" ca="1" si="120"/>
        <v>1.4856397556019731</v>
      </c>
      <c r="BQ11" s="32">
        <f t="shared" ca="1" si="121"/>
        <v>17.479541723620123</v>
      </c>
      <c r="BR11" s="32">
        <f t="shared" ca="1" si="122"/>
        <v>1.2313282524795619</v>
      </c>
      <c r="BS11" s="32">
        <f t="shared" ca="1" si="123"/>
        <v>3.8131275829940408</v>
      </c>
      <c r="BT11" s="32">
        <f t="shared" ca="1" si="124"/>
        <v>3.2760673600371342</v>
      </c>
      <c r="BU11" s="32">
        <f t="shared" ca="1" si="125"/>
        <v>3.0735694615896563</v>
      </c>
      <c r="BV11" s="32">
        <f t="shared" ca="1" si="126"/>
        <v>12.199750266438576</v>
      </c>
      <c r="BW11" s="32">
        <f t="shared" ca="1" si="127"/>
        <v>1.3499006027183345</v>
      </c>
      <c r="BX11" s="32">
        <f t="shared" ca="1" si="128"/>
        <v>1.977605707457053</v>
      </c>
      <c r="BY11" s="32">
        <f t="shared" ca="1" si="129"/>
        <v>5.5482649595692717</v>
      </c>
      <c r="BZ11" s="32">
        <f t="shared" ca="1" si="130"/>
        <v>10.124439720681384</v>
      </c>
      <c r="CA11" s="32">
        <f t="shared" ca="1" si="131"/>
        <v>5.5482649595692717</v>
      </c>
      <c r="CB11" s="32">
        <f t="shared" ca="1" si="132"/>
        <v>6.8881018614427187</v>
      </c>
      <c r="CC11" s="32">
        <f t="shared" ca="1" si="133"/>
        <v>12.236580575144595</v>
      </c>
      <c r="CD11" s="32">
        <f t="shared" ca="1" si="134"/>
        <v>6.8881018614427187</v>
      </c>
      <c r="CE11" s="32">
        <f t="shared" ca="1" si="135"/>
        <v>1.2177375045917813</v>
      </c>
    </row>
    <row r="12" spans="1:83" x14ac:dyDescent="0.25">
      <c r="A12" t="str">
        <f>Plantilla!D13</f>
        <v>Valeri Gomis</v>
      </c>
      <c r="B12">
        <f>Plantilla!E13</f>
        <v>22</v>
      </c>
      <c r="C12" s="30">
        <f ca="1">Plantilla!F13</f>
        <v>100</v>
      </c>
      <c r="D12" s="132" t="str">
        <f>Plantilla!G13</f>
        <v>IMP</v>
      </c>
      <c r="E12" s="28">
        <f>Plantilla!M13</f>
        <v>43051</v>
      </c>
      <c r="F12" s="42">
        <f>Plantilla!Q13</f>
        <v>5</v>
      </c>
      <c r="G12" s="43">
        <f t="shared" si="68"/>
        <v>0.84515425472851657</v>
      </c>
      <c r="H12" s="43">
        <f t="shared" si="69"/>
        <v>0.92504826128926143</v>
      </c>
      <c r="I12" s="138">
        <f ca="1">Plantilla!N13</f>
        <v>1</v>
      </c>
      <c r="J12" s="34">
        <f>Plantilla!I13</f>
        <v>4.4000000000000004</v>
      </c>
      <c r="K12" s="41">
        <f>Plantilla!X13</f>
        <v>0</v>
      </c>
      <c r="L12" s="41">
        <f>Plantilla!Y13</f>
        <v>11.222222222222221</v>
      </c>
      <c r="M12" s="41">
        <f>Plantilla!Z13</f>
        <v>3</v>
      </c>
      <c r="N12" s="41">
        <f>Plantilla!AA13</f>
        <v>12</v>
      </c>
      <c r="O12" s="41">
        <f>Plantilla!AB13</f>
        <v>6.2000000000000011</v>
      </c>
      <c r="P12" s="41">
        <f>Plantilla!AC13</f>
        <v>7.25</v>
      </c>
      <c r="Q12" s="41">
        <f>Plantilla!AD13</f>
        <v>3</v>
      </c>
      <c r="R12" s="41">
        <f t="shared" si="70"/>
        <v>3.3277777777777779</v>
      </c>
      <c r="S12" s="41">
        <f t="shared" si="71"/>
        <v>0.45250000000000001</v>
      </c>
      <c r="T12" s="41">
        <f t="shared" si="72"/>
        <v>0.53888888888888897</v>
      </c>
      <c r="U12" s="41">
        <f t="shared" ca="1" si="73"/>
        <v>4.1057060419124038</v>
      </c>
      <c r="V12" s="41">
        <f t="shared" ca="1" si="74"/>
        <v>4.4938260846310047</v>
      </c>
      <c r="W12" s="32">
        <f t="shared" ca="1" si="75"/>
        <v>4.7193122487632557</v>
      </c>
      <c r="X12" s="32">
        <f t="shared" ca="1" si="76"/>
        <v>7.1680409849026683</v>
      </c>
      <c r="Y12" s="32">
        <f t="shared" ca="1" si="77"/>
        <v>4.7193122487632557</v>
      </c>
      <c r="Z12" s="32">
        <f t="shared" ca="1" si="78"/>
        <v>6.749362108089163</v>
      </c>
      <c r="AA12" s="32">
        <f t="shared" ca="1" si="79"/>
        <v>13.080159124203805</v>
      </c>
      <c r="AB12" s="32">
        <f t="shared" ca="1" si="80"/>
        <v>3.3746810540445815</v>
      </c>
      <c r="AC12" s="32">
        <f t="shared" ca="1" si="81"/>
        <v>1.1561889826716167</v>
      </c>
      <c r="AD12" s="32">
        <f t="shared" ca="1" si="82"/>
        <v>4.9443001489490381</v>
      </c>
      <c r="AE12" s="32">
        <f t="shared" ca="1" si="83"/>
        <v>9.4569550467993508</v>
      </c>
      <c r="AF12" s="32">
        <f t="shared" ca="1" si="84"/>
        <v>2.4721500744745191</v>
      </c>
      <c r="AG12" s="32">
        <f t="shared" ca="1" si="85"/>
        <v>1.8703057072629097</v>
      </c>
      <c r="AH12" s="32">
        <f t="shared" ca="1" si="86"/>
        <v>12.033746394267501</v>
      </c>
      <c r="AI12" s="32">
        <f t="shared" ca="1" si="87"/>
        <v>5.4151858774203747</v>
      </c>
      <c r="AJ12" s="32">
        <f t="shared" ca="1" si="88"/>
        <v>0.81127546263092443</v>
      </c>
      <c r="AK12" s="32">
        <f t="shared" ca="1" si="89"/>
        <v>8.1484668983651698</v>
      </c>
      <c r="AL12" s="32">
        <f t="shared" ca="1" si="90"/>
        <v>9.8624399796496682</v>
      </c>
      <c r="AM12" s="32">
        <f t="shared" ca="1" si="91"/>
        <v>9.2607526599362924</v>
      </c>
      <c r="AN12" s="32">
        <f t="shared" ca="1" si="92"/>
        <v>0.81127546263092443</v>
      </c>
      <c r="AO12" s="32">
        <f t="shared" ca="1" si="93"/>
        <v>1.4934858277706957</v>
      </c>
      <c r="AP12" s="32">
        <f t="shared" ca="1" si="94"/>
        <v>3.5316429635350275</v>
      </c>
      <c r="AQ12" s="32">
        <f t="shared" ca="1" si="95"/>
        <v>7.7696145197770594</v>
      </c>
      <c r="AR12" s="32">
        <f t="shared" ca="1" si="96"/>
        <v>1.7658214817675137</v>
      </c>
      <c r="AS12" s="32">
        <f t="shared" ca="1" si="97"/>
        <v>4.5858924354706145</v>
      </c>
      <c r="AT12" s="32">
        <f t="shared" ca="1" si="98"/>
        <v>1.0475317972576059</v>
      </c>
      <c r="AU12" s="32">
        <f t="shared" ca="1" si="99"/>
        <v>2.5426255122806039</v>
      </c>
      <c r="AV12" s="32">
        <f t="shared" ca="1" si="100"/>
        <v>0.52376589862880296</v>
      </c>
      <c r="AW12" s="32">
        <f t="shared" ca="1" si="101"/>
        <v>2.4721500744745191</v>
      </c>
      <c r="AX12" s="32">
        <f t="shared" ca="1" si="102"/>
        <v>5.232063649681522</v>
      </c>
      <c r="AY12" s="32">
        <f t="shared" ca="1" si="103"/>
        <v>1.2360750372372595</v>
      </c>
      <c r="AZ12" s="32">
        <f t="shared" ca="1" si="104"/>
        <v>4.8579369019815832</v>
      </c>
      <c r="BA12" s="32">
        <f t="shared" ca="1" si="105"/>
        <v>2.0386580362013409</v>
      </c>
      <c r="BB12" s="32">
        <f t="shared" ca="1" si="106"/>
        <v>4.6604232329918531</v>
      </c>
      <c r="BC12" s="32">
        <f t="shared" ca="1" si="107"/>
        <v>1.0193290181006704</v>
      </c>
      <c r="BD12" s="32">
        <f t="shared" ca="1" si="108"/>
        <v>3.8063263051433069</v>
      </c>
      <c r="BE12" s="32">
        <f t="shared" ca="1" si="109"/>
        <v>4.5518953752229239</v>
      </c>
      <c r="BF12" s="32">
        <f t="shared" ca="1" si="110"/>
        <v>4.2798424106457746</v>
      </c>
      <c r="BG12" s="32">
        <f t="shared" ca="1" si="111"/>
        <v>10.492705905861627</v>
      </c>
      <c r="BH12" s="32">
        <f t="shared" ca="1" si="112"/>
        <v>1.9419627933775618</v>
      </c>
      <c r="BI12" s="32">
        <f t="shared" ca="1" si="113"/>
        <v>6.3438771752388448</v>
      </c>
      <c r="BJ12" s="32">
        <f t="shared" ca="1" si="114"/>
        <v>3.4531620087898047</v>
      </c>
      <c r="BK12" s="32">
        <f t="shared" ca="1" si="115"/>
        <v>1.8508739596549832</v>
      </c>
      <c r="BL12" s="32">
        <f t="shared" ca="1" si="116"/>
        <v>10.946036852331904</v>
      </c>
      <c r="BM12" s="32">
        <f t="shared" ca="1" si="117"/>
        <v>0.41901271890304237</v>
      </c>
      <c r="BN12" s="32">
        <f t="shared" ca="1" si="118"/>
        <v>2.3544286423566847</v>
      </c>
      <c r="BO12" s="32">
        <f t="shared" ca="1" si="119"/>
        <v>0.88945082044585877</v>
      </c>
      <c r="BP12" s="32">
        <f t="shared" ca="1" si="120"/>
        <v>1.4816707551043828</v>
      </c>
      <c r="BQ12" s="32">
        <f t="shared" ca="1" si="121"/>
        <v>16.162506855948315</v>
      </c>
      <c r="BR12" s="32">
        <f t="shared" ca="1" si="122"/>
        <v>1.087821481767514</v>
      </c>
      <c r="BS12" s="32">
        <f t="shared" ca="1" si="123"/>
        <v>3.7147651912738802</v>
      </c>
      <c r="BT12" s="32">
        <f t="shared" ca="1" si="124"/>
        <v>3.1915588263057284</v>
      </c>
      <c r="BU12" s="32">
        <f t="shared" ca="1" si="125"/>
        <v>3.0653581851503788</v>
      </c>
      <c r="BV12" s="32">
        <f t="shared" ca="1" si="126"/>
        <v>11.283453527273517</v>
      </c>
      <c r="BW12" s="32">
        <f t="shared" ca="1" si="127"/>
        <v>1.1925746614932744</v>
      </c>
      <c r="BX12" s="32">
        <f t="shared" ca="1" si="128"/>
        <v>1.9723223822045228</v>
      </c>
      <c r="BY12" s="32">
        <f t="shared" ca="1" si="129"/>
        <v>5.166735125932405</v>
      </c>
      <c r="BZ12" s="32">
        <f t="shared" ca="1" si="130"/>
        <v>9.6853869516312621</v>
      </c>
      <c r="CA12" s="32">
        <f t="shared" ca="1" si="131"/>
        <v>5.166735125932405</v>
      </c>
      <c r="CB12" s="32">
        <f t="shared" ca="1" si="132"/>
        <v>6.574894689934526</v>
      </c>
      <c r="CC12" s="32">
        <f t="shared" ca="1" si="133"/>
        <v>12.081315618812788</v>
      </c>
      <c r="CD12" s="32">
        <f t="shared" ca="1" si="134"/>
        <v>6.574894689934526</v>
      </c>
      <c r="CE12" s="32">
        <f t="shared" ca="1" si="135"/>
        <v>1.2144842254953958</v>
      </c>
    </row>
    <row r="13" spans="1:83" x14ac:dyDescent="0.25">
      <c r="A13" t="str">
        <f>Plantilla!D14</f>
        <v>Enrique Cubas</v>
      </c>
      <c r="B13">
        <f>Plantilla!E14</f>
        <v>22</v>
      </c>
      <c r="C13" s="30">
        <f ca="1">Plantilla!F14</f>
        <v>96</v>
      </c>
      <c r="D13" s="132" t="str">
        <f>Plantilla!G14</f>
        <v>RAP</v>
      </c>
      <c r="E13" s="28">
        <f>Plantilla!M14</f>
        <v>43046</v>
      </c>
      <c r="F13" s="42">
        <f>Plantilla!Q14</f>
        <v>6</v>
      </c>
      <c r="G13" s="43">
        <f t="shared" si="68"/>
        <v>0.92582009977255142</v>
      </c>
      <c r="H13" s="43">
        <f t="shared" si="69"/>
        <v>0.99928545900129484</v>
      </c>
      <c r="I13" s="138">
        <f>Plantilla!N14</f>
        <v>1.5</v>
      </c>
      <c r="J13" s="34">
        <f>Plantilla!I14</f>
        <v>5</v>
      </c>
      <c r="K13" s="41">
        <f>Plantilla!X14</f>
        <v>0</v>
      </c>
      <c r="L13" s="41">
        <f>Plantilla!Y14</f>
        <v>9.8571428571428577</v>
      </c>
      <c r="M13" s="41">
        <f>Plantilla!Z14</f>
        <v>5.7</v>
      </c>
      <c r="N13" s="41">
        <f>Plantilla!AA14</f>
        <v>14.124999999999996</v>
      </c>
      <c r="O13" s="41">
        <f>Plantilla!AB14</f>
        <v>6.2</v>
      </c>
      <c r="P13" s="41">
        <f>Plantilla!AC14</f>
        <v>7.5</v>
      </c>
      <c r="Q13" s="41">
        <f>Plantilla!AD14</f>
        <v>5</v>
      </c>
      <c r="R13" s="41">
        <f t="shared" si="70"/>
        <v>3.1571428571428575</v>
      </c>
      <c r="S13" s="41">
        <f t="shared" si="71"/>
        <v>0.52500000000000002</v>
      </c>
      <c r="T13" s="41">
        <f t="shared" si="72"/>
        <v>0.54428571428571426</v>
      </c>
      <c r="U13" s="41">
        <f t="shared" si="73"/>
        <v>6.8806579540581092</v>
      </c>
      <c r="V13" s="41">
        <f t="shared" si="74"/>
        <v>7.4266495656564908</v>
      </c>
      <c r="W13" s="32">
        <f t="shared" si="75"/>
        <v>4.8436725136185546</v>
      </c>
      <c r="X13" s="32">
        <f t="shared" si="76"/>
        <v>7.3289460817494483</v>
      </c>
      <c r="Y13" s="32">
        <f t="shared" si="77"/>
        <v>4.8436725136185546</v>
      </c>
      <c r="Z13" s="32">
        <f t="shared" si="78"/>
        <v>6.3411770772688953</v>
      </c>
      <c r="AA13" s="32">
        <f t="shared" si="79"/>
        <v>12.289102862924215</v>
      </c>
      <c r="AB13" s="32">
        <f t="shared" si="80"/>
        <v>3.1705885386344477</v>
      </c>
      <c r="AC13" s="32">
        <f t="shared" si="81"/>
        <v>1.9354064813759633</v>
      </c>
      <c r="AD13" s="32">
        <f t="shared" si="82"/>
        <v>4.6452808821853537</v>
      </c>
      <c r="AE13" s="32">
        <f t="shared" si="83"/>
        <v>8.8850213698942078</v>
      </c>
      <c r="AF13" s="32">
        <f t="shared" si="84"/>
        <v>2.3226404410926769</v>
      </c>
      <c r="AG13" s="32">
        <f t="shared" si="85"/>
        <v>3.1308046022258234</v>
      </c>
      <c r="AH13" s="32">
        <f t="shared" si="86"/>
        <v>11.305974633890278</v>
      </c>
      <c r="AI13" s="32">
        <f t="shared" si="87"/>
        <v>5.0876885852506248</v>
      </c>
      <c r="AJ13" s="32">
        <f t="shared" si="88"/>
        <v>1.358037320965487</v>
      </c>
      <c r="AK13" s="32">
        <f t="shared" si="89"/>
        <v>9.7354924833994367</v>
      </c>
      <c r="AL13" s="32">
        <f t="shared" si="90"/>
        <v>9.2659835586448587</v>
      </c>
      <c r="AM13" s="32">
        <f t="shared" si="91"/>
        <v>8.7006848269503436</v>
      </c>
      <c r="AN13" s="32">
        <f t="shared" si="92"/>
        <v>1.241137320965487</v>
      </c>
      <c r="AO13" s="32">
        <f t="shared" si="93"/>
        <v>1.6096616245221742</v>
      </c>
      <c r="AP13" s="32">
        <f t="shared" si="94"/>
        <v>3.3180577729895382</v>
      </c>
      <c r="AQ13" s="32">
        <f t="shared" si="95"/>
        <v>7.2997271005769839</v>
      </c>
      <c r="AR13" s="32">
        <f t="shared" si="96"/>
        <v>1.6590288864947691</v>
      </c>
      <c r="AS13" s="32">
        <f t="shared" si="97"/>
        <v>7.6765702454576026</v>
      </c>
      <c r="AT13" s="32">
        <f t="shared" si="98"/>
        <v>1.1221548007515767</v>
      </c>
      <c r="AU13" s="32">
        <f t="shared" si="99"/>
        <v>2.754064281693938</v>
      </c>
      <c r="AV13" s="32">
        <f t="shared" si="100"/>
        <v>0.56107740037578835</v>
      </c>
      <c r="AW13" s="32">
        <f t="shared" si="101"/>
        <v>2.3226404410926769</v>
      </c>
      <c r="AX13" s="32">
        <f t="shared" si="102"/>
        <v>4.9156411451696869</v>
      </c>
      <c r="AY13" s="32">
        <f t="shared" si="103"/>
        <v>1.1613202205463384</v>
      </c>
      <c r="AZ13" s="32">
        <f t="shared" si="104"/>
        <v>8.1319600057813588</v>
      </c>
      <c r="BA13" s="32">
        <f t="shared" si="105"/>
        <v>2.1838858814626838</v>
      </c>
      <c r="BB13" s="32">
        <f t="shared" si="106"/>
        <v>5.0292099631855285</v>
      </c>
      <c r="BC13" s="32">
        <f t="shared" si="107"/>
        <v>1.0919429407313419</v>
      </c>
      <c r="BD13" s="32">
        <f t="shared" si="108"/>
        <v>3.5761289331109465</v>
      </c>
      <c r="BE13" s="32">
        <f t="shared" si="109"/>
        <v>4.2766077962976263</v>
      </c>
      <c r="BF13" s="32">
        <f t="shared" si="110"/>
        <v>7.1642567650933771</v>
      </c>
      <c r="BG13" s="32">
        <f t="shared" si="111"/>
        <v>12.222762445139626</v>
      </c>
      <c r="BH13" s="32">
        <f t="shared" si="112"/>
        <v>2.0803023613933074</v>
      </c>
      <c r="BI13" s="32">
        <f t="shared" si="113"/>
        <v>5.9602148885182444</v>
      </c>
      <c r="BJ13" s="32">
        <f t="shared" si="114"/>
        <v>3.2443231558119932</v>
      </c>
      <c r="BK13" s="32">
        <f t="shared" si="115"/>
        <v>3.0982767622026977</v>
      </c>
      <c r="BL13" s="32">
        <f t="shared" si="116"/>
        <v>12.877858045052907</v>
      </c>
      <c r="BM13" s="32">
        <f t="shared" si="117"/>
        <v>0.44886192030063066</v>
      </c>
      <c r="BN13" s="32">
        <f t="shared" si="118"/>
        <v>2.2120385153263586</v>
      </c>
      <c r="BO13" s="32">
        <f t="shared" si="119"/>
        <v>0.83565899467884674</v>
      </c>
      <c r="BP13" s="32">
        <f t="shared" si="120"/>
        <v>2.4802478017633143</v>
      </c>
      <c r="BQ13" s="32">
        <f t="shared" si="121"/>
        <v>19.025700567434825</v>
      </c>
      <c r="BR13" s="32">
        <f t="shared" si="122"/>
        <v>1.1653146007804835</v>
      </c>
      <c r="BS13" s="32">
        <f t="shared" si="123"/>
        <v>3.4901052130704771</v>
      </c>
      <c r="BT13" s="32">
        <f t="shared" si="124"/>
        <v>2.9985410985535084</v>
      </c>
      <c r="BU13" s="32">
        <f t="shared" si="125"/>
        <v>5.1312667636480374</v>
      </c>
      <c r="BV13" s="32">
        <f t="shared" si="126"/>
        <v>13.288954205174313</v>
      </c>
      <c r="BW13" s="32">
        <f t="shared" si="127"/>
        <v>1.2775300808556411</v>
      </c>
      <c r="BX13" s="32">
        <f t="shared" si="128"/>
        <v>3.3015757623472317</v>
      </c>
      <c r="BY13" s="32">
        <f t="shared" si="129"/>
        <v>5.8035511630120871</v>
      </c>
      <c r="BZ13" s="32">
        <f t="shared" si="130"/>
        <v>10.477486966509808</v>
      </c>
      <c r="CA13" s="32">
        <f t="shared" si="131"/>
        <v>5.8035511630120871</v>
      </c>
      <c r="CB13" s="32">
        <f t="shared" si="132"/>
        <v>7.4671360836017859</v>
      </c>
      <c r="CC13" s="32">
        <f t="shared" si="133"/>
        <v>13.117153247914679</v>
      </c>
      <c r="CD13" s="32">
        <f t="shared" si="134"/>
        <v>7.4671360836017859</v>
      </c>
      <c r="CE13" s="32">
        <f t="shared" si="135"/>
        <v>2.0329900014453397</v>
      </c>
    </row>
    <row r="14" spans="1:83" x14ac:dyDescent="0.25">
      <c r="A14" t="str">
        <f>Plantilla!D15</f>
        <v>J. G. Peñuela</v>
      </c>
      <c r="B14">
        <f>Plantilla!E15</f>
        <v>22</v>
      </c>
      <c r="C14" s="30">
        <f ca="1">Plantilla!F15</f>
        <v>96</v>
      </c>
      <c r="D14" s="132" t="str">
        <f>Plantilla!G15</f>
        <v>IMP</v>
      </c>
      <c r="E14" s="28">
        <f>Plantilla!M15</f>
        <v>43054</v>
      </c>
      <c r="F14" s="42">
        <f>Plantilla!Q15</f>
        <v>6</v>
      </c>
      <c r="G14" s="43">
        <f t="shared" si="68"/>
        <v>0.92582009977255142</v>
      </c>
      <c r="H14" s="43">
        <f t="shared" si="69"/>
        <v>0.99928545900129484</v>
      </c>
      <c r="I14" s="138">
        <f ca="1">Plantilla!N15</f>
        <v>1</v>
      </c>
      <c r="J14" s="34">
        <f>Plantilla!I15</f>
        <v>4.3</v>
      </c>
      <c r="K14" s="41">
        <f>Plantilla!X15</f>
        <v>0</v>
      </c>
      <c r="L14" s="41">
        <f>Plantilla!Y15</f>
        <v>10.25</v>
      </c>
      <c r="M14" s="41">
        <f>Plantilla!Z15</f>
        <v>5</v>
      </c>
      <c r="N14" s="41">
        <f>Plantilla!AA15</f>
        <v>13.19</v>
      </c>
      <c r="O14" s="41">
        <f>Plantilla!AB15</f>
        <v>5.25</v>
      </c>
      <c r="P14" s="41">
        <f>Plantilla!AC15</f>
        <v>7.8016666666666676</v>
      </c>
      <c r="Q14" s="41">
        <f>Plantilla!AD15</f>
        <v>3</v>
      </c>
      <c r="R14" s="41">
        <f t="shared" si="70"/>
        <v>2.96875</v>
      </c>
      <c r="S14" s="41">
        <f t="shared" si="71"/>
        <v>0.48008333333333331</v>
      </c>
      <c r="T14" s="41">
        <f t="shared" si="72"/>
        <v>0.5</v>
      </c>
      <c r="U14" s="41">
        <f t="shared" ca="1" si="73"/>
        <v>4.4852508374201481</v>
      </c>
      <c r="V14" s="41">
        <f t="shared" ca="1" si="74"/>
        <v>4.841162924534097</v>
      </c>
      <c r="W14" s="32">
        <f t="shared" ca="1" si="75"/>
        <v>4.4393572822946386</v>
      </c>
      <c r="X14" s="32">
        <f t="shared" ca="1" si="76"/>
        <v>6.7376603682043283</v>
      </c>
      <c r="Y14" s="32">
        <f t="shared" ca="1" si="77"/>
        <v>4.4393572822946386</v>
      </c>
      <c r="Z14" s="32">
        <f t="shared" ca="1" si="78"/>
        <v>6.2408262974387565</v>
      </c>
      <c r="AA14" s="32">
        <f t="shared" ca="1" si="79"/>
        <v>12.094624607439449</v>
      </c>
      <c r="AB14" s="32">
        <f t="shared" ca="1" si="80"/>
        <v>3.1204131487193782</v>
      </c>
      <c r="AC14" s="32">
        <f t="shared" ca="1" si="81"/>
        <v>1.6290206565705887</v>
      </c>
      <c r="AD14" s="32">
        <f t="shared" ca="1" si="82"/>
        <v>4.5717681016121121</v>
      </c>
      <c r="AE14" s="32">
        <f t="shared" ca="1" si="83"/>
        <v>8.7444135911787217</v>
      </c>
      <c r="AF14" s="32">
        <f t="shared" ca="1" si="84"/>
        <v>2.2858840508060561</v>
      </c>
      <c r="AG14" s="32">
        <f t="shared" ca="1" si="85"/>
        <v>2.635180473864188</v>
      </c>
      <c r="AH14" s="32">
        <f t="shared" ca="1" si="86"/>
        <v>11.127054638844294</v>
      </c>
      <c r="AI14" s="32">
        <f t="shared" ca="1" si="87"/>
        <v>5.0071745874799314</v>
      </c>
      <c r="AJ14" s="32">
        <f t="shared" ca="1" si="88"/>
        <v>1.1430523094423879</v>
      </c>
      <c r="AK14" s="32">
        <f t="shared" ca="1" si="89"/>
        <v>8.840359269174396</v>
      </c>
      <c r="AL14" s="32">
        <f t="shared" ca="1" si="90"/>
        <v>9.1193469540093446</v>
      </c>
      <c r="AM14" s="32">
        <f t="shared" ca="1" si="91"/>
        <v>8.5629942220671289</v>
      </c>
      <c r="AN14" s="32">
        <f t="shared" ca="1" si="92"/>
        <v>0.80905230944238793</v>
      </c>
      <c r="AO14" s="32">
        <f t="shared" ca="1" si="93"/>
        <v>1.3862518869425611</v>
      </c>
      <c r="AP14" s="32">
        <f t="shared" ca="1" si="94"/>
        <v>3.2655486440086516</v>
      </c>
      <c r="AQ14" s="32">
        <f t="shared" ca="1" si="95"/>
        <v>7.1842070168190331</v>
      </c>
      <c r="AR14" s="32">
        <f t="shared" ca="1" si="96"/>
        <v>1.6327743220043258</v>
      </c>
      <c r="AS14" s="32">
        <f t="shared" ca="1" si="97"/>
        <v>6.4613256294228387</v>
      </c>
      <c r="AT14" s="32">
        <f t="shared" ca="1" si="98"/>
        <v>0.92230119896712837</v>
      </c>
      <c r="AU14" s="32">
        <f t="shared" ca="1" si="99"/>
        <v>2.5201633433130919</v>
      </c>
      <c r="AV14" s="32">
        <f t="shared" ca="1" si="100"/>
        <v>0.46115059948356418</v>
      </c>
      <c r="AW14" s="32">
        <f t="shared" ca="1" si="101"/>
        <v>2.2858840508060561</v>
      </c>
      <c r="AX14" s="32">
        <f t="shared" ca="1" si="102"/>
        <v>4.8378498429757801</v>
      </c>
      <c r="AY14" s="32">
        <f t="shared" ca="1" si="103"/>
        <v>1.142942025403028</v>
      </c>
      <c r="AZ14" s="32">
        <f t="shared" ca="1" si="104"/>
        <v>6.8446246074394486</v>
      </c>
      <c r="BA14" s="32">
        <f t="shared" ca="1" si="105"/>
        <v>1.7949400256821806</v>
      </c>
      <c r="BB14" s="32">
        <f t="shared" ca="1" si="106"/>
        <v>4.444988158699136</v>
      </c>
      <c r="BC14" s="32">
        <f t="shared" ca="1" si="107"/>
        <v>0.89747001284109029</v>
      </c>
      <c r="BD14" s="32">
        <f t="shared" ca="1" si="108"/>
        <v>3.5195357607648794</v>
      </c>
      <c r="BE14" s="32">
        <f t="shared" ca="1" si="109"/>
        <v>4.2089293633889282</v>
      </c>
      <c r="BF14" s="32">
        <f t="shared" ca="1" si="110"/>
        <v>6.0301142791541542</v>
      </c>
      <c r="BG14" s="32">
        <f t="shared" ca="1" si="111"/>
        <v>10.86468127601367</v>
      </c>
      <c r="BH14" s="32">
        <f t="shared" ca="1" si="112"/>
        <v>1.709804530392907</v>
      </c>
      <c r="BI14" s="32">
        <f t="shared" ca="1" si="113"/>
        <v>5.8658929346081328</v>
      </c>
      <c r="BJ14" s="32">
        <f t="shared" ca="1" si="114"/>
        <v>3.1929808963640149</v>
      </c>
      <c r="BK14" s="32">
        <f t="shared" ca="1" si="115"/>
        <v>2.6078019754344299</v>
      </c>
      <c r="BL14" s="32">
        <f t="shared" ca="1" si="116"/>
        <v>11.544321906902079</v>
      </c>
      <c r="BM14" s="32">
        <f t="shared" ca="1" si="117"/>
        <v>0.36892047958685131</v>
      </c>
      <c r="BN14" s="32">
        <f t="shared" ca="1" si="118"/>
        <v>2.1770324293391008</v>
      </c>
      <c r="BO14" s="32">
        <f t="shared" ca="1" si="119"/>
        <v>0.8224344733058826</v>
      </c>
      <c r="BP14" s="32">
        <f t="shared" ca="1" si="120"/>
        <v>2.0876105052690317</v>
      </c>
      <c r="BQ14" s="32">
        <f t="shared" ca="1" si="121"/>
        <v>17.063687245167131</v>
      </c>
      <c r="BR14" s="32">
        <f t="shared" ca="1" si="122"/>
        <v>0.95777432200432566</v>
      </c>
      <c r="BS14" s="32">
        <f t="shared" ca="1" si="123"/>
        <v>3.4348733885128033</v>
      </c>
      <c r="BT14" s="32">
        <f t="shared" ca="1" si="124"/>
        <v>2.9510884042152257</v>
      </c>
      <c r="BU14" s="32">
        <f t="shared" ca="1" si="125"/>
        <v>4.3189581272942918</v>
      </c>
      <c r="BV14" s="32">
        <f t="shared" ca="1" si="126"/>
        <v>11.923569023658306</v>
      </c>
      <c r="BW14" s="32">
        <f t="shared" ca="1" si="127"/>
        <v>1.0500044419010384</v>
      </c>
      <c r="BX14" s="32">
        <f t="shared" ca="1" si="128"/>
        <v>2.7789175906204164</v>
      </c>
      <c r="BY14" s="32">
        <f t="shared" ca="1" si="129"/>
        <v>5.1637210871426191</v>
      </c>
      <c r="BZ14" s="32">
        <f t="shared" ca="1" si="130"/>
        <v>9.4761689746434872</v>
      </c>
      <c r="CA14" s="32">
        <f t="shared" ca="1" si="131"/>
        <v>5.1637210871426191</v>
      </c>
      <c r="CB14" s="32">
        <f t="shared" ca="1" si="132"/>
        <v>6.8381244637681107</v>
      </c>
      <c r="CC14" s="32">
        <f t="shared" ca="1" si="133"/>
        <v>12.264207754251274</v>
      </c>
      <c r="CD14" s="32">
        <f t="shared" ca="1" si="134"/>
        <v>6.8381244637681107</v>
      </c>
      <c r="CE14" s="32">
        <f t="shared" ca="1" si="135"/>
        <v>1.7111561518598621</v>
      </c>
    </row>
    <row r="15" spans="1:83" x14ac:dyDescent="0.25">
      <c r="A15" t="str">
        <f>Plantilla!D16</f>
        <v>David Garcia-Spiess</v>
      </c>
      <c r="B15">
        <f>Plantilla!E16</f>
        <v>30</v>
      </c>
      <c r="C15" s="30">
        <f ca="1">Plantilla!F16</f>
        <v>65</v>
      </c>
      <c r="D15" s="132" t="str">
        <f>Plantilla!G16</f>
        <v>POT</v>
      </c>
      <c r="E15" s="28">
        <f>Plantilla!M16</f>
        <v>43591</v>
      </c>
      <c r="F15" s="42">
        <f>Plantilla!Q16</f>
        <v>6</v>
      </c>
      <c r="G15" s="43">
        <f t="shared" si="68"/>
        <v>0.92582009977255142</v>
      </c>
      <c r="H15" s="43">
        <f t="shared" si="69"/>
        <v>0.99928545900129484</v>
      </c>
      <c r="I15" s="138">
        <f ca="1">Plantilla!N16</f>
        <v>0.47501137955544109</v>
      </c>
      <c r="J15" s="34">
        <f>Plantilla!I16</f>
        <v>7.3</v>
      </c>
      <c r="K15" s="41">
        <f>Plantilla!X16</f>
        <v>0</v>
      </c>
      <c r="L15" s="41">
        <f>Plantilla!Y16</f>
        <v>9.1111111111111107</v>
      </c>
      <c r="M15" s="41">
        <f>Plantilla!Z16</f>
        <v>13</v>
      </c>
      <c r="N15" s="41">
        <f>Plantilla!AA16</f>
        <v>6</v>
      </c>
      <c r="O15" s="41">
        <f>Plantilla!AB16</f>
        <v>7.1428571428571432</v>
      </c>
      <c r="P15" s="41">
        <f>Plantilla!AC16</f>
        <v>7</v>
      </c>
      <c r="Q15" s="41">
        <f>Plantilla!AD16</f>
        <v>17</v>
      </c>
      <c r="R15" s="41">
        <f t="shared" si="70"/>
        <v>3.2996031746031744</v>
      </c>
      <c r="S15" s="41">
        <f t="shared" si="71"/>
        <v>0.86</v>
      </c>
      <c r="T15" s="41">
        <f t="shared" si="72"/>
        <v>0.87444444444444436</v>
      </c>
      <c r="U15" s="41">
        <f t="shared" ca="1" si="73"/>
        <v>17.244425654270017</v>
      </c>
      <c r="V15" s="41">
        <f t="shared" ca="1" si="74"/>
        <v>18.612799408194284</v>
      </c>
      <c r="W15" s="32">
        <f t="shared" ca="1" si="75"/>
        <v>3.9342594101987776</v>
      </c>
      <c r="X15" s="32">
        <f t="shared" ca="1" si="76"/>
        <v>5.9715283297823074</v>
      </c>
      <c r="Y15" s="32">
        <f t="shared" ca="1" si="77"/>
        <v>3.9342594101987776</v>
      </c>
      <c r="Z15" s="32">
        <f t="shared" ca="1" si="78"/>
        <v>5.5404053329468148</v>
      </c>
      <c r="AA15" s="32">
        <f t="shared" ca="1" si="79"/>
        <v>10.737219637493826</v>
      </c>
      <c r="AB15" s="32">
        <f t="shared" ca="1" si="80"/>
        <v>2.7702026664734074</v>
      </c>
      <c r="AC15" s="32">
        <f t="shared" ca="1" si="81"/>
        <v>3.4810138292790862</v>
      </c>
      <c r="AD15" s="32">
        <f t="shared" ca="1" si="82"/>
        <v>4.0586690229726665</v>
      </c>
      <c r="AE15" s="32">
        <f t="shared" ca="1" si="83"/>
        <v>7.7630097979080359</v>
      </c>
      <c r="AF15" s="32">
        <f t="shared" ca="1" si="84"/>
        <v>2.0293345114863333</v>
      </c>
      <c r="AG15" s="32">
        <f t="shared" ca="1" si="85"/>
        <v>5.6310517826573454</v>
      </c>
      <c r="AH15" s="32">
        <f t="shared" ca="1" si="86"/>
        <v>9.8782420664943213</v>
      </c>
      <c r="AI15" s="32">
        <f t="shared" ca="1" si="87"/>
        <v>4.445208929922444</v>
      </c>
      <c r="AJ15" s="32">
        <f t="shared" ca="1" si="88"/>
        <v>2.4425601239059138</v>
      </c>
      <c r="AK15" s="32">
        <f t="shared" ca="1" si="89"/>
        <v>4.4841518135130363</v>
      </c>
      <c r="AL15" s="32">
        <f t="shared" ca="1" si="90"/>
        <v>8.0958636066703455</v>
      </c>
      <c r="AM15" s="32">
        <f t="shared" ca="1" si="91"/>
        <v>7.6019515033456289</v>
      </c>
      <c r="AN15" s="32">
        <f t="shared" ca="1" si="92"/>
        <v>3.1105601239059135</v>
      </c>
      <c r="AO15" s="32">
        <f t="shared" ca="1" si="93"/>
        <v>1.4186049698839363</v>
      </c>
      <c r="AP15" s="32">
        <f t="shared" ca="1" si="94"/>
        <v>2.8990493021233332</v>
      </c>
      <c r="AQ15" s="32">
        <f t="shared" ca="1" si="95"/>
        <v>6.3779084646713322</v>
      </c>
      <c r="AR15" s="32">
        <f t="shared" ca="1" si="96"/>
        <v>1.4495246510616666</v>
      </c>
      <c r="AS15" s="32">
        <f t="shared" ca="1" si="97"/>
        <v>13.807046448905282</v>
      </c>
      <c r="AT15" s="32">
        <f t="shared" ca="1" si="98"/>
        <v>1.1399655370011816</v>
      </c>
      <c r="AU15" s="32">
        <f t="shared" ca="1" si="99"/>
        <v>2.5445926553729925</v>
      </c>
      <c r="AV15" s="32">
        <f t="shared" ca="1" si="100"/>
        <v>0.56998276850059082</v>
      </c>
      <c r="AW15" s="32">
        <f t="shared" ca="1" si="101"/>
        <v>2.0293345114863333</v>
      </c>
      <c r="AX15" s="32">
        <f t="shared" ca="1" si="102"/>
        <v>4.2948878549975307</v>
      </c>
      <c r="AY15" s="32">
        <f t="shared" ca="1" si="103"/>
        <v>1.0146672557431666</v>
      </c>
      <c r="AZ15" s="32">
        <f t="shared" ca="1" si="104"/>
        <v>14.626108526382716</v>
      </c>
      <c r="BA15" s="32">
        <f t="shared" ca="1" si="105"/>
        <v>2.2185483143176841</v>
      </c>
      <c r="BB15" s="32">
        <f t="shared" ca="1" si="106"/>
        <v>4.8017000837511619</v>
      </c>
      <c r="BC15" s="32">
        <f t="shared" ca="1" si="107"/>
        <v>1.109274157158842</v>
      </c>
      <c r="BD15" s="32">
        <f t="shared" ca="1" si="108"/>
        <v>3.1245309145107032</v>
      </c>
      <c r="BE15" s="32">
        <f t="shared" ca="1" si="109"/>
        <v>3.7365524338478511</v>
      </c>
      <c r="BF15" s="32">
        <f t="shared" ca="1" si="110"/>
        <v>12.885601611743173</v>
      </c>
      <c r="BG15" s="32">
        <f t="shared" ca="1" si="111"/>
        <v>7.1396104799542339</v>
      </c>
      <c r="BH15" s="32">
        <f t="shared" ca="1" si="112"/>
        <v>2.1133207262868057</v>
      </c>
      <c r="BI15" s="32">
        <f t="shared" ca="1" si="113"/>
        <v>5.2075515241845052</v>
      </c>
      <c r="BJ15" s="32">
        <f t="shared" ca="1" si="114"/>
        <v>2.8346259842983703</v>
      </c>
      <c r="BK15" s="32">
        <f t="shared" ca="1" si="115"/>
        <v>5.5725473485518151</v>
      </c>
      <c r="BL15" s="32">
        <f t="shared" ca="1" si="116"/>
        <v>6.8949331377727789</v>
      </c>
      <c r="BM15" s="32">
        <f t="shared" ca="1" si="117"/>
        <v>0.45598621480047258</v>
      </c>
      <c r="BN15" s="32">
        <f t="shared" ca="1" si="118"/>
        <v>1.9326995347488887</v>
      </c>
      <c r="BO15" s="32">
        <f t="shared" ca="1" si="119"/>
        <v>0.73013093534958029</v>
      </c>
      <c r="BP15" s="32">
        <f t="shared" ca="1" si="120"/>
        <v>4.4609631005467278</v>
      </c>
      <c r="BQ15" s="32">
        <f t="shared" ca="1" si="121"/>
        <v>10.134032707785314</v>
      </c>
      <c r="BR15" s="32">
        <f t="shared" ca="1" si="122"/>
        <v>1.1838103653473808</v>
      </c>
      <c r="BS15" s="32">
        <f t="shared" ca="1" si="123"/>
        <v>3.0493703770482465</v>
      </c>
      <c r="BT15" s="32">
        <f t="shared" ca="1" si="124"/>
        <v>2.6198815915484936</v>
      </c>
      <c r="BU15" s="32">
        <f t="shared" ca="1" si="125"/>
        <v>9.229074480147494</v>
      </c>
      <c r="BV15" s="32">
        <f t="shared" ca="1" si="126"/>
        <v>7.0459385596839592</v>
      </c>
      <c r="BW15" s="32">
        <f t="shared" ca="1" si="127"/>
        <v>1.297806919047499</v>
      </c>
      <c r="BX15" s="32">
        <f t="shared" ca="1" si="128"/>
        <v>5.9382000617113828</v>
      </c>
      <c r="BY15" s="32">
        <f t="shared" ca="1" si="129"/>
        <v>4.3859168279596803</v>
      </c>
      <c r="BZ15" s="32">
        <f t="shared" ca="1" si="130"/>
        <v>9.7905696292783659</v>
      </c>
      <c r="CA15" s="32">
        <f t="shared" ca="1" si="131"/>
        <v>4.3859168279596803</v>
      </c>
      <c r="CB15" s="32">
        <f t="shared" ca="1" si="132"/>
        <v>5.1733513262221456</v>
      </c>
      <c r="CC15" s="32">
        <f t="shared" ca="1" si="133"/>
        <v>11.861856858332223</v>
      </c>
      <c r="CD15" s="32">
        <f t="shared" ca="1" si="134"/>
        <v>5.1733513262221456</v>
      </c>
      <c r="CE15" s="32">
        <f t="shared" ca="1" si="135"/>
        <v>3.6565271315956789</v>
      </c>
    </row>
    <row r="16" spans="1:83" x14ac:dyDescent="0.25">
      <c r="A16" t="str">
        <f>Plantilla!D17</f>
        <v>Fabien Fabre</v>
      </c>
      <c r="B16">
        <f>Plantilla!E17</f>
        <v>31</v>
      </c>
      <c r="C16" s="30">
        <f ca="1">Plantilla!F17</f>
        <v>70</v>
      </c>
      <c r="D16" s="132" t="str">
        <f>Plantilla!G17</f>
        <v>IMP</v>
      </c>
      <c r="E16" s="28">
        <f>Plantilla!M17</f>
        <v>43415</v>
      </c>
      <c r="F16" s="42">
        <f>Plantilla!Q17</f>
        <v>6</v>
      </c>
      <c r="G16" s="43">
        <f t="shared" si="68"/>
        <v>0.92582009977255142</v>
      </c>
      <c r="H16" s="43">
        <f t="shared" si="69"/>
        <v>0.99928545900129484</v>
      </c>
      <c r="I16" s="138">
        <f ca="1">Plantilla!N17</f>
        <v>0.89189741911905607</v>
      </c>
      <c r="J16" s="34">
        <f>Plantilla!I17</f>
        <v>5</v>
      </c>
      <c r="K16" s="41">
        <f>Plantilla!X17</f>
        <v>0</v>
      </c>
      <c r="L16" s="41">
        <f>Plantilla!Y17</f>
        <v>6</v>
      </c>
      <c r="M16" s="41">
        <f>Plantilla!Z17</f>
        <v>11</v>
      </c>
      <c r="N16" s="41">
        <f>Plantilla!AA17</f>
        <v>2</v>
      </c>
      <c r="O16" s="41">
        <f>Plantilla!AB17</f>
        <v>4.041666666666667</v>
      </c>
      <c r="P16" s="41">
        <f>Plantilla!AC17</f>
        <v>5</v>
      </c>
      <c r="Q16" s="41">
        <f>Plantilla!AD17</f>
        <v>12</v>
      </c>
      <c r="R16" s="41">
        <f t="shared" si="70"/>
        <v>2.135416666666667</v>
      </c>
      <c r="S16" s="41">
        <f t="shared" si="71"/>
        <v>0.61</v>
      </c>
      <c r="T16" s="41">
        <f t="shared" si="72"/>
        <v>0.6</v>
      </c>
      <c r="U16" s="41">
        <f t="shared" ca="1" si="73"/>
        <v>12.798405060362827</v>
      </c>
      <c r="V16" s="41">
        <f t="shared" ca="1" si="74"/>
        <v>13.813979712010068</v>
      </c>
      <c r="W16" s="32">
        <f t="shared" ca="1" si="75"/>
        <v>3.2482275319380625</v>
      </c>
      <c r="X16" s="32">
        <f t="shared" ca="1" si="76"/>
        <v>4.9045999355464351</v>
      </c>
      <c r="Y16" s="32">
        <f t="shared" ca="1" si="77"/>
        <v>3.2482275319380625</v>
      </c>
      <c r="Z16" s="32">
        <f t="shared" ca="1" si="78"/>
        <v>4.0371104312486139</v>
      </c>
      <c r="AA16" s="32">
        <f t="shared" ca="1" si="79"/>
        <v>7.8238574249004147</v>
      </c>
      <c r="AB16" s="32">
        <f t="shared" ca="1" si="80"/>
        <v>2.018555215624307</v>
      </c>
      <c r="AC16" s="32">
        <f t="shared" ca="1" si="81"/>
        <v>3.0520780671262981</v>
      </c>
      <c r="AD16" s="32">
        <f t="shared" ca="1" si="82"/>
        <v>2.9574181066123568</v>
      </c>
      <c r="AE16" s="32">
        <f t="shared" ca="1" si="83"/>
        <v>5.6566489182029995</v>
      </c>
      <c r="AF16" s="32">
        <f t="shared" ca="1" si="84"/>
        <v>1.4787090533061784</v>
      </c>
      <c r="AG16" s="32">
        <f t="shared" ca="1" si="85"/>
        <v>4.9371851085866592</v>
      </c>
      <c r="AH16" s="32">
        <f t="shared" ca="1" si="86"/>
        <v>7.1979488309083814</v>
      </c>
      <c r="AI16" s="32">
        <f t="shared" ca="1" si="87"/>
        <v>3.2390769739087717</v>
      </c>
      <c r="AJ16" s="32">
        <f t="shared" ca="1" si="88"/>
        <v>2.1415841899583694</v>
      </c>
      <c r="AK16" s="32">
        <f t="shared" ca="1" si="89"/>
        <v>2.2484281658414438</v>
      </c>
      <c r="AL16" s="32">
        <f t="shared" ca="1" si="90"/>
        <v>5.8991884983749125</v>
      </c>
      <c r="AM16" s="32">
        <f t="shared" ca="1" si="91"/>
        <v>5.5392910568294935</v>
      </c>
      <c r="AN16" s="32">
        <f t="shared" ca="1" si="92"/>
        <v>2.3085841899583692</v>
      </c>
      <c r="AO16" s="32">
        <f t="shared" ca="1" si="93"/>
        <v>1.1402709383713194</v>
      </c>
      <c r="AP16" s="32">
        <f t="shared" ca="1" si="94"/>
        <v>2.1124415047231122</v>
      </c>
      <c r="AQ16" s="32">
        <f t="shared" ca="1" si="95"/>
        <v>4.6473713103908461</v>
      </c>
      <c r="AR16" s="32">
        <f t="shared" ca="1" si="96"/>
        <v>1.0562207523615561</v>
      </c>
      <c r="AS16" s="32">
        <f t="shared" ca="1" si="97"/>
        <v>12.105721409105991</v>
      </c>
      <c r="AT16" s="32">
        <f t="shared" ca="1" si="98"/>
        <v>0.76251813190372064</v>
      </c>
      <c r="AU16" s="32">
        <f t="shared" ca="1" si="99"/>
        <v>1.8843902254958214</v>
      </c>
      <c r="AV16" s="32">
        <f t="shared" ca="1" si="100"/>
        <v>0.38125906595186032</v>
      </c>
      <c r="AW16" s="32">
        <f t="shared" ca="1" si="101"/>
        <v>1.4787090533061784</v>
      </c>
      <c r="AX16" s="32">
        <f t="shared" ca="1" si="102"/>
        <v>3.1295429699601662</v>
      </c>
      <c r="AY16" s="32">
        <f t="shared" ca="1" si="103"/>
        <v>0.73935452665308921</v>
      </c>
      <c r="AZ16" s="32">
        <f t="shared" ca="1" si="104"/>
        <v>12.823857424900414</v>
      </c>
      <c r="BA16" s="32">
        <f t="shared" ca="1" si="105"/>
        <v>1.4839775951664718</v>
      </c>
      <c r="BB16" s="32">
        <f t="shared" ca="1" si="106"/>
        <v>3.4331537744534621</v>
      </c>
      <c r="BC16" s="32">
        <f t="shared" ca="1" si="107"/>
        <v>0.74198879758323588</v>
      </c>
      <c r="BD16" s="32">
        <f t="shared" ca="1" si="108"/>
        <v>2.2767425106460206</v>
      </c>
      <c r="BE16" s="32">
        <f t="shared" ca="1" si="109"/>
        <v>2.7227023838653439</v>
      </c>
      <c r="BF16" s="32">
        <f t="shared" ca="1" si="110"/>
        <v>11.297818391337264</v>
      </c>
      <c r="BG16" s="32">
        <f t="shared" ca="1" si="111"/>
        <v>4.0425342507364688</v>
      </c>
      <c r="BH16" s="32">
        <f t="shared" ca="1" si="112"/>
        <v>1.4135913060676666</v>
      </c>
      <c r="BI16" s="32">
        <f t="shared" ca="1" si="113"/>
        <v>3.7945708510767009</v>
      </c>
      <c r="BJ16" s="32">
        <f t="shared" ca="1" si="114"/>
        <v>2.0654983601737094</v>
      </c>
      <c r="BK16" s="32">
        <f t="shared" ca="1" si="115"/>
        <v>4.8858896788870574</v>
      </c>
      <c r="BL16" s="32">
        <f t="shared" ca="1" si="116"/>
        <v>3.752426389362963</v>
      </c>
      <c r="BM16" s="32">
        <f t="shared" ca="1" si="117"/>
        <v>0.30500725276148821</v>
      </c>
      <c r="BN16" s="32">
        <f t="shared" ca="1" si="118"/>
        <v>1.4082943364820746</v>
      </c>
      <c r="BO16" s="32">
        <f t="shared" ca="1" si="119"/>
        <v>0.53202230489322822</v>
      </c>
      <c r="BP16" s="32">
        <f t="shared" ca="1" si="120"/>
        <v>3.911276514594626</v>
      </c>
      <c r="BQ16" s="32">
        <f t="shared" ca="1" si="121"/>
        <v>5.5013973150885995</v>
      </c>
      <c r="BR16" s="32">
        <f t="shared" ca="1" si="122"/>
        <v>0.79184575236155608</v>
      </c>
      <c r="BS16" s="32">
        <f t="shared" ca="1" si="123"/>
        <v>2.2219755086717177</v>
      </c>
      <c r="BT16" s="32">
        <f t="shared" ca="1" si="124"/>
        <v>1.909021211675701</v>
      </c>
      <c r="BU16" s="32">
        <f t="shared" ca="1" si="125"/>
        <v>8.0918540351121617</v>
      </c>
      <c r="BV16" s="32">
        <f t="shared" ca="1" si="126"/>
        <v>3.8163940619525376</v>
      </c>
      <c r="BW16" s="32">
        <f t="shared" ca="1" si="127"/>
        <v>0.86809756555192807</v>
      </c>
      <c r="BX16" s="32">
        <f t="shared" ca="1" si="128"/>
        <v>5.206486114509568</v>
      </c>
      <c r="BY16" s="32">
        <f t="shared" ca="1" si="129"/>
        <v>2.8836463850397829</v>
      </c>
      <c r="BZ16" s="32">
        <f t="shared" ca="1" si="130"/>
        <v>7.163288460437867</v>
      </c>
      <c r="CA16" s="32">
        <f t="shared" ca="1" si="131"/>
        <v>2.8836463850397829</v>
      </c>
      <c r="CB16" s="32">
        <f t="shared" ca="1" si="132"/>
        <v>3.4521798423796248</v>
      </c>
      <c r="CC16" s="32">
        <f t="shared" ca="1" si="133"/>
        <v>8.9882358146886681</v>
      </c>
      <c r="CD16" s="32">
        <f t="shared" ca="1" si="134"/>
        <v>3.4521798423796248</v>
      </c>
      <c r="CE16" s="32">
        <f t="shared" ca="1" si="135"/>
        <v>3.2059643562251035</v>
      </c>
    </row>
    <row r="17" spans="1:83" x14ac:dyDescent="0.25">
      <c r="A17" t="str">
        <f>Plantilla!D18</f>
        <v>Fernando Gazón</v>
      </c>
      <c r="B17">
        <f>Plantilla!E18</f>
        <v>23</v>
      </c>
      <c r="C17" s="30">
        <f ca="1">Plantilla!F18</f>
        <v>25</v>
      </c>
      <c r="D17" s="132" t="str">
        <f>Plantilla!G18</f>
        <v>IMP</v>
      </c>
      <c r="E17" s="28">
        <f>Plantilla!M18</f>
        <v>43045</v>
      </c>
      <c r="F17" s="42">
        <f>Plantilla!Q18</f>
        <v>4</v>
      </c>
      <c r="G17" s="43">
        <f t="shared" si="68"/>
        <v>0.7559289460184544</v>
      </c>
      <c r="H17" s="43">
        <f t="shared" si="69"/>
        <v>0.84430867747355465</v>
      </c>
      <c r="I17" s="138">
        <f ca="1">Plantilla!N18</f>
        <v>1</v>
      </c>
      <c r="J17" s="34">
        <f>Plantilla!I18</f>
        <v>2.5</v>
      </c>
      <c r="K17" s="41">
        <f>Plantilla!X18</f>
        <v>0</v>
      </c>
      <c r="L17" s="41">
        <f>Plantilla!Y18</f>
        <v>4.3</v>
      </c>
      <c r="M17" s="41">
        <f>Plantilla!Z18</f>
        <v>6</v>
      </c>
      <c r="N17" s="41">
        <f>Plantilla!AA18</f>
        <v>6</v>
      </c>
      <c r="O17" s="41">
        <f>Plantilla!AB18</f>
        <v>4.4124999999999996</v>
      </c>
      <c r="P17" s="41">
        <f>Plantilla!AC18</f>
        <v>5.6190261437908475</v>
      </c>
      <c r="Q17" s="41">
        <f>Plantilla!AD18</f>
        <v>3</v>
      </c>
      <c r="R17" s="41">
        <f t="shared" si="70"/>
        <v>2.015625</v>
      </c>
      <c r="S17" s="41">
        <f t="shared" si="71"/>
        <v>0.37095130718954239</v>
      </c>
      <c r="T17" s="41">
        <f t="shared" si="72"/>
        <v>0.26200000000000001</v>
      </c>
      <c r="U17" s="41">
        <f t="shared" ca="1" si="73"/>
        <v>3.4248016125191882</v>
      </c>
      <c r="V17" s="41">
        <f t="shared" ca="1" si="74"/>
        <v>3.8252136464751558</v>
      </c>
      <c r="W17" s="32">
        <f t="shared" ca="1" si="75"/>
        <v>2.5230021700942515</v>
      </c>
      <c r="X17" s="32">
        <f t="shared" ca="1" si="76"/>
        <v>3.8034874015941336</v>
      </c>
      <c r="Y17" s="32">
        <f t="shared" ca="1" si="77"/>
        <v>2.5230021700942515</v>
      </c>
      <c r="Z17" s="32">
        <f t="shared" ca="1" si="78"/>
        <v>3.0085827259663618</v>
      </c>
      <c r="AA17" s="32">
        <f t="shared" ca="1" si="79"/>
        <v>5.8305866782293831</v>
      </c>
      <c r="AB17" s="32">
        <f t="shared" ca="1" si="80"/>
        <v>1.5042913629831809</v>
      </c>
      <c r="AC17" s="32">
        <f t="shared" ca="1" si="81"/>
        <v>1.7922796294185932</v>
      </c>
      <c r="AD17" s="32">
        <f t="shared" ca="1" si="82"/>
        <v>2.2039617643707068</v>
      </c>
      <c r="AE17" s="32">
        <f t="shared" ca="1" si="83"/>
        <v>4.215514168359844</v>
      </c>
      <c r="AF17" s="32">
        <f t="shared" ca="1" si="84"/>
        <v>1.1019808821853534</v>
      </c>
      <c r="AG17" s="32">
        <f t="shared" ca="1" si="85"/>
        <v>2.8992758711183129</v>
      </c>
      <c r="AH17" s="32">
        <f t="shared" ca="1" si="86"/>
        <v>5.364139743971033</v>
      </c>
      <c r="AI17" s="32">
        <f t="shared" ca="1" si="87"/>
        <v>2.4138628847869645</v>
      </c>
      <c r="AJ17" s="32">
        <f t="shared" ca="1" si="88"/>
        <v>1.257607975264307</v>
      </c>
      <c r="AK17" s="32">
        <f t="shared" ca="1" si="89"/>
        <v>4.4279849667988769</v>
      </c>
      <c r="AL17" s="32">
        <f t="shared" ca="1" si="90"/>
        <v>4.3962623553849554</v>
      </c>
      <c r="AM17" s="32">
        <f t="shared" ca="1" si="91"/>
        <v>4.128055368186403</v>
      </c>
      <c r="AN17" s="32">
        <f t="shared" ca="1" si="92"/>
        <v>0.75660797526430701</v>
      </c>
      <c r="AO17" s="32">
        <f t="shared" ca="1" si="93"/>
        <v>1.0213089633300623</v>
      </c>
      <c r="AP17" s="32">
        <f t="shared" ca="1" si="94"/>
        <v>1.5742584031219335</v>
      </c>
      <c r="AQ17" s="32">
        <f t="shared" ca="1" si="95"/>
        <v>3.4633684868682533</v>
      </c>
      <c r="AR17" s="32">
        <f t="shared" ca="1" si="96"/>
        <v>0.78712920156096677</v>
      </c>
      <c r="AS17" s="32">
        <f t="shared" ca="1" si="97"/>
        <v>7.1088738242485379</v>
      </c>
      <c r="AT17" s="32">
        <f t="shared" ca="1" si="98"/>
        <v>0.77260126816981978</v>
      </c>
      <c r="AU17" s="32">
        <f t="shared" ca="1" si="99"/>
        <v>1.9500534195970258</v>
      </c>
      <c r="AV17" s="32">
        <f t="shared" ca="1" si="100"/>
        <v>0.38630063408490989</v>
      </c>
      <c r="AW17" s="32">
        <f t="shared" ca="1" si="101"/>
        <v>1.1019808821853534</v>
      </c>
      <c r="AX17" s="32">
        <f t="shared" ca="1" si="102"/>
        <v>2.3322346712917534</v>
      </c>
      <c r="AY17" s="32">
        <f t="shared" ca="1" si="103"/>
        <v>0.5509904410926767</v>
      </c>
      <c r="AZ17" s="32">
        <f t="shared" ca="1" si="104"/>
        <v>7.5305866782293833</v>
      </c>
      <c r="BA17" s="32">
        <f t="shared" ca="1" si="105"/>
        <v>1.5036009295920338</v>
      </c>
      <c r="BB17" s="32">
        <f t="shared" ca="1" si="106"/>
        <v>3.5280112499004681</v>
      </c>
      <c r="BC17" s="32">
        <f t="shared" ca="1" si="107"/>
        <v>0.75180046479601692</v>
      </c>
      <c r="BD17" s="32">
        <f t="shared" ca="1" si="108"/>
        <v>1.6967007233647504</v>
      </c>
      <c r="BE17" s="32">
        <f t="shared" ca="1" si="109"/>
        <v>2.029044164023825</v>
      </c>
      <c r="BF17" s="32">
        <f t="shared" ca="1" si="110"/>
        <v>6.6344468635200871</v>
      </c>
      <c r="BG17" s="32">
        <f t="shared" ca="1" si="111"/>
        <v>6.1946290569459208</v>
      </c>
      <c r="BH17" s="32">
        <f t="shared" ca="1" si="112"/>
        <v>1.4322838894532812</v>
      </c>
      <c r="BI17" s="32">
        <f t="shared" ca="1" si="113"/>
        <v>2.8278345389412509</v>
      </c>
      <c r="BJ17" s="32">
        <f t="shared" ca="1" si="114"/>
        <v>1.5392748830525573</v>
      </c>
      <c r="BK17" s="32">
        <f t="shared" ca="1" si="115"/>
        <v>2.869153524405395</v>
      </c>
      <c r="BL17" s="32">
        <f t="shared" ca="1" si="116"/>
        <v>6.2626452567724815</v>
      </c>
      <c r="BM17" s="32">
        <f t="shared" ca="1" si="117"/>
        <v>0.30904050726792792</v>
      </c>
      <c r="BN17" s="32">
        <f t="shared" ca="1" si="118"/>
        <v>1.049505602081289</v>
      </c>
      <c r="BO17" s="32">
        <f t="shared" ca="1" si="119"/>
        <v>0.39647989411959811</v>
      </c>
      <c r="BP17" s="32">
        <f t="shared" ca="1" si="120"/>
        <v>2.2968289368599617</v>
      </c>
      <c r="BQ17" s="32">
        <f t="shared" ca="1" si="121"/>
        <v>9.2303094682029858</v>
      </c>
      <c r="BR17" s="32">
        <f t="shared" ca="1" si="122"/>
        <v>0.80231670156096679</v>
      </c>
      <c r="BS17" s="32">
        <f t="shared" ca="1" si="123"/>
        <v>1.6558866166171446</v>
      </c>
      <c r="BT17" s="32">
        <f t="shared" ca="1" si="124"/>
        <v>1.4226631494879693</v>
      </c>
      <c r="BU17" s="32">
        <f t="shared" ca="1" si="125"/>
        <v>4.7518001939627412</v>
      </c>
      <c r="BV17" s="32">
        <f t="shared" ca="1" si="126"/>
        <v>6.4334875770152982</v>
      </c>
      <c r="BW17" s="32">
        <f t="shared" ca="1" si="127"/>
        <v>0.87957682837794859</v>
      </c>
      <c r="BX17" s="32">
        <f t="shared" ca="1" si="128"/>
        <v>3.0574181913611298</v>
      </c>
      <c r="BY17" s="32">
        <f t="shared" ca="1" si="129"/>
        <v>3.4781769796189463</v>
      </c>
      <c r="BZ17" s="32">
        <f t="shared" ca="1" si="130"/>
        <v>7.3953203415163493</v>
      </c>
      <c r="CA17" s="32">
        <f t="shared" ca="1" si="131"/>
        <v>3.4781769796189463</v>
      </c>
      <c r="CB17" s="32">
        <f t="shared" ca="1" si="132"/>
        <v>4.3670772979225259</v>
      </c>
      <c r="CC17" s="32">
        <f t="shared" ca="1" si="133"/>
        <v>9.3426118062868735</v>
      </c>
      <c r="CD17" s="32">
        <f t="shared" ca="1" si="134"/>
        <v>4.3670772979225259</v>
      </c>
      <c r="CE17" s="32">
        <f t="shared" ca="1" si="135"/>
        <v>1.8826466695573458</v>
      </c>
    </row>
    <row r="18" spans="1:83" x14ac:dyDescent="0.25">
      <c r="A18" t="str">
        <f>Plantilla!D19</f>
        <v>Stanisław Zdankiewicz</v>
      </c>
      <c r="B18">
        <f>Plantilla!E19</f>
        <v>29</v>
      </c>
      <c r="C18" s="30">
        <f ca="1">Plantilla!F19</f>
        <v>59</v>
      </c>
      <c r="D18" s="132" t="str">
        <f>Plantilla!G19</f>
        <v>IMP</v>
      </c>
      <c r="E18" s="28">
        <f>Plantilla!M19</f>
        <v>43687</v>
      </c>
      <c r="F18" s="42">
        <f>Plantilla!Q19</f>
        <v>2</v>
      </c>
      <c r="G18" s="43">
        <f t="shared" si="68"/>
        <v>0.53452248382484879</v>
      </c>
      <c r="H18" s="43">
        <f t="shared" si="69"/>
        <v>0.65356167049702141</v>
      </c>
      <c r="I18" s="138">
        <f ca="1">Plantilla!N19</f>
        <v>9.8595721295777455E-2</v>
      </c>
      <c r="J18" s="34">
        <f>Plantilla!I19</f>
        <v>8.9</v>
      </c>
      <c r="K18" s="41">
        <f>Plantilla!X19</f>
        <v>0</v>
      </c>
      <c r="L18" s="41">
        <f>Plantilla!Y19</f>
        <v>1</v>
      </c>
      <c r="M18" s="41">
        <f>Plantilla!Z19</f>
        <v>6</v>
      </c>
      <c r="N18" s="41">
        <f>Plantilla!AA19</f>
        <v>3</v>
      </c>
      <c r="O18" s="41">
        <f>Plantilla!AB19</f>
        <v>7</v>
      </c>
      <c r="P18" s="41">
        <f>Plantilla!AC19</f>
        <v>12</v>
      </c>
      <c r="Q18" s="41">
        <f>Plantilla!AD19</f>
        <v>0</v>
      </c>
      <c r="R18" s="41">
        <f t="shared" si="70"/>
        <v>2.25</v>
      </c>
      <c r="S18" s="41">
        <f t="shared" si="71"/>
        <v>0.6</v>
      </c>
      <c r="T18" s="41">
        <f t="shared" si="72"/>
        <v>0.04</v>
      </c>
      <c r="U18" s="41">
        <f t="shared" ca="1" si="73"/>
        <v>0.72932870246862613</v>
      </c>
      <c r="V18" s="41">
        <f t="shared" ca="1" si="74"/>
        <v>0.89175160924196373</v>
      </c>
      <c r="W18" s="32">
        <f t="shared" ca="1" si="75"/>
        <v>1.4671640324258921</v>
      </c>
      <c r="X18" s="32">
        <f t="shared" ca="1" si="76"/>
        <v>2.1865037409642918</v>
      </c>
      <c r="Y18" s="32">
        <f t="shared" ca="1" si="77"/>
        <v>1.4671640324258921</v>
      </c>
      <c r="Z18" s="32">
        <f t="shared" ca="1" si="78"/>
        <v>1.2200557167603212</v>
      </c>
      <c r="AA18" s="32">
        <f t="shared" ca="1" si="79"/>
        <v>2.3644490634889945</v>
      </c>
      <c r="AB18" s="32">
        <f t="shared" ca="1" si="80"/>
        <v>0.6100278583801606</v>
      </c>
      <c r="AC18" s="32">
        <f t="shared" ca="1" si="81"/>
        <v>1.7527388771103805</v>
      </c>
      <c r="AD18" s="32">
        <f t="shared" ca="1" si="82"/>
        <v>0.89376174599883995</v>
      </c>
      <c r="AE18" s="32">
        <f t="shared" ca="1" si="83"/>
        <v>1.7094966729025429</v>
      </c>
      <c r="AF18" s="32">
        <f t="shared" ca="1" si="84"/>
        <v>0.44688087299941998</v>
      </c>
      <c r="AG18" s="32">
        <f t="shared" ca="1" si="85"/>
        <v>2.8353128894432627</v>
      </c>
      <c r="AH18" s="32">
        <f t="shared" ca="1" si="86"/>
        <v>2.175293138409875</v>
      </c>
      <c r="AI18" s="32">
        <f t="shared" ca="1" si="87"/>
        <v>0.97888191228444366</v>
      </c>
      <c r="AJ18" s="32">
        <f t="shared" ca="1" si="88"/>
        <v>1.2298629936026622</v>
      </c>
      <c r="AK18" s="32">
        <f t="shared" ca="1" si="89"/>
        <v>2.5662960493315286</v>
      </c>
      <c r="AL18" s="32">
        <f t="shared" ca="1" si="90"/>
        <v>1.7827945938707019</v>
      </c>
      <c r="AM18" s="32">
        <f t="shared" ca="1" si="91"/>
        <v>1.6740299369502081</v>
      </c>
      <c r="AN18" s="32">
        <f t="shared" ca="1" si="92"/>
        <v>0.2278629936026621</v>
      </c>
      <c r="AO18" s="32">
        <f t="shared" ca="1" si="93"/>
        <v>1.0409613302848302</v>
      </c>
      <c r="AP18" s="32">
        <f t="shared" ca="1" si="94"/>
        <v>0.63840124714202862</v>
      </c>
      <c r="AQ18" s="32">
        <f t="shared" ca="1" si="95"/>
        <v>1.4044827437124627</v>
      </c>
      <c r="AR18" s="32">
        <f t="shared" ca="1" si="96"/>
        <v>0.31920062357101431</v>
      </c>
      <c r="AS18" s="32">
        <f t="shared" ca="1" si="97"/>
        <v>6.9520399159336099</v>
      </c>
      <c r="AT18" s="32">
        <f t="shared" ca="1" si="98"/>
        <v>1.0873783782535693</v>
      </c>
      <c r="AU18" s="32">
        <f t="shared" ca="1" si="99"/>
        <v>3.3157835756022749</v>
      </c>
      <c r="AV18" s="32">
        <f t="shared" ca="1" si="100"/>
        <v>0.54368918912678466</v>
      </c>
      <c r="AW18" s="32">
        <f t="shared" ca="1" si="101"/>
        <v>0.44688087299941998</v>
      </c>
      <c r="AX18" s="32">
        <f t="shared" ca="1" si="102"/>
        <v>0.9457796253955979</v>
      </c>
      <c r="AY18" s="32">
        <f t="shared" ca="1" si="103"/>
        <v>0.22344043649970999</v>
      </c>
      <c r="AZ18" s="32">
        <f t="shared" ca="1" si="104"/>
        <v>7.3644490634889941</v>
      </c>
      <c r="BA18" s="32">
        <f t="shared" ca="1" si="105"/>
        <v>2.1162056130627156</v>
      </c>
      <c r="BB18" s="32">
        <f t="shared" ca="1" si="106"/>
        <v>5.6588114339824358</v>
      </c>
      <c r="BC18" s="32">
        <f t="shared" ca="1" si="107"/>
        <v>1.0581028065313578</v>
      </c>
      <c r="BD18" s="32">
        <f t="shared" ca="1" si="108"/>
        <v>0.68805467747529736</v>
      </c>
      <c r="BE18" s="32">
        <f t="shared" ca="1" si="109"/>
        <v>0.82282827409417003</v>
      </c>
      <c r="BF18" s="32">
        <f t="shared" ca="1" si="110"/>
        <v>6.4880796249338042</v>
      </c>
      <c r="BG18" s="32">
        <f t="shared" ca="1" si="111"/>
        <v>5.1399952174417152</v>
      </c>
      <c r="BH18" s="32">
        <f t="shared" ca="1" si="112"/>
        <v>2.0158322243008473</v>
      </c>
      <c r="BI18" s="32">
        <f t="shared" ca="1" si="113"/>
        <v>1.1467577957921624</v>
      </c>
      <c r="BJ18" s="32">
        <f t="shared" ca="1" si="114"/>
        <v>0.62421455276109461</v>
      </c>
      <c r="BK18" s="32">
        <f t="shared" ca="1" si="115"/>
        <v>2.8058550931893067</v>
      </c>
      <c r="BL18" s="32">
        <f t="shared" ca="1" si="116"/>
        <v>4.6185284814893812</v>
      </c>
      <c r="BM18" s="32">
        <f t="shared" ca="1" si="117"/>
        <v>0.43495135130142765</v>
      </c>
      <c r="BN18" s="32">
        <f t="shared" ca="1" si="118"/>
        <v>0.42560083142801902</v>
      </c>
      <c r="BO18" s="32">
        <f t="shared" ca="1" si="119"/>
        <v>0.16078253631725165</v>
      </c>
      <c r="BP18" s="32">
        <f t="shared" ca="1" si="120"/>
        <v>2.2461569643641432</v>
      </c>
      <c r="BQ18" s="32">
        <f t="shared" ca="1" si="121"/>
        <v>6.7566814956468466</v>
      </c>
      <c r="BR18" s="32">
        <f t="shared" ca="1" si="122"/>
        <v>1.1292006235710144</v>
      </c>
      <c r="BS18" s="32">
        <f t="shared" ca="1" si="123"/>
        <v>0.67150353403087437</v>
      </c>
      <c r="BT18" s="32">
        <f t="shared" ca="1" si="124"/>
        <v>0.57692557149131463</v>
      </c>
      <c r="BU18" s="32">
        <f t="shared" ca="1" si="125"/>
        <v>4.6469673590615557</v>
      </c>
      <c r="BV18" s="32">
        <f t="shared" ca="1" si="126"/>
        <v>4.6781819118226498</v>
      </c>
      <c r="BW18" s="32">
        <f t="shared" ca="1" si="127"/>
        <v>1.2379384613963711</v>
      </c>
      <c r="BX18" s="32">
        <f t="shared" ca="1" si="128"/>
        <v>2.9899663197765318</v>
      </c>
      <c r="BY18" s="32">
        <f t="shared" ca="1" si="129"/>
        <v>4.4168779620777663</v>
      </c>
      <c r="BZ18" s="32">
        <f t="shared" ca="1" si="130"/>
        <v>12.333369645488609</v>
      </c>
      <c r="CA18" s="32">
        <f t="shared" ca="1" si="131"/>
        <v>4.4168779620777663</v>
      </c>
      <c r="CB18" s="32">
        <f t="shared" ca="1" si="132"/>
        <v>5.6270517665536435</v>
      </c>
      <c r="CC18" s="32">
        <f t="shared" ca="1" si="133"/>
        <v>16.450930767916436</v>
      </c>
      <c r="CD18" s="32">
        <f t="shared" ca="1" si="134"/>
        <v>5.6270517665536435</v>
      </c>
      <c r="CE18" s="32">
        <f t="shared" ca="1" si="135"/>
        <v>1.8411122658722485</v>
      </c>
    </row>
    <row r="19" spans="1:83" x14ac:dyDescent="0.25">
      <c r="A19" t="str">
        <f>Plantilla!D20</f>
        <v>Emilio Rojas</v>
      </c>
      <c r="B19">
        <f>Plantilla!E20</f>
        <v>31</v>
      </c>
      <c r="C19" s="30">
        <f ca="1">Plantilla!F20</f>
        <v>100</v>
      </c>
      <c r="D19" s="132" t="str">
        <f>Plantilla!G20</f>
        <v>IMP</v>
      </c>
      <c r="E19" s="28">
        <f>Plantilla!M20</f>
        <v>43417</v>
      </c>
      <c r="F19" s="42">
        <f>Plantilla!Q20</f>
        <v>6</v>
      </c>
      <c r="G19" s="43">
        <f t="shared" ref="G19" si="136">(F19/7)^0.5</f>
        <v>0.92582009977255142</v>
      </c>
      <c r="H19" s="43">
        <f t="shared" ref="H19" si="137">IF(F19=7,1,((F19+0.99)/7)^0.5)</f>
        <v>0.99928545900129484</v>
      </c>
      <c r="I19" s="138">
        <f ca="1">Plantilla!N20</f>
        <v>0.88782946175134669</v>
      </c>
      <c r="J19" s="34">
        <f>Plantilla!I20</f>
        <v>6.4</v>
      </c>
      <c r="K19" s="41">
        <f>Plantilla!X20</f>
        <v>0</v>
      </c>
      <c r="L19" s="41">
        <f>Plantilla!Y20</f>
        <v>6</v>
      </c>
      <c r="M19" s="41">
        <f>Plantilla!Z20</f>
        <v>2</v>
      </c>
      <c r="N19" s="41">
        <f>Plantilla!AA20</f>
        <v>6</v>
      </c>
      <c r="O19" s="41">
        <f>Plantilla!AB20</f>
        <v>9.1111111111111107</v>
      </c>
      <c r="P19" s="41">
        <f>Plantilla!AC20</f>
        <v>8.9499999999999993</v>
      </c>
      <c r="Q19" s="41">
        <f>Plantilla!AD20</f>
        <v>13</v>
      </c>
      <c r="R19" s="41">
        <f t="shared" si="70"/>
        <v>3.4027777777777777</v>
      </c>
      <c r="S19" s="41">
        <f t="shared" si="71"/>
        <v>0.83750000000000002</v>
      </c>
      <c r="T19" s="41">
        <f t="shared" si="72"/>
        <v>0.63000000000000012</v>
      </c>
      <c r="U19" s="41">
        <f t="shared" ca="1" si="73"/>
        <v>13.852801823167338</v>
      </c>
      <c r="V19" s="41">
        <f t="shared" ca="1" si="74"/>
        <v>14.952044605338086</v>
      </c>
      <c r="W19" s="32">
        <f t="shared" ca="1" si="75"/>
        <v>3.3694686098261704</v>
      </c>
      <c r="X19" s="32">
        <f t="shared" ca="1" si="76"/>
        <v>5.0838922970052529</v>
      </c>
      <c r="Y19" s="32">
        <f t="shared" ca="1" si="77"/>
        <v>3.3694686098261704</v>
      </c>
      <c r="Z19" s="32">
        <f t="shared" ca="1" si="78"/>
        <v>4.1087718243646094</v>
      </c>
      <c r="AA19" s="32">
        <f t="shared" ca="1" si="79"/>
        <v>7.9627360937298626</v>
      </c>
      <c r="AB19" s="32">
        <f t="shared" ca="1" si="80"/>
        <v>2.0543859121823047</v>
      </c>
      <c r="AC19" s="32">
        <f t="shared" ca="1" si="81"/>
        <v>0.9431311903077072</v>
      </c>
      <c r="AD19" s="32">
        <f t="shared" ca="1" si="82"/>
        <v>3.009914243429888</v>
      </c>
      <c r="AE19" s="32">
        <f t="shared" ca="1" si="83"/>
        <v>5.7570581957666906</v>
      </c>
      <c r="AF19" s="32">
        <f t="shared" ca="1" si="84"/>
        <v>1.504957121714944</v>
      </c>
      <c r="AG19" s="32">
        <f t="shared" ca="1" si="85"/>
        <v>1.525653396085997</v>
      </c>
      <c r="AH19" s="32">
        <f t="shared" ca="1" si="86"/>
        <v>7.3257172062314737</v>
      </c>
      <c r="AI19" s="32">
        <f t="shared" ca="1" si="87"/>
        <v>3.2965727428041629</v>
      </c>
      <c r="AJ19" s="32">
        <f t="shared" ca="1" si="88"/>
        <v>0.66177692765288709</v>
      </c>
      <c r="AK19" s="32">
        <f t="shared" ca="1" si="89"/>
        <v>4.6820888231131592</v>
      </c>
      <c r="AL19" s="32">
        <f t="shared" ca="1" si="90"/>
        <v>6.003903014672316</v>
      </c>
      <c r="AM19" s="32">
        <f t="shared" ca="1" si="91"/>
        <v>5.6376171543607425</v>
      </c>
      <c r="AN19" s="32">
        <f t="shared" ca="1" si="92"/>
        <v>2.4987769276528873</v>
      </c>
      <c r="AO19" s="32">
        <f t="shared" ca="1" si="93"/>
        <v>1.5452679949942003</v>
      </c>
      <c r="AP19" s="32">
        <f t="shared" ca="1" si="94"/>
        <v>2.1499387453070629</v>
      </c>
      <c r="AQ19" s="32">
        <f t="shared" ca="1" si="95"/>
        <v>4.7298652396755383</v>
      </c>
      <c r="AR19" s="32">
        <f t="shared" ca="1" si="96"/>
        <v>1.0749693726535314</v>
      </c>
      <c r="AS19" s="32">
        <f t="shared" ca="1" si="97"/>
        <v>3.7408228724809902</v>
      </c>
      <c r="AT19" s="32">
        <f t="shared" ca="1" si="98"/>
        <v>1.4396001366293265</v>
      </c>
      <c r="AU19" s="32">
        <f t="shared" ca="1" si="99"/>
        <v>3.216765008796183</v>
      </c>
      <c r="AV19" s="32">
        <f t="shared" ca="1" si="100"/>
        <v>0.71980006831466326</v>
      </c>
      <c r="AW19" s="32">
        <f t="shared" ca="1" si="101"/>
        <v>1.504957121714944</v>
      </c>
      <c r="AX19" s="32">
        <f t="shared" ca="1" si="102"/>
        <v>3.1850944374919452</v>
      </c>
      <c r="AY19" s="32">
        <f t="shared" ca="1" si="103"/>
        <v>0.752478560857472</v>
      </c>
      <c r="AZ19" s="32">
        <f t="shared" ca="1" si="104"/>
        <v>3.9627360937298626</v>
      </c>
      <c r="BA19" s="32">
        <f t="shared" ca="1" si="105"/>
        <v>2.8016833428247661</v>
      </c>
      <c r="BB19" s="32">
        <f t="shared" ca="1" si="106"/>
        <v>6.0678564765340433</v>
      </c>
      <c r="BC19" s="32">
        <f t="shared" ca="1" si="107"/>
        <v>1.400841671412383</v>
      </c>
      <c r="BD19" s="32">
        <f t="shared" ca="1" si="108"/>
        <v>2.3171562032753901</v>
      </c>
      <c r="BE19" s="32">
        <f t="shared" ca="1" si="109"/>
        <v>2.7710321606179922</v>
      </c>
      <c r="BF19" s="32">
        <f t="shared" ca="1" si="110"/>
        <v>3.4911704985760088</v>
      </c>
      <c r="BG19" s="32">
        <f t="shared" ca="1" si="111"/>
        <v>8.0588723873258488</v>
      </c>
      <c r="BH19" s="32">
        <f t="shared" ca="1" si="112"/>
        <v>2.6687971763666747</v>
      </c>
      <c r="BI19" s="32">
        <f t="shared" ca="1" si="113"/>
        <v>3.8619270054589832</v>
      </c>
      <c r="BJ19" s="32">
        <f t="shared" ca="1" si="114"/>
        <v>2.1021623287446838</v>
      </c>
      <c r="BK19" s="32">
        <f t="shared" ca="1" si="115"/>
        <v>1.5098024517110777</v>
      </c>
      <c r="BL19" s="32">
        <f t="shared" ca="1" si="116"/>
        <v>7.5847646792532339</v>
      </c>
      <c r="BM19" s="32">
        <f t="shared" ca="1" si="117"/>
        <v>0.5758400546517306</v>
      </c>
      <c r="BN19" s="32">
        <f t="shared" ca="1" si="118"/>
        <v>1.4332924968713752</v>
      </c>
      <c r="BO19" s="32">
        <f t="shared" ca="1" si="119"/>
        <v>0.54146605437363071</v>
      </c>
      <c r="BP19" s="32">
        <f t="shared" ca="1" si="120"/>
        <v>1.208634508587608</v>
      </c>
      <c r="BQ19" s="32">
        <f t="shared" ca="1" si="121"/>
        <v>11.12985639431438</v>
      </c>
      <c r="BR19" s="32">
        <f t="shared" ca="1" si="122"/>
        <v>1.4949693726535316</v>
      </c>
      <c r="BS19" s="32">
        <f t="shared" ca="1" si="123"/>
        <v>2.2614170506192806</v>
      </c>
      <c r="BT19" s="32">
        <f t="shared" ca="1" si="124"/>
        <v>1.9429076068700863</v>
      </c>
      <c r="BU19" s="32">
        <f t="shared" ca="1" si="125"/>
        <v>2.5004864751435432</v>
      </c>
      <c r="BV19" s="32">
        <f t="shared" ca="1" si="126"/>
        <v>7.7270932483326717</v>
      </c>
      <c r="BW19" s="32">
        <f t="shared" ca="1" si="127"/>
        <v>1.638929386316464</v>
      </c>
      <c r="BX19" s="32">
        <f t="shared" ca="1" si="128"/>
        <v>1.6088708540543244</v>
      </c>
      <c r="BY19" s="32">
        <f t="shared" ca="1" si="129"/>
        <v>5.3010132826110361</v>
      </c>
      <c r="BZ19" s="32">
        <f t="shared" ca="1" si="130"/>
        <v>12.375224174873157</v>
      </c>
      <c r="CA19" s="32">
        <f t="shared" ca="1" si="131"/>
        <v>5.3010132826110361</v>
      </c>
      <c r="CB19" s="32">
        <f t="shared" ca="1" si="132"/>
        <v>6.1695623641714814</v>
      </c>
      <c r="CC19" s="32">
        <f t="shared" ca="1" si="133"/>
        <v>14.99898571231618</v>
      </c>
      <c r="CD19" s="32">
        <f t="shared" ca="1" si="134"/>
        <v>6.1695623641714814</v>
      </c>
      <c r="CE19" s="32">
        <f t="shared" ca="1" si="135"/>
        <v>0.99068402343246564</v>
      </c>
    </row>
    <row r="20" spans="1:83" x14ac:dyDescent="0.25">
      <c r="A20" t="str">
        <f>Plantilla!D21</f>
        <v>Leo Hilpinen</v>
      </c>
      <c r="B20">
        <f>Plantilla!E21</f>
        <v>30</v>
      </c>
      <c r="C20" s="30">
        <f ca="1">Plantilla!F21</f>
        <v>75</v>
      </c>
      <c r="D20" s="132" t="str">
        <f>Plantilla!G21</f>
        <v>CAB</v>
      </c>
      <c r="E20" s="28">
        <f>Plantilla!M21</f>
        <v>43590</v>
      </c>
      <c r="F20" s="42">
        <f>Plantilla!Q21</f>
        <v>7</v>
      </c>
      <c r="G20" s="43">
        <f t="shared" ref="G20" si="138">(F20/7)^0.5</f>
        <v>1</v>
      </c>
      <c r="H20" s="43">
        <f t="shared" ref="H20" si="139">IF(F20=7,1,((F20+0.99)/7)^0.5)</f>
        <v>1</v>
      </c>
      <c r="I20" s="138">
        <f ca="1">Plantilla!N21</f>
        <v>0.47790174493713611</v>
      </c>
      <c r="J20" s="34">
        <f>Plantilla!I21</f>
        <v>6</v>
      </c>
      <c r="K20" s="41">
        <f>Plantilla!X21</f>
        <v>0</v>
      </c>
      <c r="L20" s="41">
        <f>Plantilla!Y21</f>
        <v>5</v>
      </c>
      <c r="M20" s="41">
        <f>Plantilla!Z21</f>
        <v>6</v>
      </c>
      <c r="N20" s="41">
        <f>Plantilla!AA21</f>
        <v>5</v>
      </c>
      <c r="O20" s="41">
        <f>Plantilla!AB21</f>
        <v>9.1428571428571423</v>
      </c>
      <c r="P20" s="41">
        <f>Plantilla!AC21</f>
        <v>12</v>
      </c>
      <c r="Q20" s="41">
        <f>Plantilla!AD21</f>
        <v>0</v>
      </c>
      <c r="R20" s="41">
        <f t="shared" si="70"/>
        <v>3.2857142857142856</v>
      </c>
      <c r="S20" s="41">
        <f t="shared" si="71"/>
        <v>0.6</v>
      </c>
      <c r="T20" s="41">
        <f t="shared" si="72"/>
        <v>0.2</v>
      </c>
      <c r="U20" s="41">
        <f t="shared" ca="1" si="73"/>
        <v>1.515436745448661</v>
      </c>
      <c r="V20" s="41">
        <f t="shared" ca="1" si="74"/>
        <v>1.515436745448661</v>
      </c>
      <c r="W20" s="32">
        <f t="shared" ca="1" si="75"/>
        <v>2.7029762787766813</v>
      </c>
      <c r="X20" s="32">
        <f t="shared" ca="1" si="76"/>
        <v>4.0814288383742214</v>
      </c>
      <c r="Y20" s="32">
        <f t="shared" ca="1" si="77"/>
        <v>2.7029762787766813</v>
      </c>
      <c r="Z20" s="32">
        <f t="shared" ca="1" si="78"/>
        <v>3.3619653606515092</v>
      </c>
      <c r="AA20" s="32">
        <f t="shared" ca="1" si="79"/>
        <v>6.5154367454486612</v>
      </c>
      <c r="AB20" s="32">
        <f t="shared" ca="1" si="80"/>
        <v>1.6809826803257546</v>
      </c>
      <c r="AC20" s="32">
        <f t="shared" ca="1" si="81"/>
        <v>1.7886739454167813</v>
      </c>
      <c r="AD20" s="32">
        <f t="shared" ca="1" si="82"/>
        <v>2.4628350897795941</v>
      </c>
      <c r="AE20" s="32">
        <f t="shared" ca="1" si="83"/>
        <v>4.7106607669593821</v>
      </c>
      <c r="AF20" s="32">
        <f t="shared" ca="1" si="84"/>
        <v>1.231417544889797</v>
      </c>
      <c r="AG20" s="32">
        <f t="shared" ca="1" si="85"/>
        <v>2.8934431469977349</v>
      </c>
      <c r="AH20" s="32">
        <f t="shared" ca="1" si="86"/>
        <v>5.9942018058127688</v>
      </c>
      <c r="AI20" s="32">
        <f t="shared" ca="1" si="87"/>
        <v>2.6973908126157458</v>
      </c>
      <c r="AJ20" s="32">
        <f t="shared" ca="1" si="88"/>
        <v>1.2550779364899265</v>
      </c>
      <c r="AK20" s="32">
        <f t="shared" ca="1" si="89"/>
        <v>3.8310768063238125</v>
      </c>
      <c r="AL20" s="32">
        <f t="shared" ca="1" si="90"/>
        <v>4.9126393060682902</v>
      </c>
      <c r="AM20" s="32">
        <f t="shared" ca="1" si="91"/>
        <v>4.612929215777652</v>
      </c>
      <c r="AN20" s="32">
        <f t="shared" ca="1" si="92"/>
        <v>0.25307793648992638</v>
      </c>
      <c r="AO20" s="32">
        <f t="shared" ca="1" si="93"/>
        <v>1.3827314969749285</v>
      </c>
      <c r="AP20" s="32">
        <f t="shared" ca="1" si="94"/>
        <v>1.7591679212711386</v>
      </c>
      <c r="AQ20" s="32">
        <f t="shared" ca="1" si="95"/>
        <v>3.8701694267965046</v>
      </c>
      <c r="AR20" s="32">
        <f t="shared" ca="1" si="96"/>
        <v>0.87958396063556932</v>
      </c>
      <c r="AS20" s="32">
        <f t="shared" ca="1" si="97"/>
        <v>7.094572287703536</v>
      </c>
      <c r="AT20" s="32">
        <f t="shared" ca="1" si="98"/>
        <v>1.3855782054797543</v>
      </c>
      <c r="AU20" s="32">
        <f t="shared" ca="1" si="99"/>
        <v>3.6171658235593145</v>
      </c>
      <c r="AV20" s="32">
        <f t="shared" ca="1" si="100"/>
        <v>0.69278910273987715</v>
      </c>
      <c r="AW20" s="32">
        <f t="shared" ca="1" si="101"/>
        <v>1.231417544889797</v>
      </c>
      <c r="AX20" s="32">
        <f t="shared" ca="1" si="102"/>
        <v>2.6061746981794647</v>
      </c>
      <c r="AY20" s="32">
        <f t="shared" ca="1" si="103"/>
        <v>0.61570877244489852</v>
      </c>
      <c r="AZ20" s="32">
        <f t="shared" ca="1" si="104"/>
        <v>7.5154367454486612</v>
      </c>
      <c r="BA20" s="32">
        <f t="shared" ca="1" si="105"/>
        <v>2.6965483537413681</v>
      </c>
      <c r="BB20" s="32">
        <f t="shared" ca="1" si="106"/>
        <v>6.4727199324564975</v>
      </c>
      <c r="BC20" s="32">
        <f t="shared" ca="1" si="107"/>
        <v>1.3482741768706841</v>
      </c>
      <c r="BD20" s="32">
        <f t="shared" ca="1" si="108"/>
        <v>1.8959920929255603</v>
      </c>
      <c r="BE20" s="32">
        <f t="shared" ca="1" si="109"/>
        <v>2.267371987416134</v>
      </c>
      <c r="BF20" s="32">
        <f t="shared" ca="1" si="110"/>
        <v>6.621099772740271</v>
      </c>
      <c r="BG20" s="32">
        <f t="shared" ca="1" si="111"/>
        <v>7.0972232667038595</v>
      </c>
      <c r="BH20" s="32">
        <f t="shared" ca="1" si="112"/>
        <v>2.5686488270816983</v>
      </c>
      <c r="BI20" s="32">
        <f t="shared" ca="1" si="113"/>
        <v>3.1599868215426006</v>
      </c>
      <c r="BJ20" s="32">
        <f t="shared" ca="1" si="114"/>
        <v>1.7200753007984466</v>
      </c>
      <c r="BK20" s="32">
        <f t="shared" ca="1" si="115"/>
        <v>2.8633814000159399</v>
      </c>
      <c r="BL20" s="32">
        <f t="shared" ca="1" si="116"/>
        <v>6.527206001236415</v>
      </c>
      <c r="BM20" s="32">
        <f t="shared" ca="1" si="117"/>
        <v>0.55423128219190176</v>
      </c>
      <c r="BN20" s="32">
        <f t="shared" ca="1" si="118"/>
        <v>1.172778614180759</v>
      </c>
      <c r="BO20" s="32">
        <f t="shared" ca="1" si="119"/>
        <v>0.44304969869050898</v>
      </c>
      <c r="BP20" s="32">
        <f t="shared" ca="1" si="120"/>
        <v>2.2922082073618415</v>
      </c>
      <c r="BQ20" s="32">
        <f t="shared" ca="1" si="121"/>
        <v>9.5637087975041197</v>
      </c>
      <c r="BR20" s="32">
        <f t="shared" ca="1" si="122"/>
        <v>1.4388696749212835</v>
      </c>
      <c r="BS20" s="32">
        <f t="shared" ca="1" si="123"/>
        <v>1.8503840357074197</v>
      </c>
      <c r="BT20" s="32">
        <f t="shared" ca="1" si="124"/>
        <v>1.5897665658894733</v>
      </c>
      <c r="BU20" s="32">
        <f t="shared" ca="1" si="125"/>
        <v>4.742240586378105</v>
      </c>
      <c r="BV20" s="32">
        <f t="shared" ca="1" si="126"/>
        <v>6.6308873157479802</v>
      </c>
      <c r="BW20" s="32">
        <f t="shared" ca="1" si="127"/>
        <v>1.5774274954692586</v>
      </c>
      <c r="BX20" s="32">
        <f t="shared" ca="1" si="128"/>
        <v>3.0512673186521568</v>
      </c>
      <c r="BY20" s="32">
        <f t="shared" ca="1" si="129"/>
        <v>5.3192568300930372</v>
      </c>
      <c r="BZ20" s="32">
        <f t="shared" ca="1" si="130"/>
        <v>13.666953203946619</v>
      </c>
      <c r="CA20" s="32">
        <f t="shared" ca="1" si="131"/>
        <v>5.3192568300930372</v>
      </c>
      <c r="CB20" s="32">
        <f t="shared" ca="1" si="132"/>
        <v>6.46740280670023</v>
      </c>
      <c r="CC20" s="32">
        <f t="shared" ca="1" si="133"/>
        <v>17.448347190233502</v>
      </c>
      <c r="CD20" s="32">
        <f t="shared" ca="1" si="134"/>
        <v>6.46740280670023</v>
      </c>
      <c r="CE20" s="32">
        <f t="shared" ca="1" si="135"/>
        <v>1.8788591863621653</v>
      </c>
    </row>
    <row r="21" spans="1:83" x14ac:dyDescent="0.25">
      <c r="M21" s="32"/>
      <c r="N21" s="32"/>
      <c r="AH21" s="32"/>
      <c r="AI21" s="32"/>
    </row>
    <row r="22" spans="1:83" ht="18.75" x14ac:dyDescent="0.3">
      <c r="A22" s="53" t="s">
        <v>88</v>
      </c>
      <c r="B22" s="53" t="s">
        <v>89</v>
      </c>
      <c r="C22" s="53"/>
      <c r="D22" s="54"/>
      <c r="Z22" s="32"/>
      <c r="AA22" s="32"/>
      <c r="BV22" s="32"/>
      <c r="BW22" s="32"/>
    </row>
    <row r="23" spans="1:83" x14ac:dyDescent="0.25">
      <c r="A23" s="55" t="s">
        <v>90</v>
      </c>
      <c r="B23" s="56">
        <v>1</v>
      </c>
      <c r="C23" s="58">
        <v>0.624</v>
      </c>
      <c r="D23" s="59">
        <v>0.245</v>
      </c>
      <c r="AH23" s="32"/>
      <c r="AI23" s="32"/>
    </row>
    <row r="24" spans="1:83" x14ac:dyDescent="0.25">
      <c r="A24" s="55" t="s">
        <v>91</v>
      </c>
      <c r="B24" s="56">
        <v>1</v>
      </c>
      <c r="C24" s="58">
        <v>1.002</v>
      </c>
      <c r="D24" s="59">
        <v>0.34</v>
      </c>
      <c r="AG24" s="64"/>
      <c r="AH24" s="65"/>
    </row>
    <row r="25" spans="1:83" x14ac:dyDescent="0.25">
      <c r="A25" s="55" t="s">
        <v>92</v>
      </c>
      <c r="B25" s="56">
        <v>1</v>
      </c>
      <c r="C25" s="58">
        <v>0.46800000000000003</v>
      </c>
      <c r="D25" s="59">
        <v>0.125</v>
      </c>
      <c r="Z25" s="32"/>
      <c r="AA25" s="32"/>
      <c r="AH25" s="66"/>
      <c r="AI25" s="66"/>
      <c r="BV25" s="32"/>
      <c r="BW25" s="32"/>
    </row>
    <row r="26" spans="1:83" x14ac:dyDescent="0.25">
      <c r="A26" s="55" t="s">
        <v>93</v>
      </c>
      <c r="B26" s="56">
        <v>1</v>
      </c>
      <c r="C26" s="58">
        <v>0.877</v>
      </c>
      <c r="D26" s="59">
        <v>0.25</v>
      </c>
      <c r="W26" s="65"/>
    </row>
    <row r="27" spans="1:83" x14ac:dyDescent="0.25">
      <c r="A27" s="55" t="s">
        <v>94</v>
      </c>
      <c r="B27" s="56">
        <v>1</v>
      </c>
      <c r="C27" s="58">
        <v>0.59299999999999997</v>
      </c>
      <c r="D27" s="59">
        <v>0.19</v>
      </c>
      <c r="W27" s="65"/>
    </row>
    <row r="29" spans="1:83" x14ac:dyDescent="0.25">
      <c r="Z29" s="65"/>
      <c r="AA29" s="65"/>
      <c r="BV29" s="65"/>
      <c r="BW29" s="65"/>
    </row>
  </sheetData>
  <conditionalFormatting sqref="U3:V20">
    <cfRule type="cellIs" dxfId="8" priority="20" operator="greaterThan">
      <formula>15</formula>
    </cfRule>
  </conditionalFormatting>
  <conditionalFormatting sqref="R3:R20">
    <cfRule type="cellIs" dxfId="7" priority="19" operator="greaterThan">
      <formula>3.2</formula>
    </cfRule>
  </conditionalFormatting>
  <conditionalFormatting sqref="S3:T20">
    <cfRule type="cellIs" dxfId="6" priority="18" operator="greaterThan">
      <formula>0.6</formula>
    </cfRule>
  </conditionalFormatting>
  <conditionalFormatting sqref="W3:AI20 AK3:AM20 AO3:BD20 BF3:CE20">
    <cfRule type="cellIs" dxfId="5" priority="17" operator="greaterThan">
      <formula>12.5</formula>
    </cfRule>
  </conditionalFormatting>
  <conditionalFormatting sqref="J3:J20">
    <cfRule type="cellIs" dxfId="4" priority="14" operator="greaterThan">
      <formula>7</formula>
    </cfRule>
  </conditionalFormatting>
  <conditionalFormatting sqref="K3:Q20">
    <cfRule type="colorScale" priority="55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W35"/>
  <sheetViews>
    <sheetView zoomScale="120" zoomScaleNormal="120" workbookViewId="0">
      <selection activeCell="U22" sqref="U22"/>
    </sheetView>
  </sheetViews>
  <sheetFormatPr baseColWidth="10" defaultColWidth="11.42578125" defaultRowHeight="15" x14ac:dyDescent="0.25"/>
  <cols>
    <col min="1" max="1" width="4" bestFit="1" customWidth="1"/>
    <col min="2" max="2" width="18.2851562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bestFit="1" customWidth="1"/>
    <col min="13" max="13" width="5.5703125" bestFit="1" customWidth="1"/>
    <col min="14" max="14" width="8.140625" bestFit="1" customWidth="1"/>
    <col min="15" max="20" width="5.85546875" bestFit="1" customWidth="1"/>
    <col min="21" max="21" width="6.85546875" bestFit="1" customWidth="1"/>
    <col min="22" max="22" width="5" bestFit="1" customWidth="1"/>
    <col min="23" max="23" width="5.5703125" bestFit="1" customWidth="1"/>
  </cols>
  <sheetData>
    <row r="1" spans="1:23" x14ac:dyDescent="0.25">
      <c r="B1" t="s">
        <v>373</v>
      </c>
      <c r="L1" s="132"/>
      <c r="M1" s="132"/>
      <c r="N1" s="132"/>
      <c r="W1" s="47"/>
    </row>
    <row r="2" spans="1:23" x14ac:dyDescent="0.25">
      <c r="B2" s="28">
        <v>43636</v>
      </c>
      <c r="L2" s="132"/>
      <c r="M2" s="132"/>
      <c r="N2" s="132"/>
      <c r="U2" s="139"/>
      <c r="W2" s="47"/>
    </row>
    <row r="3" spans="1:23" x14ac:dyDescent="0.25">
      <c r="A3" s="10" t="s">
        <v>374</v>
      </c>
      <c r="B3" s="10" t="s">
        <v>3</v>
      </c>
      <c r="C3" s="10" t="s">
        <v>63</v>
      </c>
      <c r="D3" s="10" t="s">
        <v>5</v>
      </c>
      <c r="E3" s="10" t="str">
        <f>Plantilla!X3</f>
        <v>Po</v>
      </c>
      <c r="F3" s="10" t="str">
        <f>Plantilla!Y3</f>
        <v>De</v>
      </c>
      <c r="G3" s="10" t="str">
        <f>Plantilla!Z3</f>
        <v>Cr</v>
      </c>
      <c r="H3" s="10" t="str">
        <f>Plantilla!AA3</f>
        <v>Ex</v>
      </c>
      <c r="I3" s="10" t="str">
        <f>Plantilla!AB3</f>
        <v>Ps</v>
      </c>
      <c r="J3" s="10" t="str">
        <f>Plantilla!AC3</f>
        <v>An</v>
      </c>
      <c r="K3" s="10" t="str">
        <f>Plantilla!AD3</f>
        <v>PA</v>
      </c>
      <c r="L3" s="140">
        <v>1</v>
      </c>
      <c r="M3" s="140">
        <v>0.5</v>
      </c>
      <c r="N3" s="10" t="s">
        <v>375</v>
      </c>
      <c r="O3" s="142" t="s">
        <v>376</v>
      </c>
      <c r="P3" s="142" t="s">
        <v>377</v>
      </c>
      <c r="Q3" s="142" t="s">
        <v>47</v>
      </c>
      <c r="R3" s="142" t="s">
        <v>378</v>
      </c>
      <c r="S3" s="141" t="s">
        <v>62</v>
      </c>
      <c r="T3" s="147" t="s">
        <v>379</v>
      </c>
      <c r="U3" s="74" t="s">
        <v>85</v>
      </c>
      <c r="W3" s="47"/>
    </row>
    <row r="4" spans="1:23" x14ac:dyDescent="0.25">
      <c r="A4" s="143" t="str">
        <f>Plantilla!A4</f>
        <v>#1</v>
      </c>
      <c r="B4" s="144" t="str">
        <f>Plantilla!D4</f>
        <v>Cosme Fonteboa</v>
      </c>
      <c r="C4" s="143">
        <f>Plantilla!E4</f>
        <v>22</v>
      </c>
      <c r="D4" s="146">
        <f ca="1">Plantilla!F4</f>
        <v>107</v>
      </c>
      <c r="E4" s="41">
        <f>Plantilla!X4</f>
        <v>15</v>
      </c>
      <c r="F4" s="41">
        <f>Plantilla!Y4</f>
        <v>11.111111111111111</v>
      </c>
      <c r="G4" s="41">
        <f>Plantilla!Z4</f>
        <v>0</v>
      </c>
      <c r="H4" s="41">
        <f>Plantilla!AA4</f>
        <v>0</v>
      </c>
      <c r="I4" s="41">
        <f>Plantilla!AB4</f>
        <v>0</v>
      </c>
      <c r="J4" s="41">
        <f>Plantilla!AC4</f>
        <v>1</v>
      </c>
      <c r="K4" s="41">
        <f>Plantilla!AD4</f>
        <v>1</v>
      </c>
      <c r="L4" s="145"/>
      <c r="M4" s="145"/>
      <c r="N4" s="145"/>
      <c r="O4" s="67"/>
      <c r="P4" s="67"/>
      <c r="Q4" s="67"/>
      <c r="R4" s="67"/>
      <c r="S4" s="67"/>
      <c r="T4" s="67"/>
      <c r="U4" s="67"/>
      <c r="W4" s="47"/>
    </row>
    <row r="5" spans="1:23" x14ac:dyDescent="0.25">
      <c r="A5" s="143" t="str">
        <f>Plantilla!A5</f>
        <v>#19</v>
      </c>
      <c r="B5" s="144" t="str">
        <f>Plantilla!D5</f>
        <v>Nicolae Hornet</v>
      </c>
      <c r="C5" s="143">
        <f>Plantilla!E5</f>
        <v>23</v>
      </c>
      <c r="D5" s="146">
        <f ca="1">Plantilla!F5</f>
        <v>20</v>
      </c>
      <c r="E5" s="41">
        <f>Plantilla!X5</f>
        <v>6</v>
      </c>
      <c r="F5" s="41">
        <f>Plantilla!Y5</f>
        <v>4.75</v>
      </c>
      <c r="G5" s="41">
        <f>Plantilla!Z5</f>
        <v>0</v>
      </c>
      <c r="H5" s="41">
        <f>Plantilla!AA5</f>
        <v>3</v>
      </c>
      <c r="I5" s="41">
        <f>Plantilla!AB5</f>
        <v>0</v>
      </c>
      <c r="J5" s="41">
        <f>Plantilla!AC5</f>
        <v>1</v>
      </c>
      <c r="K5" s="41">
        <f>Plantilla!AD5</f>
        <v>1</v>
      </c>
      <c r="L5" s="145"/>
      <c r="M5" s="145"/>
      <c r="N5" s="145"/>
      <c r="O5" s="67"/>
      <c r="P5" s="67"/>
      <c r="Q5" s="67"/>
      <c r="R5" s="67"/>
      <c r="S5" s="67"/>
      <c r="T5" s="67"/>
      <c r="U5" s="67"/>
      <c r="W5" s="47"/>
    </row>
    <row r="6" spans="1:23" x14ac:dyDescent="0.25">
      <c r="A6" s="143" t="str">
        <f>Plantilla!A6</f>
        <v>#2</v>
      </c>
      <c r="B6" s="144" t="str">
        <f>Plantilla!D6</f>
        <v>Miguel Fernández</v>
      </c>
      <c r="C6" s="143">
        <f>Plantilla!E6</f>
        <v>22</v>
      </c>
      <c r="D6" s="146">
        <f ca="1">Plantilla!F6</f>
        <v>104</v>
      </c>
      <c r="E6" s="41">
        <f>Plantilla!X6</f>
        <v>0</v>
      </c>
      <c r="F6" s="41">
        <f>Plantilla!Y6</f>
        <v>15</v>
      </c>
      <c r="G6" s="41">
        <f>Plantilla!Z6</f>
        <v>5</v>
      </c>
      <c r="H6" s="41">
        <f>Plantilla!AA6</f>
        <v>5.4</v>
      </c>
      <c r="I6" s="41">
        <f>Plantilla!AB6</f>
        <v>6</v>
      </c>
      <c r="J6" s="41">
        <f>Plantilla!AC6</f>
        <v>2</v>
      </c>
      <c r="K6" s="41">
        <f>Plantilla!AD6</f>
        <v>1</v>
      </c>
      <c r="L6" s="145">
        <f>1/3</f>
        <v>0.33333333333333331</v>
      </c>
      <c r="M6" s="145">
        <f t="shared" ref="M6:M15" si="0">L6/2</f>
        <v>0.16666666666666666</v>
      </c>
      <c r="N6" s="145">
        <f t="shared" ref="N6:N15" si="1">L6/8</f>
        <v>4.1666666666666664E-2</v>
      </c>
      <c r="O6" s="67">
        <f>L6*0.286</f>
        <v>9.5333333333333325E-2</v>
      </c>
      <c r="P6" s="67"/>
      <c r="Q6" s="67"/>
      <c r="R6" s="67"/>
      <c r="S6" s="67"/>
      <c r="T6" s="67"/>
      <c r="U6" s="67">
        <f t="shared" ref="U6:U9" si="2">MAX(O6:T6)</f>
        <v>9.5333333333333325E-2</v>
      </c>
      <c r="W6" s="47"/>
    </row>
    <row r="7" spans="1:23" x14ac:dyDescent="0.25">
      <c r="A7" s="143" t="str">
        <f>Plantilla!A7</f>
        <v>#13</v>
      </c>
      <c r="B7" s="144" t="str">
        <f>Plantilla!D7</f>
        <v>Iván Real Figueroa</v>
      </c>
      <c r="C7" s="143">
        <f>Plantilla!E7</f>
        <v>22</v>
      </c>
      <c r="D7" s="146">
        <f ca="1">Plantilla!F7</f>
        <v>85</v>
      </c>
      <c r="E7" s="41">
        <f>Plantilla!X7</f>
        <v>0</v>
      </c>
      <c r="F7" s="41">
        <f>Plantilla!Y7</f>
        <v>14.9375</v>
      </c>
      <c r="G7" s="41">
        <f>Plantilla!Z7</f>
        <v>5</v>
      </c>
      <c r="H7" s="41">
        <f>Plantilla!AA7</f>
        <v>7</v>
      </c>
      <c r="I7" s="41">
        <f>Plantilla!AB7</f>
        <v>5.25</v>
      </c>
      <c r="J7" s="41">
        <f>Plantilla!AC7</f>
        <v>1</v>
      </c>
      <c r="K7" s="41">
        <f>Plantilla!AD7</f>
        <v>0</v>
      </c>
      <c r="L7" s="145">
        <f>1/4</f>
        <v>0.25</v>
      </c>
      <c r="M7" s="145">
        <f t="shared" si="0"/>
        <v>0.125</v>
      </c>
      <c r="N7" s="145">
        <f t="shared" si="1"/>
        <v>3.125E-2</v>
      </c>
      <c r="O7" s="67">
        <f>L7*0.286</f>
        <v>7.1499999999999994E-2</v>
      </c>
      <c r="P7" s="67"/>
      <c r="Q7" s="67"/>
      <c r="R7" s="67"/>
      <c r="S7" s="67"/>
      <c r="T7" s="67"/>
      <c r="U7" s="67">
        <f t="shared" si="2"/>
        <v>7.1499999999999994E-2</v>
      </c>
      <c r="W7" s="47"/>
    </row>
    <row r="8" spans="1:23" x14ac:dyDescent="0.25">
      <c r="A8" s="143" t="str">
        <f>Plantilla!A8</f>
        <v>#4</v>
      </c>
      <c r="B8" s="144" t="str">
        <f>Plantilla!D8</f>
        <v>Berto Abandero</v>
      </c>
      <c r="C8" s="143">
        <f>Plantilla!E8</f>
        <v>23</v>
      </c>
      <c r="D8" s="146">
        <f ca="1">Plantilla!F8</f>
        <v>23</v>
      </c>
      <c r="E8" s="41">
        <f>Plantilla!X8</f>
        <v>0</v>
      </c>
      <c r="F8" s="41">
        <f>Plantilla!Y8</f>
        <v>13.083333333333334</v>
      </c>
      <c r="G8" s="41">
        <f>Plantilla!Z8</f>
        <v>3</v>
      </c>
      <c r="H8" s="41">
        <f>Plantilla!AA8</f>
        <v>7.1999999999999993</v>
      </c>
      <c r="I8" s="41">
        <f>Plantilla!AB8</f>
        <v>10.125</v>
      </c>
      <c r="J8" s="41">
        <f>Plantilla!AC8</f>
        <v>3</v>
      </c>
      <c r="K8" s="41">
        <f>Plantilla!AD8</f>
        <v>2</v>
      </c>
      <c r="L8" s="145">
        <f>1/4</f>
        <v>0.25</v>
      </c>
      <c r="M8" s="145">
        <f t="shared" si="0"/>
        <v>0.125</v>
      </c>
      <c r="N8" s="145">
        <f t="shared" si="1"/>
        <v>3.125E-2</v>
      </c>
      <c r="O8" s="67">
        <f>L8*0.286</f>
        <v>7.1499999999999994E-2</v>
      </c>
      <c r="P8" s="67"/>
      <c r="Q8" s="67"/>
      <c r="R8" s="67"/>
      <c r="S8" s="67"/>
      <c r="T8" s="67"/>
      <c r="U8" s="67">
        <f t="shared" si="2"/>
        <v>7.1499999999999994E-2</v>
      </c>
      <c r="W8" s="47"/>
    </row>
    <row r="9" spans="1:23" x14ac:dyDescent="0.25">
      <c r="A9" s="143" t="str">
        <f>Plantilla!A9</f>
        <v>#2</v>
      </c>
      <c r="B9" s="144" t="str">
        <f>Plantilla!D9</f>
        <v>Guillermo Pedrajas</v>
      </c>
      <c r="C9" s="143">
        <f>Plantilla!E9</f>
        <v>23</v>
      </c>
      <c r="D9" s="146">
        <f ca="1">Plantilla!F9</f>
        <v>8</v>
      </c>
      <c r="E9" s="41">
        <f>Plantilla!X9</f>
        <v>0</v>
      </c>
      <c r="F9" s="41">
        <f>Plantilla!Y9</f>
        <v>11.111111111111111</v>
      </c>
      <c r="G9" s="41">
        <f>Plantilla!Z9</f>
        <v>11</v>
      </c>
      <c r="H9" s="41">
        <f>Plantilla!AA9</f>
        <v>4</v>
      </c>
      <c r="I9" s="41">
        <f>Plantilla!AB9</f>
        <v>9.1428571428571423</v>
      </c>
      <c r="J9" s="41">
        <f>Plantilla!AC9</f>
        <v>4</v>
      </c>
      <c r="K9" s="41">
        <f>Plantilla!AD9</f>
        <v>1</v>
      </c>
      <c r="L9" s="145">
        <f>1/3</f>
        <v>0.33333333333333331</v>
      </c>
      <c r="M9" s="145">
        <f t="shared" si="0"/>
        <v>0.16666666666666666</v>
      </c>
      <c r="N9" s="145">
        <f t="shared" si="1"/>
        <v>4.1666666666666664E-2</v>
      </c>
      <c r="O9" s="67"/>
      <c r="P9" s="67"/>
      <c r="Q9" s="67"/>
      <c r="R9" s="67"/>
      <c r="S9" s="67"/>
      <c r="T9" s="67"/>
      <c r="U9" s="67">
        <f t="shared" si="2"/>
        <v>0</v>
      </c>
      <c r="W9" s="47"/>
    </row>
    <row r="10" spans="1:23" x14ac:dyDescent="0.25">
      <c r="A10" s="143" t="str">
        <f>Plantilla!A10</f>
        <v>#23</v>
      </c>
      <c r="B10" s="144">
        <f>Plantilla!D10</f>
        <v>0</v>
      </c>
      <c r="C10" s="143">
        <f>Plantilla!E10</f>
        <v>22</v>
      </c>
      <c r="D10" s="146">
        <f ca="1">Plantilla!F10</f>
        <v>96</v>
      </c>
      <c r="E10" s="41">
        <f>Plantilla!X10</f>
        <v>0</v>
      </c>
      <c r="F10" s="41">
        <f>Plantilla!Y10</f>
        <v>0</v>
      </c>
      <c r="G10" s="41">
        <f>Plantilla!Z10</f>
        <v>0</v>
      </c>
      <c r="H10" s="41">
        <f>Plantilla!AA10</f>
        <v>0</v>
      </c>
      <c r="I10" s="41">
        <f>Plantilla!AB10</f>
        <v>0</v>
      </c>
      <c r="J10" s="41">
        <f>Plantilla!AC10</f>
        <v>0</v>
      </c>
      <c r="K10" s="41">
        <f>Plantilla!AD10</f>
        <v>0</v>
      </c>
      <c r="L10" s="145"/>
      <c r="M10" s="145"/>
      <c r="N10" s="145"/>
      <c r="O10" s="67"/>
      <c r="P10" s="67"/>
      <c r="Q10" s="67"/>
      <c r="R10" s="67"/>
      <c r="S10" s="67"/>
      <c r="T10" s="67"/>
      <c r="U10" s="67"/>
      <c r="W10" s="47"/>
    </row>
    <row r="11" spans="1:23" x14ac:dyDescent="0.25">
      <c r="A11" s="143" t="str">
        <f>Plantilla!A11</f>
        <v>#9</v>
      </c>
      <c r="B11" s="144" t="str">
        <f>Plantilla!D11</f>
        <v>Francesc Añigas</v>
      </c>
      <c r="C11" s="143">
        <f>Plantilla!E11</f>
        <v>22</v>
      </c>
      <c r="D11" s="146">
        <f ca="1">Plantilla!F11</f>
        <v>100</v>
      </c>
      <c r="E11" s="41">
        <f>Plantilla!X11</f>
        <v>0</v>
      </c>
      <c r="F11" s="41">
        <f>Plantilla!Y11</f>
        <v>12.4</v>
      </c>
      <c r="G11" s="41">
        <f>Plantilla!Z11</f>
        <v>4</v>
      </c>
      <c r="H11" s="41">
        <f>Plantilla!AA11</f>
        <v>12.666666666666666</v>
      </c>
      <c r="I11" s="41">
        <f>Plantilla!AB11</f>
        <v>4.5</v>
      </c>
      <c r="J11" s="41">
        <f>Plantilla!AC11</f>
        <v>7</v>
      </c>
      <c r="K11" s="41">
        <f>Plantilla!AD11</f>
        <v>3</v>
      </c>
      <c r="L11" s="145">
        <f>1/7</f>
        <v>0.14285714285714285</v>
      </c>
      <c r="M11" s="145">
        <f t="shared" si="0"/>
        <v>7.1428571428571425E-2</v>
      </c>
      <c r="N11" s="145">
        <f t="shared" si="1"/>
        <v>1.7857142857142856E-2</v>
      </c>
      <c r="O11" s="67">
        <f>L11*0.286</f>
        <v>4.0857142857142849E-2</v>
      </c>
      <c r="P11" s="67">
        <f>L11*(0.588)</f>
        <v>8.3999999999999991E-2</v>
      </c>
      <c r="Q11" s="67">
        <f>L11*(0.574)</f>
        <v>8.199999999999999E-2</v>
      </c>
      <c r="R11" s="67">
        <f>L11*(0.864)</f>
        <v>0.12342857142857142</v>
      </c>
      <c r="S11" s="67">
        <f>L11*(0.144)</f>
        <v>2.057142857142857E-2</v>
      </c>
      <c r="T11" s="67">
        <f>L11*(0.607)</f>
        <v>8.6714285714285702E-2</v>
      </c>
      <c r="U11" s="67">
        <f>MAX(O11:T11)</f>
        <v>0.12342857142857142</v>
      </c>
      <c r="W11" s="47"/>
    </row>
    <row r="12" spans="1:23" x14ac:dyDescent="0.25">
      <c r="A12" s="143" t="str">
        <f>Plantilla!A12</f>
        <v>#3</v>
      </c>
      <c r="B12" s="144" t="str">
        <f>Plantilla!D12</f>
        <v>Will Duffill</v>
      </c>
      <c r="C12" s="143">
        <f>Plantilla!E12</f>
        <v>22</v>
      </c>
      <c r="D12" s="146">
        <f ca="1">Plantilla!F12</f>
        <v>61</v>
      </c>
      <c r="E12" s="41">
        <f>Plantilla!X12</f>
        <v>0</v>
      </c>
      <c r="F12" s="41">
        <f>Plantilla!Y12</f>
        <v>11.555555555555555</v>
      </c>
      <c r="G12" s="41">
        <f>Plantilla!Z12</f>
        <v>3</v>
      </c>
      <c r="H12" s="41">
        <f>Plantilla!AA12</f>
        <v>13</v>
      </c>
      <c r="I12" s="41">
        <f>Plantilla!AB12</f>
        <v>7.25</v>
      </c>
      <c r="J12" s="41">
        <f>Plantilla!AC12</f>
        <v>7</v>
      </c>
      <c r="K12" s="41">
        <f>Plantilla!AD12</f>
        <v>3</v>
      </c>
      <c r="L12" s="145">
        <f>1/8</f>
        <v>0.125</v>
      </c>
      <c r="M12" s="145">
        <f t="shared" si="0"/>
        <v>6.25E-2</v>
      </c>
      <c r="N12" s="145">
        <f t="shared" si="1"/>
        <v>1.5625E-2</v>
      </c>
      <c r="O12" s="67">
        <f>L12*0.286</f>
        <v>3.5749999999999997E-2</v>
      </c>
      <c r="P12" s="67">
        <f t="shared" ref="P12:P15" si="3">L12*(0.588)</f>
        <v>7.3499999999999996E-2</v>
      </c>
      <c r="Q12" s="67">
        <f t="shared" ref="Q12:Q15" si="4">L12*(0.574)</f>
        <v>7.1749999999999994E-2</v>
      </c>
      <c r="R12" s="67">
        <f t="shared" ref="R12:R15" si="5">L12*(0.864)</f>
        <v>0.108</v>
      </c>
      <c r="S12" s="67">
        <f t="shared" ref="S12:S15" si="6">L12*(0.144)</f>
        <v>1.7999999999999999E-2</v>
      </c>
      <c r="T12" s="67">
        <f t="shared" ref="T12:T15" si="7">L12*(0.607)</f>
        <v>7.5874999999999998E-2</v>
      </c>
      <c r="U12" s="67">
        <f t="shared" ref="U12:U15" si="8">MAX(O12:T12)</f>
        <v>0.108</v>
      </c>
      <c r="W12" s="47"/>
    </row>
    <row r="13" spans="1:23" x14ac:dyDescent="0.25">
      <c r="A13" s="143" t="str">
        <f>Plantilla!A13</f>
        <v>#5</v>
      </c>
      <c r="B13" s="144" t="str">
        <f>Plantilla!D13</f>
        <v>Valeri Gomis</v>
      </c>
      <c r="C13" s="143">
        <f>Plantilla!E13</f>
        <v>22</v>
      </c>
      <c r="D13" s="146">
        <f ca="1">Plantilla!F13</f>
        <v>100</v>
      </c>
      <c r="E13" s="41">
        <f>Plantilla!X13</f>
        <v>0</v>
      </c>
      <c r="F13" s="41">
        <f>Plantilla!Y13</f>
        <v>11.222222222222221</v>
      </c>
      <c r="G13" s="41">
        <f>Plantilla!Z13</f>
        <v>3</v>
      </c>
      <c r="H13" s="41">
        <f>Plantilla!AA13</f>
        <v>12</v>
      </c>
      <c r="I13" s="41">
        <f>Plantilla!AB13</f>
        <v>6.2000000000000011</v>
      </c>
      <c r="J13" s="41">
        <f>Plantilla!AC13</f>
        <v>7.25</v>
      </c>
      <c r="K13" s="41">
        <f>Plantilla!AD13</f>
        <v>3</v>
      </c>
      <c r="L13" s="145">
        <f>1/7</f>
        <v>0.14285714285714285</v>
      </c>
      <c r="M13" s="145">
        <f t="shared" si="0"/>
        <v>7.1428571428571425E-2</v>
      </c>
      <c r="N13" s="145">
        <f t="shared" si="1"/>
        <v>1.7857142857142856E-2</v>
      </c>
      <c r="O13" s="67">
        <f>L13*0.286</f>
        <v>4.0857142857142849E-2</v>
      </c>
      <c r="P13" s="67">
        <f t="shared" si="3"/>
        <v>8.3999999999999991E-2</v>
      </c>
      <c r="Q13" s="67">
        <f t="shared" si="4"/>
        <v>8.199999999999999E-2</v>
      </c>
      <c r="R13" s="67">
        <f t="shared" si="5"/>
        <v>0.12342857142857142</v>
      </c>
      <c r="S13" s="67">
        <f t="shared" si="6"/>
        <v>2.057142857142857E-2</v>
      </c>
      <c r="T13" s="67">
        <f t="shared" si="7"/>
        <v>8.6714285714285702E-2</v>
      </c>
      <c r="U13" s="67">
        <f t="shared" si="8"/>
        <v>0.12342857142857142</v>
      </c>
      <c r="W13" s="47"/>
    </row>
    <row r="14" spans="1:23" x14ac:dyDescent="0.25">
      <c r="A14" s="143" t="str">
        <f>Plantilla!A14</f>
        <v>#8</v>
      </c>
      <c r="B14" s="144" t="str">
        <f>Plantilla!D14</f>
        <v>Enrique Cubas</v>
      </c>
      <c r="C14" s="143">
        <f>Plantilla!E14</f>
        <v>22</v>
      </c>
      <c r="D14" s="146">
        <f ca="1">Plantilla!F14</f>
        <v>96</v>
      </c>
      <c r="E14" s="41">
        <f>Plantilla!X14</f>
        <v>0</v>
      </c>
      <c r="F14" s="41">
        <f>Plantilla!Y14</f>
        <v>9.8571428571428577</v>
      </c>
      <c r="G14" s="41">
        <f>Plantilla!Z14</f>
        <v>5.7</v>
      </c>
      <c r="H14" s="41">
        <f>Plantilla!AA14</f>
        <v>14.124999999999996</v>
      </c>
      <c r="I14" s="41">
        <f>Plantilla!AB14</f>
        <v>6.2</v>
      </c>
      <c r="J14" s="41">
        <f>Plantilla!AC14</f>
        <v>7.5</v>
      </c>
      <c r="K14" s="41">
        <f>Plantilla!AD14</f>
        <v>5</v>
      </c>
      <c r="L14" s="145">
        <f>1/9</f>
        <v>0.1111111111111111</v>
      </c>
      <c r="M14" s="145">
        <f t="shared" si="0"/>
        <v>5.5555555555555552E-2</v>
      </c>
      <c r="N14" s="145">
        <f t="shared" si="1"/>
        <v>1.3888888888888888E-2</v>
      </c>
      <c r="O14" s="67">
        <f>L14*0.286</f>
        <v>3.1777777777777773E-2</v>
      </c>
      <c r="P14" s="67">
        <f t="shared" si="3"/>
        <v>6.5333333333333327E-2</v>
      </c>
      <c r="Q14" s="67">
        <f t="shared" si="4"/>
        <v>6.3777777777777767E-2</v>
      </c>
      <c r="R14" s="67">
        <f t="shared" si="5"/>
        <v>9.5999999999999988E-2</v>
      </c>
      <c r="S14" s="67">
        <f t="shared" si="6"/>
        <v>1.5999999999999997E-2</v>
      </c>
      <c r="T14" s="67">
        <f t="shared" si="7"/>
        <v>6.7444444444444446E-2</v>
      </c>
      <c r="U14" s="67">
        <f t="shared" si="8"/>
        <v>9.5999999999999988E-2</v>
      </c>
      <c r="W14" s="47"/>
    </row>
    <row r="15" spans="1:23" x14ac:dyDescent="0.25">
      <c r="A15" s="143" t="str">
        <f>Plantilla!A15</f>
        <v>#11</v>
      </c>
      <c r="B15" s="144" t="str">
        <f>Plantilla!D15</f>
        <v>J. G. Peñuela</v>
      </c>
      <c r="C15" s="143">
        <f>Plantilla!E15</f>
        <v>22</v>
      </c>
      <c r="D15" s="146">
        <f ca="1">Plantilla!F15</f>
        <v>96</v>
      </c>
      <c r="E15" s="41">
        <f>Plantilla!X15</f>
        <v>0</v>
      </c>
      <c r="F15" s="41">
        <f>Plantilla!Y15</f>
        <v>10.25</v>
      </c>
      <c r="G15" s="41">
        <f>Plantilla!Z15</f>
        <v>5</v>
      </c>
      <c r="H15" s="41">
        <f>Plantilla!AA15</f>
        <v>13.19</v>
      </c>
      <c r="I15" s="41">
        <f>Plantilla!AB15</f>
        <v>5.25</v>
      </c>
      <c r="J15" s="41">
        <f>Plantilla!AC15</f>
        <v>7.8016666666666676</v>
      </c>
      <c r="K15" s="41">
        <f>Plantilla!AD15</f>
        <v>3</v>
      </c>
      <c r="L15" s="145">
        <f>1/8</f>
        <v>0.125</v>
      </c>
      <c r="M15" s="145">
        <f t="shared" si="0"/>
        <v>6.25E-2</v>
      </c>
      <c r="N15" s="145">
        <f t="shared" si="1"/>
        <v>1.5625E-2</v>
      </c>
      <c r="O15" s="67">
        <f>L15*0.286</f>
        <v>3.5749999999999997E-2</v>
      </c>
      <c r="P15" s="67">
        <f t="shared" si="3"/>
        <v>7.3499999999999996E-2</v>
      </c>
      <c r="Q15" s="67">
        <f t="shared" si="4"/>
        <v>7.1749999999999994E-2</v>
      </c>
      <c r="R15" s="67">
        <f t="shared" si="5"/>
        <v>0.108</v>
      </c>
      <c r="S15" s="67">
        <f t="shared" si="6"/>
        <v>1.7999999999999999E-2</v>
      </c>
      <c r="T15" s="67">
        <f t="shared" si="7"/>
        <v>7.5874999999999998E-2</v>
      </c>
      <c r="U15" s="67">
        <f t="shared" si="8"/>
        <v>0.108</v>
      </c>
      <c r="W15" s="47"/>
    </row>
    <row r="16" spans="1:23" x14ac:dyDescent="0.25">
      <c r="A16" s="143" t="str">
        <f>Plantilla!A16</f>
        <v>#12</v>
      </c>
      <c r="B16" s="144" t="str">
        <f>Plantilla!D16</f>
        <v>David Garcia-Spiess</v>
      </c>
      <c r="C16" s="143">
        <f>Plantilla!E16</f>
        <v>30</v>
      </c>
      <c r="D16" s="146">
        <f ca="1">Plantilla!F16</f>
        <v>65</v>
      </c>
      <c r="E16" s="41">
        <f>Plantilla!X16</f>
        <v>0</v>
      </c>
      <c r="F16" s="41">
        <f>Plantilla!Y16</f>
        <v>9.1111111111111107</v>
      </c>
      <c r="G16" s="41">
        <f>Plantilla!Z16</f>
        <v>13</v>
      </c>
      <c r="H16" s="41">
        <f>Plantilla!AA16</f>
        <v>6</v>
      </c>
      <c r="I16" s="41">
        <f>Plantilla!AB16</f>
        <v>7.1428571428571432</v>
      </c>
      <c r="J16" s="41">
        <f>Plantilla!AC16</f>
        <v>7</v>
      </c>
      <c r="K16" s="41">
        <f>Plantilla!AD16</f>
        <v>17</v>
      </c>
      <c r="L16" s="145"/>
      <c r="M16" s="145"/>
      <c r="N16" s="145"/>
      <c r="O16" s="67"/>
      <c r="P16" s="67"/>
      <c r="Q16" s="67"/>
      <c r="R16" s="67"/>
      <c r="S16" s="67"/>
      <c r="T16" s="67"/>
      <c r="U16" s="67"/>
      <c r="W16" s="47"/>
    </row>
    <row r="17" spans="1:23" x14ac:dyDescent="0.25">
      <c r="A17" s="143" t="str">
        <f>Plantilla!A17</f>
        <v>#26</v>
      </c>
      <c r="B17" s="144" t="str">
        <f>Plantilla!D17</f>
        <v>Fabien Fabre</v>
      </c>
      <c r="C17" s="143">
        <f>Plantilla!E17</f>
        <v>31</v>
      </c>
      <c r="D17" s="146">
        <f ca="1">Plantilla!F17</f>
        <v>70</v>
      </c>
      <c r="E17" s="41">
        <f>Plantilla!X17</f>
        <v>0</v>
      </c>
      <c r="F17" s="41">
        <f>Plantilla!Y17</f>
        <v>6</v>
      </c>
      <c r="G17" s="41">
        <f>Plantilla!Z17</f>
        <v>11</v>
      </c>
      <c r="H17" s="41">
        <f>Plantilla!AA17</f>
        <v>2</v>
      </c>
      <c r="I17" s="41">
        <f>Plantilla!AB17</f>
        <v>4.041666666666667</v>
      </c>
      <c r="J17" s="41">
        <f>Plantilla!AC17</f>
        <v>5</v>
      </c>
      <c r="K17" s="41">
        <f>Plantilla!AD17</f>
        <v>12</v>
      </c>
      <c r="L17" s="145"/>
      <c r="M17" s="145"/>
      <c r="N17" s="145"/>
      <c r="O17" s="67"/>
      <c r="P17" s="67"/>
      <c r="Q17" s="67"/>
      <c r="R17" s="67"/>
      <c r="S17" s="67"/>
      <c r="T17" s="67"/>
      <c r="U17" s="67"/>
      <c r="W17" s="47"/>
    </row>
    <row r="18" spans="1:23" x14ac:dyDescent="0.25">
      <c r="A18" s="143" t="str">
        <f>Plantilla!A18</f>
        <v>#21</v>
      </c>
      <c r="B18" s="144" t="str">
        <f>Plantilla!D18</f>
        <v>Fernando Gazón</v>
      </c>
      <c r="C18" s="143">
        <f>Plantilla!E18</f>
        <v>23</v>
      </c>
      <c r="D18" s="146">
        <f ca="1">Plantilla!F18</f>
        <v>25</v>
      </c>
      <c r="E18" s="41">
        <f>Plantilla!X18</f>
        <v>0</v>
      </c>
      <c r="F18" s="41">
        <f>Plantilla!Y18</f>
        <v>4.3</v>
      </c>
      <c r="G18" s="41">
        <f>Plantilla!Z18</f>
        <v>6</v>
      </c>
      <c r="H18" s="41">
        <f>Plantilla!AA18</f>
        <v>6</v>
      </c>
      <c r="I18" s="41">
        <f>Plantilla!AB18</f>
        <v>4.4124999999999996</v>
      </c>
      <c r="J18" s="41">
        <f>Plantilla!AC18</f>
        <v>5.6190261437908475</v>
      </c>
      <c r="K18" s="41">
        <f>Plantilla!AD18</f>
        <v>3</v>
      </c>
      <c r="L18" s="145"/>
      <c r="M18" s="145"/>
      <c r="N18" s="145"/>
      <c r="O18" s="67"/>
      <c r="P18" s="67"/>
      <c r="Q18" s="67"/>
      <c r="R18" s="67"/>
      <c r="S18" s="67"/>
      <c r="T18" s="67"/>
      <c r="U18" s="67"/>
      <c r="W18" s="47"/>
    </row>
    <row r="19" spans="1:23" x14ac:dyDescent="0.25">
      <c r="A19" s="143" t="str">
        <f>Plantilla!A19</f>
        <v>#36</v>
      </c>
      <c r="B19" s="144" t="str">
        <f>Plantilla!D19</f>
        <v>Stanisław Zdankiewicz</v>
      </c>
      <c r="C19" s="143">
        <f>Plantilla!E19</f>
        <v>29</v>
      </c>
      <c r="D19" s="146">
        <f ca="1">Plantilla!F19</f>
        <v>59</v>
      </c>
      <c r="E19" s="41">
        <f>Plantilla!X19</f>
        <v>0</v>
      </c>
      <c r="F19" s="41">
        <f>Plantilla!Y19</f>
        <v>1</v>
      </c>
      <c r="G19" s="41">
        <f>Plantilla!Z19</f>
        <v>6</v>
      </c>
      <c r="H19" s="41">
        <f>Plantilla!AA19</f>
        <v>3</v>
      </c>
      <c r="I19" s="41">
        <f>Plantilla!AB19</f>
        <v>7</v>
      </c>
      <c r="J19" s="41">
        <f>Plantilla!AC19</f>
        <v>12</v>
      </c>
      <c r="K19" s="41">
        <f>Plantilla!AD19</f>
        <v>0</v>
      </c>
      <c r="L19" s="145"/>
      <c r="M19" s="145"/>
      <c r="N19" s="145"/>
      <c r="O19" s="67"/>
      <c r="P19" s="67"/>
      <c r="Q19" s="67"/>
      <c r="R19" s="67"/>
      <c r="S19" s="67"/>
      <c r="T19" s="67"/>
      <c r="U19" s="67"/>
      <c r="W19" s="47"/>
    </row>
    <row r="20" spans="1:23" x14ac:dyDescent="0.25">
      <c r="A20" s="143" t="str">
        <f>Plantilla!A20</f>
        <v>#38</v>
      </c>
      <c r="B20" s="144" t="str">
        <f>Plantilla!D20</f>
        <v>Emilio Rojas</v>
      </c>
      <c r="C20" s="143">
        <f>Plantilla!E20</f>
        <v>31</v>
      </c>
      <c r="D20" s="146">
        <f ca="1">Plantilla!F20</f>
        <v>100</v>
      </c>
      <c r="E20" s="41">
        <f>Plantilla!X20</f>
        <v>0</v>
      </c>
      <c r="F20" s="41">
        <f>Plantilla!Y20</f>
        <v>6</v>
      </c>
      <c r="G20" s="41">
        <f>Plantilla!Z20</f>
        <v>2</v>
      </c>
      <c r="H20" s="41">
        <f>Plantilla!AA20</f>
        <v>6</v>
      </c>
      <c r="I20" s="41">
        <f>Plantilla!AB20</f>
        <v>9.1111111111111107</v>
      </c>
      <c r="J20" s="41">
        <f>Plantilla!AC20</f>
        <v>8.9499999999999993</v>
      </c>
      <c r="K20" s="41">
        <f>Plantilla!AD20</f>
        <v>13</v>
      </c>
      <c r="L20" s="145"/>
      <c r="M20" s="145"/>
      <c r="N20" s="145"/>
      <c r="O20" s="67"/>
      <c r="P20" s="67"/>
      <c r="Q20" s="67"/>
      <c r="R20" s="67"/>
      <c r="S20" s="67"/>
      <c r="T20" s="67"/>
      <c r="U20" s="67"/>
      <c r="W20" s="47"/>
    </row>
    <row r="21" spans="1:23" x14ac:dyDescent="0.25">
      <c r="A21" s="143" t="str">
        <f>Plantilla!A21</f>
        <v>#25</v>
      </c>
      <c r="B21" s="144" t="str">
        <f>Plantilla!D21</f>
        <v>Leo Hilpinen</v>
      </c>
      <c r="C21" s="143">
        <f>Plantilla!E21</f>
        <v>30</v>
      </c>
      <c r="D21" s="146">
        <f ca="1">Plantilla!F21</f>
        <v>75</v>
      </c>
      <c r="E21" s="41">
        <f>Plantilla!X21</f>
        <v>0</v>
      </c>
      <c r="F21" s="41">
        <f>Plantilla!Y21</f>
        <v>5</v>
      </c>
      <c r="G21" s="41">
        <f>Plantilla!Z21</f>
        <v>6</v>
      </c>
      <c r="H21" s="41">
        <f>Plantilla!AA21</f>
        <v>5</v>
      </c>
      <c r="I21" s="41">
        <f>Plantilla!AB21</f>
        <v>9.1428571428571423</v>
      </c>
      <c r="J21" s="41">
        <f>Plantilla!AC21</f>
        <v>12</v>
      </c>
      <c r="K21" s="41">
        <f>Plantilla!AD21</f>
        <v>0</v>
      </c>
      <c r="L21" s="145"/>
      <c r="M21" s="145"/>
      <c r="N21" s="145"/>
      <c r="O21" s="67"/>
      <c r="P21" s="67"/>
      <c r="Q21" s="67"/>
      <c r="R21" s="67"/>
      <c r="S21" s="67"/>
      <c r="T21" s="67"/>
      <c r="U21" s="67"/>
      <c r="W21" s="47"/>
    </row>
    <row r="22" spans="1:23" x14ac:dyDescent="0.25">
      <c r="C22" s="79"/>
      <c r="D22" s="60"/>
      <c r="G22" s="47"/>
      <c r="H22" s="46"/>
      <c r="J22" s="47"/>
      <c r="K22" s="47"/>
      <c r="M22" s="80"/>
      <c r="Q22" s="47"/>
      <c r="R22" s="47"/>
      <c r="S22" s="47"/>
      <c r="T22" s="132"/>
      <c r="U22" s="47"/>
      <c r="V22" s="47"/>
      <c r="W22" s="47"/>
    </row>
    <row r="23" spans="1:23" x14ac:dyDescent="0.25">
      <c r="C23" s="79"/>
      <c r="D23" s="60"/>
      <c r="G23" s="47"/>
      <c r="H23" s="46"/>
      <c r="J23" s="47"/>
      <c r="K23" s="47"/>
      <c r="M23" s="80"/>
      <c r="Q23" s="47"/>
      <c r="R23" s="47"/>
      <c r="S23" s="47"/>
      <c r="T23" s="132"/>
      <c r="U23" s="47"/>
      <c r="V23" s="47"/>
      <c r="W23" s="47"/>
    </row>
    <row r="24" spans="1:23" x14ac:dyDescent="0.25">
      <c r="C24" s="79"/>
      <c r="D24" s="60"/>
      <c r="G24" s="47"/>
      <c r="H24" s="46"/>
      <c r="J24" s="47"/>
      <c r="K24" s="47"/>
      <c r="M24" s="80"/>
      <c r="Q24" s="47"/>
      <c r="R24" s="47"/>
      <c r="S24" s="47"/>
      <c r="T24" s="132"/>
      <c r="U24" s="47"/>
      <c r="V24" s="47"/>
      <c r="W24" s="47"/>
    </row>
    <row r="25" spans="1:23" x14ac:dyDescent="0.25">
      <c r="C25" s="79"/>
      <c r="D25" s="60"/>
      <c r="G25" s="47"/>
      <c r="H25" s="46"/>
      <c r="J25" s="47"/>
      <c r="K25" s="47"/>
      <c r="M25" s="80"/>
      <c r="Q25" s="47"/>
      <c r="R25" s="47"/>
      <c r="S25" s="47"/>
      <c r="T25" s="132"/>
      <c r="U25" s="47"/>
      <c r="V25" s="47"/>
      <c r="W25" s="47"/>
    </row>
    <row r="26" spans="1:23" x14ac:dyDescent="0.25">
      <c r="C26" s="79"/>
      <c r="D26" s="60"/>
      <c r="G26" s="47"/>
      <c r="H26" s="46"/>
      <c r="J26" s="47"/>
      <c r="K26" s="47"/>
      <c r="M26" s="80"/>
      <c r="Q26" s="47"/>
      <c r="R26" s="47"/>
      <c r="S26" s="47"/>
      <c r="T26" s="132"/>
      <c r="U26" s="47"/>
      <c r="V26" s="47"/>
      <c r="W26" s="47"/>
    </row>
    <row r="27" spans="1:23" x14ac:dyDescent="0.25">
      <c r="C27" s="79"/>
      <c r="D27" s="60"/>
      <c r="G27" s="47"/>
      <c r="H27" s="46"/>
      <c r="J27" s="47"/>
      <c r="K27" s="47"/>
      <c r="M27" s="80"/>
      <c r="Q27" s="47"/>
      <c r="R27" s="47"/>
      <c r="S27" s="47"/>
      <c r="T27" s="132"/>
      <c r="U27" s="47"/>
      <c r="V27" s="47"/>
      <c r="W27" s="47"/>
    </row>
    <row r="28" spans="1:23" x14ac:dyDescent="0.25">
      <c r="C28" s="79"/>
      <c r="D28" s="60"/>
      <c r="G28" s="47"/>
      <c r="H28" s="46"/>
      <c r="J28" s="47"/>
      <c r="K28" s="47"/>
      <c r="M28" s="80"/>
      <c r="Q28" s="47"/>
      <c r="R28" s="47"/>
      <c r="S28" s="47"/>
      <c r="T28" s="132"/>
      <c r="U28" s="47"/>
      <c r="V28" s="47"/>
      <c r="W28" s="47"/>
    </row>
    <row r="29" spans="1:23" x14ac:dyDescent="0.25">
      <c r="C29" s="79"/>
      <c r="D29" s="60"/>
      <c r="G29" s="47"/>
      <c r="H29" s="46"/>
      <c r="J29" s="47"/>
      <c r="K29" s="47"/>
      <c r="M29" s="80"/>
      <c r="Q29" s="47"/>
      <c r="R29" s="47"/>
      <c r="S29" s="47"/>
      <c r="T29" s="132"/>
      <c r="U29" s="47"/>
      <c r="V29" s="47"/>
      <c r="W29" s="47"/>
    </row>
    <row r="30" spans="1:23" x14ac:dyDescent="0.25">
      <c r="C30" s="79"/>
      <c r="D30" s="60"/>
      <c r="G30" s="47"/>
      <c r="H30" s="46"/>
      <c r="J30" s="47"/>
      <c r="K30" s="47"/>
      <c r="M30" s="80"/>
      <c r="Q30" s="47"/>
      <c r="R30" s="47"/>
      <c r="S30" s="47"/>
      <c r="T30" s="132"/>
      <c r="U30" s="47"/>
      <c r="V30" s="47"/>
      <c r="W30" s="47"/>
    </row>
    <row r="31" spans="1:23" x14ac:dyDescent="0.25">
      <c r="C31" s="79"/>
      <c r="D31" s="60"/>
      <c r="G31" s="47"/>
      <c r="H31" s="46"/>
      <c r="J31" s="47"/>
      <c r="K31" s="47"/>
      <c r="M31" s="80"/>
      <c r="Q31" s="47"/>
      <c r="R31" s="47"/>
      <c r="S31" s="47"/>
      <c r="T31" s="132"/>
      <c r="U31" s="47"/>
      <c r="V31" s="47"/>
      <c r="W31" s="47"/>
    </row>
    <row r="32" spans="1:23" x14ac:dyDescent="0.25">
      <c r="C32" s="79"/>
      <c r="D32" s="60"/>
      <c r="G32" s="47"/>
      <c r="H32" s="46"/>
      <c r="J32" s="47"/>
      <c r="K32" s="47"/>
      <c r="M32" s="80"/>
      <c r="Q32" s="47"/>
      <c r="R32" s="47"/>
      <c r="S32" s="47"/>
      <c r="T32" s="132"/>
      <c r="U32" s="47"/>
      <c r="V32" s="47"/>
      <c r="W32" s="47"/>
    </row>
    <row r="33" spans="3:23" x14ac:dyDescent="0.25">
      <c r="C33" s="79"/>
      <c r="D33" s="60"/>
      <c r="G33" s="47"/>
      <c r="H33" s="46"/>
      <c r="J33" s="47"/>
      <c r="K33" s="47"/>
      <c r="M33" s="80"/>
      <c r="Q33" s="47"/>
      <c r="R33" s="47"/>
      <c r="S33" s="47"/>
      <c r="T33" s="132"/>
      <c r="U33" s="47"/>
      <c r="V33" s="47"/>
      <c r="W33" s="47"/>
    </row>
    <row r="34" spans="3:23" x14ac:dyDescent="0.25">
      <c r="C34" s="79"/>
      <c r="D34" s="60"/>
      <c r="G34" s="47"/>
      <c r="H34" s="46"/>
      <c r="J34" s="47"/>
      <c r="K34" s="47"/>
      <c r="M34" s="80"/>
      <c r="Q34" s="47"/>
      <c r="R34" s="47"/>
      <c r="S34" s="47"/>
      <c r="T34" s="132"/>
      <c r="U34" s="47"/>
      <c r="V34" s="47"/>
      <c r="W34" s="47"/>
    </row>
    <row r="35" spans="3:23" x14ac:dyDescent="0.25">
      <c r="C35" s="79"/>
      <c r="D35" s="60"/>
      <c r="G35" s="47"/>
      <c r="H35" s="46"/>
      <c r="J35" s="47"/>
      <c r="K35" s="47"/>
      <c r="M35" s="80"/>
      <c r="Q35" s="47"/>
      <c r="R35" s="47"/>
      <c r="S35" s="47"/>
      <c r="T35" s="132"/>
      <c r="U35" s="47"/>
      <c r="V35" s="47"/>
      <c r="W35" s="47"/>
    </row>
  </sheetData>
  <conditionalFormatting sqref="U4:U21">
    <cfRule type="dataBar" priority="5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{59CFE6A9-5CCE-4730-B05F-88A2697B1533}</x14:id>
        </ext>
      </extLst>
    </cfRule>
  </conditionalFormatting>
  <conditionalFormatting sqref="E4:K21">
    <cfRule type="colorScale" priority="5544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5547">
      <colorScale>
        <cfvo type="min"/>
        <cfvo type="max"/>
        <color rgb="FFFFEF9C"/>
        <color rgb="FF63BE7B"/>
      </colorScale>
    </cfRule>
  </conditionalFormatting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{59468704-0BD1-4E74-BC36-F8B1BE6B11B2}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FE6A9-5CCE-4730-B05F-88A2697B15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9468704-0BD1-4E74-BC36-F8B1BE6B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32C3-6F05-46A0-BC22-A2ACD4DB2E11}">
  <sheetPr>
    <tabColor theme="7" tint="-0.249977111117893"/>
  </sheetPr>
  <dimension ref="A1:V10"/>
  <sheetViews>
    <sheetView workbookViewId="0">
      <selection activeCell="G36" sqref="G36"/>
    </sheetView>
  </sheetViews>
  <sheetFormatPr baseColWidth="10" defaultRowHeight="15" x14ac:dyDescent="0.25"/>
  <cols>
    <col min="1" max="1" width="25.28515625" bestFit="1" customWidth="1"/>
    <col min="2" max="2" width="5.42578125" bestFit="1" customWidth="1"/>
    <col min="3" max="3" width="4.7109375" bestFit="1" customWidth="1"/>
    <col min="4" max="4" width="4.42578125" bestFit="1" customWidth="1"/>
    <col min="5" max="5" width="13" bestFit="1" customWidth="1"/>
    <col min="6" max="6" width="7.42578125" bestFit="1" customWidth="1"/>
    <col min="7" max="7" width="12" bestFit="1" customWidth="1"/>
    <col min="8" max="8" width="3.5703125" bestFit="1" customWidth="1"/>
    <col min="9" max="10" width="5.5703125" bestFit="1" customWidth="1"/>
    <col min="11" max="13" width="4.5703125" bestFit="1" customWidth="1"/>
    <col min="14" max="14" width="5.140625" bestFit="1" customWidth="1"/>
    <col min="15" max="15" width="5.5703125" bestFit="1" customWidth="1"/>
    <col min="16" max="16" width="7.7109375" bestFit="1" customWidth="1"/>
    <col min="17" max="17" width="7.85546875" bestFit="1" customWidth="1"/>
    <col min="18" max="18" width="5.7109375" bestFit="1" customWidth="1"/>
    <col min="19" max="19" width="5.28515625" bestFit="1" customWidth="1"/>
    <col min="20" max="20" width="5.42578125" bestFit="1" customWidth="1"/>
    <col min="21" max="21" width="4.28515625" bestFit="1" customWidth="1"/>
  </cols>
  <sheetData>
    <row r="1" spans="1:22" x14ac:dyDescent="0.25">
      <c r="A1" s="28"/>
      <c r="D1" s="132"/>
      <c r="P1" t="s">
        <v>52</v>
      </c>
    </row>
    <row r="2" spans="1:22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705</v>
      </c>
      <c r="F2" s="45" t="s">
        <v>80</v>
      </c>
      <c r="G2" s="44" t="s">
        <v>50</v>
      </c>
      <c r="H2" s="37" t="s">
        <v>67</v>
      </c>
      <c r="I2" s="37" t="s">
        <v>27</v>
      </c>
      <c r="J2" s="37" t="s">
        <v>29</v>
      </c>
      <c r="K2" s="37" t="s">
        <v>68</v>
      </c>
      <c r="L2" s="37" t="s">
        <v>51</v>
      </c>
      <c r="M2" s="37" t="s">
        <v>69</v>
      </c>
      <c r="N2" s="37" t="s">
        <v>70</v>
      </c>
      <c r="O2" s="37" t="s">
        <v>46</v>
      </c>
      <c r="P2" s="39" t="s">
        <v>73</v>
      </c>
      <c r="Q2" s="39" t="s">
        <v>74</v>
      </c>
      <c r="R2" s="37" t="s">
        <v>712</v>
      </c>
      <c r="S2" s="37" t="s">
        <v>713</v>
      </c>
      <c r="T2" s="37" t="s">
        <v>714</v>
      </c>
      <c r="U2" s="37" t="s">
        <v>715</v>
      </c>
      <c r="V2" s="37" t="s">
        <v>95</v>
      </c>
    </row>
    <row r="3" spans="1:22" x14ac:dyDescent="0.25">
      <c r="A3" t="str">
        <f>Plantilla!D4</f>
        <v>Cosme Fonteboa</v>
      </c>
      <c r="B3">
        <v>22</v>
      </c>
      <c r="C3" s="30">
        <v>89</v>
      </c>
      <c r="D3" s="132"/>
      <c r="E3" s="50">
        <v>9700000</v>
      </c>
      <c r="F3" s="138">
        <f ca="1">Plantilla!N4</f>
        <v>0.89189741911905607</v>
      </c>
      <c r="G3" s="448">
        <f>Plantilla!V4</f>
        <v>27520</v>
      </c>
      <c r="H3" s="34">
        <f>Plantilla!I4</f>
        <v>5</v>
      </c>
      <c r="I3" s="41">
        <f>Plantilla!X4</f>
        <v>15</v>
      </c>
      <c r="J3" s="41">
        <f>Plantilla!Y4</f>
        <v>11.111111111111111</v>
      </c>
      <c r="K3" s="41">
        <f>Plantilla!Z4</f>
        <v>0</v>
      </c>
      <c r="L3" s="41">
        <f>Plantilla!AA4</f>
        <v>0</v>
      </c>
      <c r="M3" s="41">
        <f>Plantilla!AB4</f>
        <v>0</v>
      </c>
      <c r="N3" s="41">
        <f>Plantilla!AC4</f>
        <v>1</v>
      </c>
      <c r="O3" s="41">
        <f>Plantilla!AD4</f>
        <v>1</v>
      </c>
      <c r="P3" s="32">
        <f t="shared" ref="P3:P10" ca="1" si="0">((I3+F3+(LOG(H3)*4/3))*0.597)+((J3+F3+(LOG(H3)*4/3))*0.276)</f>
        <v>13.613894198604729</v>
      </c>
      <c r="Q3" s="32">
        <f t="shared" ref="Q3:Q10" ca="1" si="1">((I3+F3+(LOG(H3)*4/3))*0.866)+((J3+F3+(LOG(H3)*4/3))*0.425)</f>
        <v>20.066822157768655</v>
      </c>
      <c r="R3">
        <v>51.5</v>
      </c>
      <c r="S3">
        <v>45</v>
      </c>
      <c r="T3">
        <v>0</v>
      </c>
      <c r="U3">
        <v>-1</v>
      </c>
      <c r="V3" s="132">
        <f>U3+T3+S3+R3</f>
        <v>95.5</v>
      </c>
    </row>
    <row r="4" spans="1:22" x14ac:dyDescent="0.25">
      <c r="A4" t="str">
        <f>Plantilla!D5</f>
        <v>Nicolae Hornet</v>
      </c>
      <c r="B4">
        <v>23</v>
      </c>
      <c r="C4" s="30">
        <v>2</v>
      </c>
      <c r="D4" s="132"/>
      <c r="E4" s="50"/>
      <c r="F4" s="138">
        <f ca="1">Plantilla!N5</f>
        <v>1</v>
      </c>
      <c r="G4" s="448">
        <f>Plantilla!V5</f>
        <v>1170</v>
      </c>
      <c r="H4" s="34">
        <f>Plantilla!I5</f>
        <v>1.4</v>
      </c>
      <c r="I4" s="41">
        <f>Plantilla!X5</f>
        <v>6</v>
      </c>
      <c r="J4" s="41">
        <f>Plantilla!Y5</f>
        <v>4.75</v>
      </c>
      <c r="K4" s="41">
        <f>Plantilla!Z5</f>
        <v>0</v>
      </c>
      <c r="L4" s="41">
        <f>Plantilla!AA5</f>
        <v>3</v>
      </c>
      <c r="M4" s="41">
        <f>Plantilla!AB5</f>
        <v>0</v>
      </c>
      <c r="N4" s="41">
        <f>Plantilla!AC5</f>
        <v>1</v>
      </c>
      <c r="O4" s="41">
        <f>Plantilla!AD5</f>
        <v>1</v>
      </c>
      <c r="P4" s="32">
        <f t="shared" ca="1" si="0"/>
        <v>5.9360930335294695</v>
      </c>
      <c r="Q4" s="32">
        <f t="shared" ca="1" si="1"/>
        <v>8.757285058747474</v>
      </c>
      <c r="R4">
        <v>7.5</v>
      </c>
      <c r="S4">
        <v>9</v>
      </c>
      <c r="T4">
        <v>0</v>
      </c>
      <c r="U4">
        <v>-1</v>
      </c>
      <c r="V4" s="132">
        <f t="shared" ref="V4:V10" si="2">U4+T4+S4+R4</f>
        <v>15.5</v>
      </c>
    </row>
    <row r="5" spans="1:22" x14ac:dyDescent="0.25">
      <c r="A5" t="s">
        <v>716</v>
      </c>
      <c r="B5">
        <v>23</v>
      </c>
      <c r="C5">
        <v>96</v>
      </c>
      <c r="E5" s="50">
        <v>8000000</v>
      </c>
      <c r="F5" s="138">
        <f ca="1">$F$3</f>
        <v>0.89189741911905607</v>
      </c>
      <c r="G5" s="448">
        <f>(31720+655)*1.032</f>
        <v>33411</v>
      </c>
      <c r="H5" s="34">
        <v>3.5</v>
      </c>
      <c r="I5" s="41">
        <v>16</v>
      </c>
      <c r="J5" s="41">
        <v>9</v>
      </c>
      <c r="K5" s="41">
        <v>0</v>
      </c>
      <c r="L5" s="41">
        <v>0</v>
      </c>
      <c r="M5" s="41">
        <v>0</v>
      </c>
      <c r="N5" s="41">
        <v>0</v>
      </c>
      <c r="O5" s="41">
        <v>11</v>
      </c>
      <c r="P5" s="32">
        <f t="shared" ca="1" si="0"/>
        <v>13.447921650514656</v>
      </c>
      <c r="Q5" s="32">
        <f t="shared" ca="1" si="1"/>
        <v>19.768962028424305</v>
      </c>
      <c r="R5">
        <v>61.5</v>
      </c>
      <c r="S5">
        <v>30</v>
      </c>
      <c r="T5">
        <v>0</v>
      </c>
      <c r="U5">
        <v>10</v>
      </c>
      <c r="V5" s="132">
        <f t="shared" si="2"/>
        <v>101.5</v>
      </c>
    </row>
    <row r="6" spans="1:22" x14ac:dyDescent="0.25">
      <c r="A6" t="s">
        <v>717</v>
      </c>
      <c r="B6">
        <v>23</v>
      </c>
      <c r="C6">
        <v>53</v>
      </c>
      <c r="E6" s="50">
        <v>9282257</v>
      </c>
      <c r="F6" s="138">
        <f t="shared" ref="F6:F10" ca="1" si="3">$F$3</f>
        <v>0.89189741911905607</v>
      </c>
      <c r="G6" s="448"/>
      <c r="H6" s="34">
        <v>4.7</v>
      </c>
      <c r="I6" s="41">
        <v>16</v>
      </c>
      <c r="J6" s="41">
        <v>4</v>
      </c>
      <c r="K6" s="41">
        <v>0</v>
      </c>
      <c r="L6" s="41">
        <v>0</v>
      </c>
      <c r="M6" s="41">
        <v>0</v>
      </c>
      <c r="N6" s="41">
        <v>0</v>
      </c>
      <c r="O6" s="41">
        <v>13</v>
      </c>
      <c r="P6" s="32">
        <f t="shared" ca="1" si="0"/>
        <v>12.21694835352811</v>
      </c>
      <c r="Q6" s="32">
        <f t="shared" ca="1" si="1"/>
        <v>17.864344014209383</v>
      </c>
      <c r="R6">
        <v>61.5</v>
      </c>
      <c r="S6">
        <v>6</v>
      </c>
      <c r="T6">
        <v>0</v>
      </c>
      <c r="U6">
        <v>14</v>
      </c>
      <c r="V6" s="132">
        <f t="shared" si="2"/>
        <v>81.5</v>
      </c>
    </row>
    <row r="7" spans="1:22" x14ac:dyDescent="0.25">
      <c r="A7" t="s">
        <v>718</v>
      </c>
      <c r="B7">
        <v>23</v>
      </c>
      <c r="C7">
        <v>18</v>
      </c>
      <c r="D7" t="s">
        <v>192</v>
      </c>
      <c r="E7" s="50">
        <v>9000000</v>
      </c>
      <c r="F7" s="138">
        <f t="shared" ca="1" si="3"/>
        <v>0.89189741911905607</v>
      </c>
      <c r="G7" s="448">
        <f>(18290+2045+125+145)*1.012</f>
        <v>20852.260000000002</v>
      </c>
      <c r="H7" s="34">
        <v>5.0999999999999996</v>
      </c>
      <c r="I7" s="41">
        <v>14</v>
      </c>
      <c r="J7" s="41">
        <v>11</v>
      </c>
      <c r="K7" s="41">
        <v>0</v>
      </c>
      <c r="L7" s="41">
        <v>5</v>
      </c>
      <c r="M7" s="41">
        <v>6</v>
      </c>
      <c r="N7" s="41">
        <v>0</v>
      </c>
      <c r="O7" s="41">
        <v>4</v>
      </c>
      <c r="P7" s="32">
        <f t="shared" ca="1" si="0"/>
        <v>12.996238131868935</v>
      </c>
      <c r="Q7" s="32">
        <f t="shared" ca="1" si="1"/>
        <v>19.168403697872616</v>
      </c>
      <c r="R7">
        <v>43.5</v>
      </c>
      <c r="S7">
        <v>46</v>
      </c>
      <c r="T7">
        <v>10</v>
      </c>
      <c r="U7">
        <v>2</v>
      </c>
      <c r="V7" s="132">
        <f t="shared" si="2"/>
        <v>101.5</v>
      </c>
    </row>
    <row r="8" spans="1:22" x14ac:dyDescent="0.25">
      <c r="A8" t="s">
        <v>719</v>
      </c>
      <c r="B8">
        <v>23</v>
      </c>
      <c r="C8">
        <v>14</v>
      </c>
      <c r="E8" s="50">
        <v>10250000</v>
      </c>
      <c r="F8" s="138">
        <f t="shared" ca="1" si="3"/>
        <v>0.89189741911905607</v>
      </c>
      <c r="G8" s="448"/>
      <c r="H8" s="34">
        <v>4.3</v>
      </c>
      <c r="I8" s="41">
        <v>19</v>
      </c>
      <c r="J8" s="41">
        <v>5</v>
      </c>
      <c r="K8" s="41">
        <v>0</v>
      </c>
      <c r="L8" s="41">
        <v>0</v>
      </c>
      <c r="M8" s="41">
        <v>0</v>
      </c>
      <c r="N8" s="41">
        <v>0</v>
      </c>
      <c r="O8" s="41">
        <v>2</v>
      </c>
      <c r="P8" s="32">
        <f t="shared" ca="1" si="0"/>
        <v>14.238983729185573</v>
      </c>
      <c r="Q8" s="32">
        <f t="shared" ca="1" si="1"/>
        <v>20.820849936287029</v>
      </c>
      <c r="R8">
        <v>106</v>
      </c>
      <c r="S8">
        <v>10</v>
      </c>
      <c r="T8">
        <v>0</v>
      </c>
      <c r="U8">
        <v>0</v>
      </c>
      <c r="V8" s="132">
        <f t="shared" si="2"/>
        <v>116</v>
      </c>
    </row>
    <row r="9" spans="1:22" x14ac:dyDescent="0.25">
      <c r="B9">
        <v>20</v>
      </c>
      <c r="C9">
        <v>25</v>
      </c>
      <c r="E9" s="50"/>
      <c r="F9" s="138">
        <f t="shared" ca="1" si="3"/>
        <v>0.89189741911905607</v>
      </c>
      <c r="G9" s="448"/>
      <c r="H9" s="34">
        <v>1.3</v>
      </c>
      <c r="I9" s="41">
        <v>7</v>
      </c>
      <c r="J9" s="41">
        <v>4</v>
      </c>
      <c r="K9" s="41">
        <v>0</v>
      </c>
      <c r="L9" s="41">
        <v>0</v>
      </c>
      <c r="M9" s="41">
        <v>0</v>
      </c>
      <c r="N9" s="41">
        <v>0</v>
      </c>
      <c r="O9" s="41">
        <v>12</v>
      </c>
      <c r="P9" s="32">
        <f t="shared" ca="1" si="0"/>
        <v>6.1942565089760935</v>
      </c>
      <c r="Q9" s="32">
        <f t="shared" ca="1" si="1"/>
        <v>9.1095740585202023</v>
      </c>
      <c r="R9">
        <v>7.5</v>
      </c>
      <c r="S9">
        <v>9</v>
      </c>
      <c r="T9">
        <v>0</v>
      </c>
      <c r="U9">
        <v>-1</v>
      </c>
      <c r="V9" s="132">
        <f t="shared" si="2"/>
        <v>15.5</v>
      </c>
    </row>
    <row r="10" spans="1:22" x14ac:dyDescent="0.25">
      <c r="B10">
        <v>21</v>
      </c>
      <c r="C10">
        <v>82</v>
      </c>
      <c r="E10" s="50"/>
      <c r="F10" s="138">
        <f t="shared" ca="1" si="3"/>
        <v>0.89189741911905607</v>
      </c>
      <c r="G10" s="448"/>
      <c r="H10" s="34">
        <v>2.6</v>
      </c>
      <c r="I10" s="41">
        <v>8</v>
      </c>
      <c r="J10" s="41">
        <v>6</v>
      </c>
      <c r="K10" s="41">
        <v>2</v>
      </c>
      <c r="L10" s="41">
        <v>3</v>
      </c>
      <c r="M10" s="41">
        <v>5</v>
      </c>
      <c r="N10" s="41">
        <v>2</v>
      </c>
      <c r="O10" s="41">
        <v>12</v>
      </c>
      <c r="P10" s="32">
        <f t="shared" ca="1" si="0"/>
        <v>7.6936554239289681</v>
      </c>
      <c r="Q10" s="32">
        <f t="shared" ca="1" si="1"/>
        <v>11.343747024389803</v>
      </c>
      <c r="R10">
        <v>7.5</v>
      </c>
      <c r="S10">
        <v>9</v>
      </c>
      <c r="T10">
        <v>0</v>
      </c>
      <c r="U10">
        <v>-1</v>
      </c>
      <c r="V10" s="132">
        <f t="shared" si="2"/>
        <v>15.5</v>
      </c>
    </row>
  </sheetData>
  <conditionalFormatting sqref="P3:Q10">
    <cfRule type="cellIs" dxfId="3" priority="2" operator="greaterThan">
      <formula>12.5</formula>
    </cfRule>
  </conditionalFormatting>
  <conditionalFormatting sqref="H3:H10">
    <cfRule type="cellIs" dxfId="2" priority="1" operator="greaterThan">
      <formula>7</formula>
    </cfRule>
  </conditionalFormatting>
  <conditionalFormatting sqref="I3:O10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C8AE-E025-4C74-BDC6-6FC34287C79F}">
  <sheetPr>
    <tabColor theme="7" tint="-0.249977111117893"/>
  </sheetPr>
  <dimension ref="A1:U13"/>
  <sheetViews>
    <sheetView workbookViewId="0">
      <selection activeCell="T10" sqref="A1:T10"/>
    </sheetView>
  </sheetViews>
  <sheetFormatPr baseColWidth="10" defaultRowHeight="15" x14ac:dyDescent="0.25"/>
  <cols>
    <col min="1" max="1" width="18" bestFit="1" customWidth="1"/>
    <col min="2" max="2" width="5.42578125" bestFit="1" customWidth="1"/>
    <col min="3" max="3" width="4.7109375" bestFit="1" customWidth="1"/>
    <col min="4" max="4" width="4.140625" bestFit="1" customWidth="1"/>
    <col min="5" max="5" width="12" bestFit="1" customWidth="1"/>
    <col min="6" max="6" width="4.5703125" bestFit="1" customWidth="1"/>
    <col min="7" max="7" width="5.5703125" bestFit="1" customWidth="1"/>
    <col min="8" max="8" width="5.7109375" bestFit="1" customWidth="1"/>
    <col min="9" max="9" width="7.140625" bestFit="1" customWidth="1"/>
    <col min="10" max="10" width="7.42578125" bestFit="1" customWidth="1"/>
    <col min="11" max="11" width="3.5703125" bestFit="1" customWidth="1"/>
    <col min="12" max="14" width="5.5703125" bestFit="1" customWidth="1"/>
    <col min="15" max="15" width="4.5703125" bestFit="1" customWidth="1"/>
    <col min="16" max="16" width="5.5703125" bestFit="1" customWidth="1"/>
    <col min="17" max="17" width="5.140625" bestFit="1" customWidth="1"/>
    <col min="18" max="18" width="5.5703125" bestFit="1" customWidth="1"/>
    <col min="19" max="19" width="7.7109375" bestFit="1" customWidth="1"/>
    <col min="20" max="20" width="7.85546875" bestFit="1" customWidth="1"/>
  </cols>
  <sheetData>
    <row r="1" spans="1:21" x14ac:dyDescent="0.25">
      <c r="A1" s="28"/>
      <c r="D1" s="132"/>
      <c r="S1" t="s">
        <v>52</v>
      </c>
    </row>
    <row r="2" spans="1:21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705</v>
      </c>
      <c r="F2" s="44" t="s">
        <v>66</v>
      </c>
      <c r="G2" s="44" t="s">
        <v>78</v>
      </c>
      <c r="H2" s="44" t="s">
        <v>79</v>
      </c>
      <c r="I2" s="44" t="s">
        <v>50</v>
      </c>
      <c r="J2" s="45" t="s">
        <v>80</v>
      </c>
      <c r="K2" s="37" t="s">
        <v>67</v>
      </c>
      <c r="L2" s="37" t="s">
        <v>27</v>
      </c>
      <c r="M2" s="37" t="s">
        <v>29</v>
      </c>
      <c r="N2" s="37" t="s">
        <v>68</v>
      </c>
      <c r="O2" s="37" t="s">
        <v>51</v>
      </c>
      <c r="P2" s="37" t="s">
        <v>69</v>
      </c>
      <c r="Q2" s="37" t="s">
        <v>70</v>
      </c>
      <c r="R2" s="37" t="s">
        <v>46</v>
      </c>
      <c r="S2" s="39" t="s">
        <v>73</v>
      </c>
      <c r="T2" s="39" t="s">
        <v>74</v>
      </c>
    </row>
    <row r="3" spans="1:21" x14ac:dyDescent="0.25">
      <c r="A3" t="str">
        <f>Plantilla!D4</f>
        <v>Cosme Fonteboa</v>
      </c>
      <c r="B3">
        <v>22</v>
      </c>
      <c r="C3" s="30">
        <v>89</v>
      </c>
      <c r="D3" s="132"/>
      <c r="E3" s="50"/>
      <c r="F3" s="42">
        <f>Plantilla!Q4</f>
        <v>6</v>
      </c>
      <c r="G3" s="43">
        <f t="shared" ref="G3:G4" si="0">(F3/7)^0.5</f>
        <v>0.92582009977255142</v>
      </c>
      <c r="H3" s="43">
        <f t="shared" ref="H3:H4" si="1">IF(F3=7,1,((F3+0.99)/7)^0.5)</f>
        <v>0.99928545900129484</v>
      </c>
      <c r="I3" s="43"/>
      <c r="J3" s="138">
        <f ca="1">Plantilla!N4</f>
        <v>0.89189741911905607</v>
      </c>
      <c r="K3" s="34">
        <f>Plantilla!I4</f>
        <v>5</v>
      </c>
      <c r="L3" s="41">
        <f>Plantilla!X4</f>
        <v>15</v>
      </c>
      <c r="M3" s="41">
        <f>Plantilla!Y4</f>
        <v>11.111111111111111</v>
      </c>
      <c r="N3" s="41">
        <f>Plantilla!Z4</f>
        <v>0</v>
      </c>
      <c r="O3" s="41">
        <f>Plantilla!AA4</f>
        <v>0</v>
      </c>
      <c r="P3" s="41">
        <f>Plantilla!AB4</f>
        <v>0</v>
      </c>
      <c r="Q3" s="41">
        <f>Plantilla!AC4</f>
        <v>1</v>
      </c>
      <c r="R3" s="41">
        <f>Plantilla!AD4</f>
        <v>1</v>
      </c>
      <c r="S3" s="32">
        <f t="shared" ref="S3:S10" ca="1" si="2">((L3+J3+(LOG(K3)*4/3))*0.597)+((M3+J3+(LOG(K3)*4/3))*0.276)</f>
        <v>13.613894198604729</v>
      </c>
      <c r="T3" s="32">
        <f t="shared" ref="T3:T10" ca="1" si="3">((L3+J3+(LOG(K3)*4/3))*0.866)+((M3+J3+(LOG(K3)*4/3))*0.425)</f>
        <v>20.066822157768655</v>
      </c>
    </row>
    <row r="4" spans="1:21" x14ac:dyDescent="0.25">
      <c r="A4" t="str">
        <f>Plantilla!D5</f>
        <v>Nicolae Hornet</v>
      </c>
      <c r="B4">
        <v>23</v>
      </c>
      <c r="C4" s="30">
        <v>2</v>
      </c>
      <c r="D4" s="132"/>
      <c r="E4" s="50"/>
      <c r="F4" s="42">
        <f>Plantilla!Q5</f>
        <v>6</v>
      </c>
      <c r="G4" s="43">
        <f t="shared" si="0"/>
        <v>0.92582009977255142</v>
      </c>
      <c r="H4" s="43">
        <f t="shared" si="1"/>
        <v>0.99928545900129484</v>
      </c>
      <c r="I4" s="43"/>
      <c r="J4" s="138">
        <f ca="1">Plantilla!N5</f>
        <v>1</v>
      </c>
      <c r="K4" s="34">
        <f>Plantilla!I5</f>
        <v>1.4</v>
      </c>
      <c r="L4" s="41">
        <f>Plantilla!X5</f>
        <v>6</v>
      </c>
      <c r="M4" s="41">
        <f>Plantilla!Y5</f>
        <v>4.75</v>
      </c>
      <c r="N4" s="41">
        <f>Plantilla!Z5</f>
        <v>0</v>
      </c>
      <c r="O4" s="41">
        <f>Plantilla!AA5</f>
        <v>3</v>
      </c>
      <c r="P4" s="41">
        <f>Plantilla!AB5</f>
        <v>0</v>
      </c>
      <c r="Q4" s="41">
        <f>Plantilla!AC5</f>
        <v>1</v>
      </c>
      <c r="R4" s="41">
        <f>Plantilla!AD5</f>
        <v>1</v>
      </c>
      <c r="S4" s="32">
        <f t="shared" ca="1" si="2"/>
        <v>5.9360930335294695</v>
      </c>
      <c r="T4" s="32">
        <f t="shared" ca="1" si="3"/>
        <v>8.757285058747474</v>
      </c>
    </row>
    <row r="5" spans="1:21" x14ac:dyDescent="0.25">
      <c r="A5" t="s">
        <v>704</v>
      </c>
      <c r="B5">
        <v>19</v>
      </c>
      <c r="C5">
        <v>34</v>
      </c>
      <c r="E5" s="50">
        <v>1100000</v>
      </c>
      <c r="I5">
        <v>2150</v>
      </c>
      <c r="J5" s="138">
        <v>1</v>
      </c>
      <c r="K5" s="34">
        <v>1.3</v>
      </c>
      <c r="L5" s="41">
        <v>8</v>
      </c>
      <c r="M5" s="41">
        <v>2</v>
      </c>
      <c r="N5" s="41">
        <v>0</v>
      </c>
      <c r="O5" s="41">
        <v>0</v>
      </c>
      <c r="P5" s="41">
        <v>0</v>
      </c>
      <c r="Q5" s="41">
        <v>0</v>
      </c>
      <c r="R5" s="41">
        <v>14</v>
      </c>
      <c r="S5" s="32">
        <f t="shared" si="2"/>
        <v>6.3336300620851578</v>
      </c>
      <c r="T5" s="32">
        <f t="shared" si="3"/>
        <v>9.2651344904375019</v>
      </c>
    </row>
    <row r="6" spans="1:21" x14ac:dyDescent="0.25">
      <c r="A6" t="s">
        <v>706</v>
      </c>
      <c r="B6">
        <v>19</v>
      </c>
      <c r="C6">
        <v>33</v>
      </c>
      <c r="E6" s="50">
        <v>1050000</v>
      </c>
      <c r="I6">
        <v>2390</v>
      </c>
      <c r="J6" s="138">
        <v>1</v>
      </c>
      <c r="K6" s="34">
        <v>1.2</v>
      </c>
      <c r="L6" s="41">
        <v>8</v>
      </c>
      <c r="M6" s="41">
        <v>1</v>
      </c>
      <c r="N6" s="41">
        <v>0</v>
      </c>
      <c r="O6" s="41">
        <v>0</v>
      </c>
      <c r="P6" s="41">
        <v>0</v>
      </c>
      <c r="Q6" s="41">
        <v>0</v>
      </c>
      <c r="R6" s="41">
        <v>12</v>
      </c>
      <c r="S6" s="32">
        <f t="shared" si="2"/>
        <v>6.017166970399435</v>
      </c>
      <c r="T6" s="32">
        <f t="shared" si="3"/>
        <v>8.7802973181966433</v>
      </c>
    </row>
    <row r="7" spans="1:21" x14ac:dyDescent="0.25">
      <c r="A7" t="s">
        <v>707</v>
      </c>
      <c r="B7">
        <v>19</v>
      </c>
      <c r="C7">
        <v>78</v>
      </c>
      <c r="E7" s="50">
        <v>1849000</v>
      </c>
      <c r="I7">
        <v>3670</v>
      </c>
      <c r="J7" s="138">
        <v>1</v>
      </c>
      <c r="K7" s="34">
        <v>1</v>
      </c>
      <c r="L7" s="41">
        <v>9.35</v>
      </c>
      <c r="M7" s="41">
        <v>3</v>
      </c>
      <c r="N7" s="41">
        <v>0</v>
      </c>
      <c r="O7" s="41">
        <v>0</v>
      </c>
      <c r="P7" s="41">
        <v>0</v>
      </c>
      <c r="Q7" s="41">
        <v>0</v>
      </c>
      <c r="R7" s="41">
        <v>13</v>
      </c>
      <c r="S7" s="32">
        <f t="shared" si="2"/>
        <v>7.2829499999999996</v>
      </c>
      <c r="T7" s="32">
        <f t="shared" si="3"/>
        <v>10.663099999999998</v>
      </c>
    </row>
    <row r="8" spans="1:21" x14ac:dyDescent="0.25">
      <c r="A8" t="s">
        <v>708</v>
      </c>
      <c r="B8">
        <v>20</v>
      </c>
      <c r="C8">
        <v>52</v>
      </c>
      <c r="E8" s="50">
        <v>1198000</v>
      </c>
      <c r="I8">
        <v>2330</v>
      </c>
      <c r="J8" s="138">
        <v>1</v>
      </c>
      <c r="K8" s="34">
        <v>1.2</v>
      </c>
      <c r="L8" s="41">
        <v>8</v>
      </c>
      <c r="M8" s="41">
        <v>2</v>
      </c>
      <c r="N8" s="41">
        <v>0</v>
      </c>
      <c r="O8" s="41">
        <v>0</v>
      </c>
      <c r="P8" s="41">
        <v>0</v>
      </c>
      <c r="Q8" s="41">
        <v>0</v>
      </c>
      <c r="R8" s="41">
        <v>14</v>
      </c>
      <c r="S8" s="32">
        <f t="shared" si="2"/>
        <v>6.2931669703994348</v>
      </c>
      <c r="T8" s="32">
        <f t="shared" si="3"/>
        <v>9.205297318196644</v>
      </c>
    </row>
    <row r="9" spans="1:21" x14ac:dyDescent="0.25">
      <c r="A9" t="s">
        <v>709</v>
      </c>
      <c r="B9">
        <v>20</v>
      </c>
      <c r="C9">
        <v>25</v>
      </c>
      <c r="E9" s="50">
        <v>750000</v>
      </c>
      <c r="I9">
        <v>1730</v>
      </c>
      <c r="J9" s="138">
        <v>1</v>
      </c>
      <c r="K9" s="34">
        <v>1.3</v>
      </c>
      <c r="L9" s="41">
        <v>7</v>
      </c>
      <c r="M9" s="41">
        <v>4</v>
      </c>
      <c r="N9" s="41">
        <v>0</v>
      </c>
      <c r="O9" s="41">
        <v>0</v>
      </c>
      <c r="P9" s="41">
        <v>0</v>
      </c>
      <c r="Q9" s="41">
        <v>0</v>
      </c>
      <c r="R9" s="41">
        <v>12</v>
      </c>
      <c r="S9" s="32">
        <f t="shared" si="2"/>
        <v>6.288630062085157</v>
      </c>
      <c r="T9" s="32">
        <f t="shared" si="3"/>
        <v>9.2491344904375019</v>
      </c>
    </row>
    <row r="10" spans="1:21" x14ac:dyDescent="0.25">
      <c r="A10" t="s">
        <v>710</v>
      </c>
      <c r="B10">
        <v>21</v>
      </c>
      <c r="C10">
        <v>82</v>
      </c>
      <c r="D10" t="s">
        <v>711</v>
      </c>
      <c r="E10" s="50">
        <v>900000</v>
      </c>
      <c r="I10">
        <v>650</v>
      </c>
      <c r="J10" s="138">
        <v>1</v>
      </c>
      <c r="K10" s="34">
        <v>2.6</v>
      </c>
      <c r="L10" s="41">
        <v>8</v>
      </c>
      <c r="M10" s="41">
        <v>6</v>
      </c>
      <c r="N10" s="41">
        <v>2</v>
      </c>
      <c r="O10" s="41">
        <v>3</v>
      </c>
      <c r="P10" s="41">
        <v>5</v>
      </c>
      <c r="Q10" s="41">
        <v>2</v>
      </c>
      <c r="R10" s="41">
        <v>12</v>
      </c>
      <c r="S10" s="32">
        <f t="shared" si="2"/>
        <v>7.7880289770380315</v>
      </c>
      <c r="T10" s="32">
        <f t="shared" si="3"/>
        <v>11.483307456307099</v>
      </c>
      <c r="U10">
        <f>(1610+165+135)*1.033*1.2</f>
        <v>2367.6359999999995</v>
      </c>
    </row>
    <row r="11" spans="1:21" x14ac:dyDescent="0.25">
      <c r="E11" s="50"/>
      <c r="J11" s="138"/>
      <c r="K11" s="34"/>
      <c r="L11" s="41"/>
      <c r="M11" s="41"/>
      <c r="N11" s="41"/>
      <c r="O11" s="41"/>
      <c r="P11" s="41"/>
      <c r="Q11" s="41"/>
      <c r="R11" s="41"/>
      <c r="S11" s="32"/>
      <c r="T11" s="32"/>
    </row>
    <row r="12" spans="1:21" x14ac:dyDescent="0.25">
      <c r="E12" s="50"/>
      <c r="J12" s="138"/>
      <c r="K12" s="34"/>
      <c r="L12" s="41"/>
      <c r="M12" s="41"/>
      <c r="N12" s="41"/>
      <c r="O12" s="41"/>
      <c r="P12" s="41"/>
      <c r="Q12" s="41"/>
      <c r="R12" s="41"/>
      <c r="S12" s="32"/>
      <c r="T12" s="32"/>
    </row>
    <row r="13" spans="1:21" x14ac:dyDescent="0.25">
      <c r="E13" s="50"/>
      <c r="J13" s="138"/>
      <c r="K13" s="34"/>
      <c r="L13" s="41"/>
      <c r="M13" s="41"/>
      <c r="N13" s="41"/>
      <c r="O13" s="41"/>
      <c r="P13" s="41"/>
      <c r="Q13" s="41"/>
      <c r="R13" s="41"/>
      <c r="S13" s="32"/>
      <c r="T13" s="32"/>
    </row>
  </sheetData>
  <conditionalFormatting sqref="S3:T13">
    <cfRule type="cellIs" dxfId="1" priority="2" operator="greaterThan">
      <formula>12.5</formula>
    </cfRule>
  </conditionalFormatting>
  <conditionalFormatting sqref="K3:K13">
    <cfRule type="cellIs" dxfId="0" priority="1" operator="greaterThan">
      <formula>7</formula>
    </cfRule>
  </conditionalFormatting>
  <conditionalFormatting sqref="L3:R13">
    <cfRule type="colorScale" priority="558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tabColor rgb="FF92D050"/>
  </sheetPr>
  <dimension ref="A1:AT28"/>
  <sheetViews>
    <sheetView tabSelected="1"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7" sqref="F7"/>
    </sheetView>
  </sheetViews>
  <sheetFormatPr baseColWidth="10" defaultColWidth="9.140625" defaultRowHeight="15" x14ac:dyDescent="0.25"/>
  <cols>
    <col min="1" max="1" width="4.7109375" bestFit="1" customWidth="1"/>
    <col min="2" max="2" width="8" bestFit="1" customWidth="1"/>
    <col min="3" max="3" width="6.140625" bestFit="1" customWidth="1"/>
    <col min="4" max="4" width="20.85546875" bestFit="1" customWidth="1"/>
    <col min="5" max="5" width="5.5703125" bestFit="1" customWidth="1"/>
    <col min="6" max="6" width="5" bestFit="1" customWidth="1"/>
    <col min="7" max="7" width="4.5703125" bestFit="1" customWidth="1"/>
    <col min="8" max="8" width="3.7109375" bestFit="1" customWidth="1"/>
    <col min="9" max="9" width="4.42578125" bestFit="1" customWidth="1"/>
    <col min="10" max="10" width="5.28515625" bestFit="1" customWidth="1"/>
    <col min="11" max="12" width="4.7109375" bestFit="1" customWidth="1"/>
    <col min="13" max="13" width="10.42578125" bestFit="1" customWidth="1"/>
    <col min="14" max="14" width="4.5703125" bestFit="1" customWidth="1"/>
    <col min="15" max="15" width="4.28515625" bestFit="1" customWidth="1"/>
    <col min="16" max="16" width="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1" width="9.42578125" bestFit="1" customWidth="1"/>
    <col min="22" max="22" width="10.42578125" bestFit="1" customWidth="1"/>
    <col min="23" max="23" width="7.5703125" bestFit="1" customWidth="1"/>
    <col min="24" max="30" width="5.5703125" bestFit="1" customWidth="1"/>
    <col min="31" max="31" width="7" bestFit="1" customWidth="1"/>
    <col min="32" max="32" width="8.5703125" bestFit="1" customWidth="1"/>
    <col min="33" max="33" width="6.5703125" bestFit="1" customWidth="1"/>
    <col min="34" max="36" width="7" bestFit="1" customWidth="1"/>
    <col min="37" max="37" width="8" bestFit="1" customWidth="1"/>
    <col min="38" max="38" width="8.140625" bestFit="1" customWidth="1"/>
    <col min="39" max="39" width="7.5703125" bestFit="1" customWidth="1"/>
    <col min="40" max="41" width="6.5703125" bestFit="1" customWidth="1"/>
    <col min="42" max="42" width="5.28515625" bestFit="1" customWidth="1"/>
    <col min="43" max="43" width="4.85546875" customWidth="1"/>
    <col min="44" max="44" width="3.42578125" bestFit="1" customWidth="1"/>
    <col min="45" max="45" width="3.5703125" bestFit="1" customWidth="1"/>
    <col min="46" max="46" width="7" bestFit="1" customWidth="1"/>
  </cols>
  <sheetData>
    <row r="1" spans="1:46" x14ac:dyDescent="0.25">
      <c r="D1" s="28">
        <v>42268</v>
      </c>
    </row>
    <row r="2" spans="1:46" x14ac:dyDescent="0.25">
      <c r="D2" s="28">
        <f ca="1">TODAY()</f>
        <v>43696</v>
      </c>
      <c r="I2" s="29">
        <f>AVERAGE(I4:I21)</f>
        <v>4.7294117647058824</v>
      </c>
      <c r="J2" s="29"/>
      <c r="N2" s="32">
        <f ca="1">AVERAGE(N4:N21)</f>
        <v>0.8831422082582695</v>
      </c>
      <c r="O2" s="29">
        <f>AVERAGE(O4:O21)</f>
        <v>5.8529411764705879</v>
      </c>
      <c r="Q2" s="29">
        <f>AVERAGE(Q4:Q21)</f>
        <v>5.5294117647058822</v>
      </c>
      <c r="R2" s="64">
        <f>AVERAGE(R4:R21)</f>
        <v>0.83304943794690578</v>
      </c>
      <c r="S2" s="64">
        <f>AVERAGE(S4:S21)</f>
        <v>0.92006666890846689</v>
      </c>
      <c r="T2" s="33">
        <f>SUM(T4:T21)</f>
        <v>1154940</v>
      </c>
      <c r="U2" s="33">
        <f>SUM(U4:U21)</f>
        <v>37110</v>
      </c>
      <c r="V2" s="33">
        <f>SUM(V4:V21)</f>
        <v>175618</v>
      </c>
      <c r="W2" s="34">
        <f>T2/V2</f>
        <v>6.5764329396758878</v>
      </c>
      <c r="AD2" s="32">
        <f>AVERAGE(AD5:AD21)</f>
        <v>4.1875</v>
      </c>
      <c r="AE2" s="30">
        <f>AVERAGE(AE5:AE21)</f>
        <v>102.36750000000001</v>
      </c>
      <c r="AF2" s="30">
        <f>AVERAGE(AF5:AF21)</f>
        <v>2028.5555555555557</v>
      </c>
      <c r="AG2" s="29"/>
      <c r="AM2" s="29"/>
      <c r="AN2" s="29"/>
      <c r="AO2" s="29"/>
      <c r="AQ2" s="29"/>
      <c r="AR2" s="29"/>
      <c r="AS2" s="29"/>
    </row>
    <row r="3" spans="1:46" x14ac:dyDescent="0.25">
      <c r="A3" s="10" t="s">
        <v>1</v>
      </c>
      <c r="B3" s="10" t="s">
        <v>2</v>
      </c>
      <c r="C3" s="11" t="s">
        <v>370</v>
      </c>
      <c r="D3" s="12" t="s">
        <v>97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98</v>
      </c>
      <c r="K3" s="13" t="s">
        <v>49</v>
      </c>
      <c r="L3" s="13" t="s">
        <v>48</v>
      </c>
      <c r="M3" s="10" t="s">
        <v>105</v>
      </c>
      <c r="N3" s="10" t="s">
        <v>80</v>
      </c>
      <c r="O3" s="10" t="s">
        <v>9</v>
      </c>
      <c r="P3" s="10" t="s">
        <v>10</v>
      </c>
      <c r="Q3" s="10" t="s">
        <v>11</v>
      </c>
      <c r="R3" s="44" t="s">
        <v>78</v>
      </c>
      <c r="S3" s="44" t="s">
        <v>79</v>
      </c>
      <c r="T3" s="10" t="s">
        <v>12</v>
      </c>
      <c r="U3" s="10" t="s">
        <v>112</v>
      </c>
      <c r="V3" s="10" t="s">
        <v>13</v>
      </c>
      <c r="W3" s="10" t="s">
        <v>14</v>
      </c>
      <c r="X3" s="10" t="s">
        <v>15</v>
      </c>
      <c r="Y3" s="10" t="s">
        <v>16</v>
      </c>
      <c r="Z3" s="10" t="s">
        <v>17</v>
      </c>
      <c r="AA3" s="10" t="s">
        <v>18</v>
      </c>
      <c r="AB3" s="10" t="s">
        <v>19</v>
      </c>
      <c r="AC3" s="10" t="s">
        <v>20</v>
      </c>
      <c r="AD3" s="10" t="s">
        <v>6</v>
      </c>
      <c r="AE3" s="10" t="s">
        <v>242</v>
      </c>
      <c r="AF3" s="10" t="s">
        <v>193</v>
      </c>
      <c r="AG3" s="14" t="s">
        <v>21</v>
      </c>
      <c r="AH3" s="14" t="s">
        <v>25</v>
      </c>
      <c r="AI3" s="14" t="s">
        <v>26</v>
      </c>
      <c r="AJ3" s="14" t="s">
        <v>68</v>
      </c>
      <c r="AK3" s="14" t="s">
        <v>99</v>
      </c>
      <c r="AL3" s="14" t="s">
        <v>100</v>
      </c>
      <c r="AM3" s="14" t="s">
        <v>22</v>
      </c>
      <c r="AN3" s="14" t="s">
        <v>23</v>
      </c>
      <c r="AO3" s="14" t="s">
        <v>24</v>
      </c>
      <c r="AP3" s="10" t="s">
        <v>104</v>
      </c>
      <c r="AQ3" s="10" t="s">
        <v>106</v>
      </c>
      <c r="AR3" s="10" t="s">
        <v>102</v>
      </c>
      <c r="AS3" s="10" t="s">
        <v>103</v>
      </c>
      <c r="AT3" s="31" t="s">
        <v>188</v>
      </c>
    </row>
    <row r="4" spans="1:46" x14ac:dyDescent="0.25">
      <c r="A4" s="15" t="s">
        <v>28</v>
      </c>
      <c r="B4" s="23" t="s">
        <v>27</v>
      </c>
      <c r="C4" s="69">
        <f ca="1">((34*112)-(E4*112)-(F4))/112</f>
        <v>11.044642857142858</v>
      </c>
      <c r="D4" s="443" t="s">
        <v>359</v>
      </c>
      <c r="E4" s="1">
        <v>22</v>
      </c>
      <c r="F4" s="2">
        <f ca="1">$D$2-$D$1-1097-112-112</f>
        <v>107</v>
      </c>
      <c r="G4" s="3"/>
      <c r="H4" s="4">
        <v>4</v>
      </c>
      <c r="I4" s="5">
        <v>5</v>
      </c>
      <c r="J4" s="21">
        <f>LOG(I4)*4/3</f>
        <v>0.93196000578135851</v>
      </c>
      <c r="K4" s="6">
        <f>(H4)*(H4)*(I4)</f>
        <v>80</v>
      </c>
      <c r="L4" s="6">
        <f>(H4+1)*(H4+1)*I4</f>
        <v>125</v>
      </c>
      <c r="M4" s="72">
        <v>43415</v>
      </c>
      <c r="N4" s="73">
        <f t="shared" ref="N4:N9" ca="1" si="0">IF((TODAY()-M4)&gt;335,1,((TODAY()-M4)^0.64)/(336^0.64))</f>
        <v>0.89189741911905607</v>
      </c>
      <c r="O4" s="24">
        <v>6.5</v>
      </c>
      <c r="P4" s="19">
        <f>O4*10+19</f>
        <v>84</v>
      </c>
      <c r="Q4" s="25">
        <v>6</v>
      </c>
      <c r="R4" s="63">
        <f>(Q4/7)^0.5</f>
        <v>0.92582009977255142</v>
      </c>
      <c r="S4" s="63">
        <f>IF(Q4=7,1,((Q4+0.99)/7)^0.5)</f>
        <v>0.99928545900129484</v>
      </c>
      <c r="T4" s="27">
        <v>71810</v>
      </c>
      <c r="U4" s="27">
        <f t="shared" ref="U4:U21" si="1">T4-AT4</f>
        <v>620</v>
      </c>
      <c r="V4" s="7">
        <v>27520</v>
      </c>
      <c r="W4" s="8">
        <f>T4/V4</f>
        <v>2.609375</v>
      </c>
      <c r="X4" s="20">
        <v>15</v>
      </c>
      <c r="Y4" s="21">
        <f>11+1/9</f>
        <v>11.111111111111111</v>
      </c>
      <c r="Z4" s="20">
        <v>0</v>
      </c>
      <c r="AA4" s="21">
        <v>0</v>
      </c>
      <c r="AB4" s="20">
        <v>0</v>
      </c>
      <c r="AC4" s="21">
        <v>1</v>
      </c>
      <c r="AD4" s="20">
        <v>1</v>
      </c>
      <c r="AE4" s="9">
        <f>Planning!V3</f>
        <v>100.5</v>
      </c>
      <c r="AF4" s="9">
        <v>1746</v>
      </c>
      <c r="AG4" s="8">
        <f t="shared" ref="AG4:AG21" ca="1" si="2">(((Y4+LOG(I4)*4/3+N4)+(AB4+LOG(I4)*4/3+N4)*2)/8)*(Q4/7)^0.5</f>
        <v>1.9190726983436779</v>
      </c>
      <c r="AH4" s="22">
        <f t="shared" ref="AH4" ca="1" si="3">(AD4+1+(LOG(I4)*4/3)+N4)*(Q4/7)^0.5</f>
        <v>3.5402040626373137</v>
      </c>
      <c r="AI4" s="22">
        <f t="shared" ref="AI4" ca="1" si="4">(AD4+1+N4+(LOG(I4)*4/3))*(IF(Q4=7, (Q4/7)^0.5, ((Q4+1)/7)^0.5))</f>
        <v>3.8238574249004147</v>
      </c>
      <c r="AJ4" s="22">
        <f t="shared" ref="AJ4" ca="1" si="5">(Z4+N4+(LOG(I4)*4/3))</f>
        <v>1.8238574249004147</v>
      </c>
      <c r="AK4" s="68">
        <f t="shared" ref="AK4" ca="1" si="6">(Z4+N4+(LOG(I4)*4/3))*(Q4/7)^0.5</f>
        <v>1.6885638630922106</v>
      </c>
      <c r="AL4" s="68">
        <f t="shared" ref="AL4" ca="1" si="7">(Z4+N4+(LOG(I4)*4/3))*(IF(Q4=7, (Q4/7)^0.5, ((Q4+1)/7)^0.5))</f>
        <v>1.8238574249004147</v>
      </c>
      <c r="AM4" s="8">
        <f t="shared" ref="AM4:AM21" ca="1" si="8">(AD4+LOG(I4)*4/3+N4)*0.7+(AC4+LOG(I4)*4/3+N4)*0.3</f>
        <v>2.8238574249004147</v>
      </c>
      <c r="AN4" s="8">
        <f t="shared" ref="AN4:AN21" ca="1" si="9">(0.5*(AC4+LOG(I4)*4/3+N4)+ 0.3*(AD4+LOG(I4)*4/3+N4))/10</f>
        <v>0.22590859399203317</v>
      </c>
      <c r="AO4" s="8">
        <f t="shared" ref="AO4:AO21" ca="1" si="10">(0.4*(Y4+LOG(I4)*4/3+N4)+0.3*(AD4+LOG(I4)*4/3+N4))/10</f>
        <v>0.6021144641874735</v>
      </c>
      <c r="AP4" s="71">
        <f>IF(AR4=4,IF(AS4=0,0.137+0.0697,0.137+0.02),IF(AR4=3,IF(AS4=0,0.0958+0.0697,0.0958+0.02),IF(AR4=2,IF(AS4=0,0.0415+0.0697,0.0415+0.02),IF(AR4=1,IF(AS4=0,0.0294+0.0697,0.0294+0.02),IF(AR4=0,IF(AS4=0,0.0063+0.0697,0.0063+0.02))))))</f>
        <v>0.1158</v>
      </c>
      <c r="AQ4" s="19">
        <v>1</v>
      </c>
      <c r="AR4" s="19">
        <v>3</v>
      </c>
      <c r="AS4" s="19">
        <v>2</v>
      </c>
      <c r="AT4" s="27">
        <v>71190</v>
      </c>
    </row>
    <row r="5" spans="1:46" x14ac:dyDescent="0.25">
      <c r="A5" s="15" t="s">
        <v>358</v>
      </c>
      <c r="B5" s="15" t="s">
        <v>27</v>
      </c>
      <c r="C5" s="69">
        <f t="shared" ref="C5:C21" ca="1" si="11">((34*112)-(E5*112)-(F5))/112</f>
        <v>10.821428571428571</v>
      </c>
      <c r="D5" s="121" t="s">
        <v>337</v>
      </c>
      <c r="E5" s="16">
        <v>23</v>
      </c>
      <c r="F5" s="2">
        <f ca="1">$D$2-$D$1-880+32-112-112-112-112-112</f>
        <v>20</v>
      </c>
      <c r="G5" s="17"/>
      <c r="H5" s="107">
        <v>5</v>
      </c>
      <c r="I5" s="26">
        <v>1.4</v>
      </c>
      <c r="J5" s="21">
        <f t="shared" ref="J5:J9" si="12">LOG(I5)*4/3</f>
        <v>0.19483738090431735</v>
      </c>
      <c r="K5" s="6">
        <f t="shared" ref="K5:K9" si="13">(H5)*(H5)*(I5)</f>
        <v>35</v>
      </c>
      <c r="L5" s="6">
        <f t="shared" ref="L5:L9" si="14">(H5+1)*(H5+1)*I5</f>
        <v>50.4</v>
      </c>
      <c r="M5" s="72">
        <v>43190</v>
      </c>
      <c r="N5" s="73">
        <f t="shared" ca="1" si="0"/>
        <v>1</v>
      </c>
      <c r="O5" s="18">
        <v>6</v>
      </c>
      <c r="P5" s="19">
        <f t="shared" ref="P5:P9" si="15">O5*10+19</f>
        <v>79</v>
      </c>
      <c r="Q5" s="25">
        <v>6</v>
      </c>
      <c r="R5" s="63">
        <f t="shared" ref="R5:R9" si="16">(Q5/7)^0.5</f>
        <v>0.92582009977255142</v>
      </c>
      <c r="S5" s="63">
        <f t="shared" ref="S5:S9" si="17">IF(Q5=7,1,((Q5+0.99)/7)^0.5)</f>
        <v>0.99928545900129484</v>
      </c>
      <c r="T5" s="27">
        <v>3290</v>
      </c>
      <c r="U5" s="27">
        <f t="shared" si="1"/>
        <v>80</v>
      </c>
      <c r="V5" s="27">
        <v>1170</v>
      </c>
      <c r="W5" s="8">
        <f t="shared" ref="W5:W9" si="18">T5/V5</f>
        <v>2.8119658119658117</v>
      </c>
      <c r="X5" s="20">
        <v>6</v>
      </c>
      <c r="Y5" s="21">
        <v>4.75</v>
      </c>
      <c r="Z5" s="20">
        <v>0</v>
      </c>
      <c r="AA5" s="21">
        <v>3</v>
      </c>
      <c r="AB5" s="20">
        <v>0</v>
      </c>
      <c r="AC5" s="21">
        <v>1</v>
      </c>
      <c r="AD5" s="20">
        <v>1</v>
      </c>
      <c r="AE5" s="9">
        <f>7.5+6+1.5+1.5</f>
        <v>16.5</v>
      </c>
      <c r="AF5" s="9"/>
      <c r="AG5" s="8">
        <f t="shared" ca="1" si="2"/>
        <v>0.96453235794025594</v>
      </c>
      <c r="AH5" s="22">
        <f ca="1">(AD5+1+(LOG(I5)*4/3)+N5)*(Q5/7)^0.5</f>
        <v>2.9578446627459121</v>
      </c>
      <c r="AI5" s="22">
        <f ca="1">(AD5+1+N5+(LOG(I5)*4/3))*(IF(Q5=7, (Q5/7)^0.5, ((Q5+1)/7)^0.5))</f>
        <v>3.1948373809043176</v>
      </c>
      <c r="AJ5" s="22">
        <f ca="1">(Z5+N5+(LOG(I5)*4/3))</f>
        <v>1.1948373809043173</v>
      </c>
      <c r="AK5" s="68">
        <f ca="1">(Z5+N5+(LOG(I5)*4/3))*(Q5/7)^0.5</f>
        <v>1.106204463200809</v>
      </c>
      <c r="AL5" s="68">
        <f ca="1">(Z5+N5+(LOG(I5)*4/3))*(IF(Q5=7, (Q5/7)^0.5, ((Q5+1)/7)^0.5))</f>
        <v>1.1948373809043173</v>
      </c>
      <c r="AM5" s="8">
        <f t="shared" ca="1" si="8"/>
        <v>2.1948373809043176</v>
      </c>
      <c r="AN5" s="8">
        <f t="shared" ca="1" si="9"/>
        <v>0.17558699047234541</v>
      </c>
      <c r="AO5" s="8">
        <f t="shared" ca="1" si="10"/>
        <v>0.30363861666330222</v>
      </c>
      <c r="AP5" s="71">
        <f t="shared" ref="AP5:AP9" si="19">IF(AR5=4,IF(AS5=0,0.137+0.0697,0.137+0.02),IF(AR5=3,IF(AS5=0,0.0958+0.0697,0.0958+0.02),IF(AR5=2,IF(AS5=0,0.0415+0.0697,0.0415+0.02),IF(AR5=1,IF(AS5=0,0.0294+0.0697,0.0294+0.02),IF(AR5=0,IF(AS5=0,0.0063+0.0697,0.0063+0.02))))))</f>
        <v>2.63E-2</v>
      </c>
      <c r="AQ5" s="19">
        <v>3</v>
      </c>
      <c r="AR5" s="19">
        <v>0</v>
      </c>
      <c r="AS5" s="19">
        <v>2</v>
      </c>
      <c r="AT5" s="27">
        <v>3210</v>
      </c>
    </row>
    <row r="6" spans="1:46" x14ac:dyDescent="0.25">
      <c r="A6" s="15" t="s">
        <v>31</v>
      </c>
      <c r="B6" s="23" t="s">
        <v>240</v>
      </c>
      <c r="C6" s="69">
        <f t="shared" ca="1" si="11"/>
        <v>11.071428571428571</v>
      </c>
      <c r="D6" s="443" t="s">
        <v>348</v>
      </c>
      <c r="E6" s="1">
        <v>22</v>
      </c>
      <c r="F6" s="2">
        <f ca="1">$D$2-$D$1-1100-112-112</f>
        <v>104</v>
      </c>
      <c r="G6" s="3"/>
      <c r="H6" s="107">
        <v>5</v>
      </c>
      <c r="I6" s="5">
        <v>2.8</v>
      </c>
      <c r="J6" s="21">
        <f t="shared" ref="J6" si="20">LOG(I6)*4/3</f>
        <v>0.59621070845629232</v>
      </c>
      <c r="K6" s="6">
        <f t="shared" ref="K6" si="21">(H6)*(H6)*(I6)</f>
        <v>70</v>
      </c>
      <c r="L6" s="6">
        <f t="shared" ref="L6" si="22">(H6+1)*(H6+1)*I6</f>
        <v>100.8</v>
      </c>
      <c r="M6" s="72">
        <v>43395</v>
      </c>
      <c r="N6" s="73">
        <f t="shared" ca="1" si="0"/>
        <v>0.93202040297026145</v>
      </c>
      <c r="O6" s="24">
        <v>6.1</v>
      </c>
      <c r="P6" s="19">
        <f t="shared" si="15"/>
        <v>80</v>
      </c>
      <c r="Q6" s="25">
        <v>4</v>
      </c>
      <c r="R6" s="63">
        <f t="shared" ref="R6" si="23">(Q6/7)^0.5</f>
        <v>0.7559289460184544</v>
      </c>
      <c r="S6" s="63">
        <f t="shared" ref="S6" si="24">IF(Q6=7,1,((Q6+0.99)/7)^0.5)</f>
        <v>0.84430867747355465</v>
      </c>
      <c r="T6" s="27">
        <v>91570</v>
      </c>
      <c r="U6" s="27">
        <f t="shared" si="1"/>
        <v>10010</v>
      </c>
      <c r="V6" s="7">
        <v>18250</v>
      </c>
      <c r="W6" s="8">
        <f t="shared" ref="W6" si="25">T6/V6</f>
        <v>5.0175342465753427</v>
      </c>
      <c r="X6" s="20">
        <v>0</v>
      </c>
      <c r="Y6" s="21">
        <f>15+0/16</f>
        <v>15</v>
      </c>
      <c r="Z6" s="20">
        <v>5</v>
      </c>
      <c r="AA6" s="21">
        <f>5+2/5</f>
        <v>5.4</v>
      </c>
      <c r="AB6" s="20">
        <v>6</v>
      </c>
      <c r="AC6" s="21">
        <v>2</v>
      </c>
      <c r="AD6" s="20">
        <v>1</v>
      </c>
      <c r="AE6" s="9">
        <f>Planning!V4</f>
        <v>120</v>
      </c>
      <c r="AF6" s="9">
        <v>2033</v>
      </c>
      <c r="AG6" s="8">
        <f t="shared" ca="1" si="2"/>
        <v>2.9844729928122655</v>
      </c>
      <c r="AH6" s="22">
        <f t="shared" ref="AH6" ca="1" si="26">(AD6+1+(LOG(I6)*4/3)+N6)*(Q6/7)^0.5</f>
        <v>2.6670920253701951</v>
      </c>
      <c r="AI6" s="22">
        <f t="shared" ref="AI6" ca="1" si="27">(AD6+1+N6+(LOG(I6)*4/3))*(IF(Q6=7, (Q6/7)^0.5, ((Q6+1)/7)^0.5))</f>
        <v>2.9818995354876745</v>
      </c>
      <c r="AJ6" s="22">
        <f t="shared" ref="AJ6" ca="1" si="28">(Z6+N6+(LOG(I6)*4/3))</f>
        <v>6.5282311114265532</v>
      </c>
      <c r="AK6" s="68">
        <f t="shared" ref="AK6" ca="1" si="29">(Z6+N6+(LOG(I6)*4/3))*(Q6/7)^0.5</f>
        <v>4.9348788634255571</v>
      </c>
      <c r="AL6" s="68">
        <f t="shared" ref="AL6" ca="1" si="30">(Z6+N6+(LOG(I6)*4/3))*(IF(Q6=7, (Q6/7)^0.5, ((Q6+1)/7)^0.5))</f>
        <v>5.5173622996732243</v>
      </c>
      <c r="AM6" s="8">
        <f t="shared" ca="1" si="8"/>
        <v>2.8282311114265539</v>
      </c>
      <c r="AN6" s="8">
        <f t="shared" ca="1" si="9"/>
        <v>0.25225848891412433</v>
      </c>
      <c r="AO6" s="8">
        <f t="shared" ca="1" si="10"/>
        <v>0.7369761777998588</v>
      </c>
      <c r="AP6" s="71">
        <f t="shared" ref="AP6" si="31">IF(AR6=4,IF(AS6=0,0.137+0.0697,0.137+0.02),IF(AR6=3,IF(AS6=0,0.0958+0.0697,0.0958+0.02),IF(AR6=2,IF(AS6=0,0.0415+0.0697,0.0415+0.02),IF(AR6=1,IF(AS6=0,0.0294+0.0697,0.0294+0.02),IF(AR6=0,IF(AS6=0,0.0063+0.0697,0.0063+0.02))))))</f>
        <v>6.1499999999999999E-2</v>
      </c>
      <c r="AQ6" s="19">
        <v>1</v>
      </c>
      <c r="AR6" s="19">
        <v>2</v>
      </c>
      <c r="AS6" s="19">
        <v>1</v>
      </c>
      <c r="AT6" s="27">
        <v>81560</v>
      </c>
    </row>
    <row r="7" spans="1:46" x14ac:dyDescent="0.25">
      <c r="A7" s="15" t="s">
        <v>33</v>
      </c>
      <c r="B7" s="15" t="s">
        <v>240</v>
      </c>
      <c r="C7" s="69">
        <f t="shared" ca="1" si="11"/>
        <v>11.241071428571429</v>
      </c>
      <c r="D7" s="443" t="s">
        <v>352</v>
      </c>
      <c r="E7" s="16">
        <v>22</v>
      </c>
      <c r="F7" s="2">
        <f ca="1">$D$2-$D$1-1102-17-112-112</f>
        <v>85</v>
      </c>
      <c r="G7" s="17"/>
      <c r="H7" s="4">
        <v>4</v>
      </c>
      <c r="I7" s="26">
        <v>3.8</v>
      </c>
      <c r="J7" s="21">
        <f>LOG(I7)*4/3</f>
        <v>0.77304479548908012</v>
      </c>
      <c r="K7" s="6">
        <f>(H7)*(H7)*(I7)</f>
        <v>60.8</v>
      </c>
      <c r="L7" s="6">
        <f>(H7+1)*(H7+1)*I7</f>
        <v>95</v>
      </c>
      <c r="M7" s="72">
        <v>43410</v>
      </c>
      <c r="N7" s="73">
        <f t="shared" ca="1" si="0"/>
        <v>0.90202198693989699</v>
      </c>
      <c r="O7" s="18">
        <v>6.6</v>
      </c>
      <c r="P7" s="19">
        <f>O7*10+19</f>
        <v>85</v>
      </c>
      <c r="Q7" s="25">
        <v>6</v>
      </c>
      <c r="R7" s="63">
        <f>(Q7/7)^0.5</f>
        <v>0.92582009977255142</v>
      </c>
      <c r="S7" s="63">
        <f>IF(Q7=7,1,((Q7+0.99)/7)^0.5)</f>
        <v>0.99928545900129484</v>
      </c>
      <c r="T7" s="27">
        <v>112410</v>
      </c>
      <c r="U7" s="27">
        <f t="shared" si="1"/>
        <v>1880</v>
      </c>
      <c r="V7" s="27">
        <v>19870</v>
      </c>
      <c r="W7" s="8">
        <f>T7/V7</f>
        <v>5.6572722697533973</v>
      </c>
      <c r="X7" s="20">
        <v>0</v>
      </c>
      <c r="Y7" s="21">
        <f>14+15/16</f>
        <v>14.9375</v>
      </c>
      <c r="Z7" s="20">
        <v>5</v>
      </c>
      <c r="AA7" s="21">
        <v>7</v>
      </c>
      <c r="AB7" s="20">
        <f>5+1/4</f>
        <v>5.25</v>
      </c>
      <c r="AC7" s="21">
        <v>1</v>
      </c>
      <c r="AD7" s="20">
        <v>0</v>
      </c>
      <c r="AE7" s="9">
        <f>Planning!V6</f>
        <v>121.5</v>
      </c>
      <c r="AF7" s="9">
        <v>2023</v>
      </c>
      <c r="AG7" s="8">
        <f t="shared" ca="1" si="2"/>
        <v>3.5253725343583158</v>
      </c>
      <c r="AH7" s="22">
        <f t="shared" ref="AH7" ca="1" si="32">(AD7+1+(LOG(I7)*4/3)+N7)*(Q7/7)^0.5</f>
        <v>2.4766305954066334</v>
      </c>
      <c r="AI7" s="22">
        <f t="shared" ref="AI7" ca="1" si="33">(AD7+1+N7+(LOG(I7)*4/3))*(IF(Q7=7, (Q7/7)^0.5, ((Q7+1)/7)^0.5))</f>
        <v>2.6750667824289769</v>
      </c>
      <c r="AJ7" s="22">
        <f t="shared" ref="AJ7" ca="1" si="34">(Z7+N7+(LOG(I7)*4/3))</f>
        <v>6.6750667824289778</v>
      </c>
      <c r="AK7" s="68">
        <f t="shared" ref="AK7" ca="1" si="35">(Z7+N7+(LOG(I7)*4/3))*(Q7/7)^0.5</f>
        <v>6.17991099449684</v>
      </c>
      <c r="AL7" s="68">
        <f t="shared" ref="AL7" ca="1" si="36">(Z7+N7+(LOG(I7)*4/3))*(IF(Q7=7, (Q7/7)^0.5, ((Q7+1)/7)^0.5))</f>
        <v>6.6750667824289778</v>
      </c>
      <c r="AM7" s="8">
        <f t="shared" ca="1" si="8"/>
        <v>1.9750667824289772</v>
      </c>
      <c r="AN7" s="8">
        <f t="shared" ca="1" si="9"/>
        <v>0.18400534259431817</v>
      </c>
      <c r="AO7" s="8">
        <f t="shared" ca="1" si="10"/>
        <v>0.71475467477002852</v>
      </c>
      <c r="AP7" s="71">
        <f>IF(AR7=4,IF(AS7=0,0.137+0.0697,0.137+0.02),IF(AR7=3,IF(AS7=0,0.0958+0.0697,0.0958+0.02),IF(AR7=2,IF(AS7=0,0.0415+0.0697,0.0415+0.02),IF(AR7=1,IF(AS7=0,0.0294+0.0697,0.0294+0.02),IF(AR7=0,IF(AS7=0,0.0063+0.0697,0.0063+0.02))))))</f>
        <v>6.1499999999999999E-2</v>
      </c>
      <c r="AQ7" s="19">
        <v>3</v>
      </c>
      <c r="AR7" s="19">
        <v>2</v>
      </c>
      <c r="AS7" s="19">
        <v>2</v>
      </c>
      <c r="AT7" s="27">
        <v>110530</v>
      </c>
    </row>
    <row r="8" spans="1:46" x14ac:dyDescent="0.25">
      <c r="A8" s="15" t="s">
        <v>38</v>
      </c>
      <c r="B8" s="15" t="s">
        <v>240</v>
      </c>
      <c r="C8" s="69">
        <f t="shared" ca="1" si="11"/>
        <v>10.794642857142858</v>
      </c>
      <c r="D8" s="443" t="s">
        <v>347</v>
      </c>
      <c r="E8" s="16">
        <v>23</v>
      </c>
      <c r="F8" s="2">
        <f ca="1">$D$2-$D$1-1069-112-112-112</f>
        <v>23</v>
      </c>
      <c r="G8" s="17"/>
      <c r="H8" s="4">
        <v>1</v>
      </c>
      <c r="I8" s="26">
        <v>4</v>
      </c>
      <c r="J8" s="21">
        <f>LOG(I8)*4/3</f>
        <v>0.80274665510394982</v>
      </c>
      <c r="K8" s="6">
        <f>(H8)*(H8)*(I8)</f>
        <v>4</v>
      </c>
      <c r="L8" s="6">
        <f>(H8+1)*(H8+1)*I8</f>
        <v>16</v>
      </c>
      <c r="M8" s="72">
        <v>43383</v>
      </c>
      <c r="N8" s="73">
        <f t="shared" ca="1" si="0"/>
        <v>0.95563322019551677</v>
      </c>
      <c r="O8" s="18">
        <v>6.2</v>
      </c>
      <c r="P8" s="19">
        <f>O8*10+19</f>
        <v>81</v>
      </c>
      <c r="Q8" s="25">
        <v>6</v>
      </c>
      <c r="R8" s="63">
        <f>(Q8/7)^0.5</f>
        <v>0.92582009977255142</v>
      </c>
      <c r="S8" s="63">
        <f>IF(Q8=7,1,((Q8+0.99)/7)^0.5)</f>
        <v>0.99928545900129484</v>
      </c>
      <c r="T8" s="27">
        <v>94430</v>
      </c>
      <c r="U8" s="27">
        <f t="shared" si="1"/>
        <v>-700</v>
      </c>
      <c r="V8" s="27">
        <v>11670</v>
      </c>
      <c r="W8" s="8">
        <f>T8/V8</f>
        <v>8.0916880891173957</v>
      </c>
      <c r="X8" s="20">
        <v>0</v>
      </c>
      <c r="Y8" s="21">
        <f>13+1/12</f>
        <v>13.083333333333334</v>
      </c>
      <c r="Z8" s="20">
        <v>3</v>
      </c>
      <c r="AA8" s="21">
        <f>7+0.1+0.1</f>
        <v>7.1999999999999993</v>
      </c>
      <c r="AB8" s="20">
        <f>10+1/8</f>
        <v>10.125</v>
      </c>
      <c r="AC8" s="21">
        <v>3</v>
      </c>
      <c r="AD8" s="20">
        <v>2</v>
      </c>
      <c r="AE8" s="9">
        <f>Planning!V5</f>
        <v>114.5</v>
      </c>
      <c r="AF8" s="9">
        <v>1937</v>
      </c>
      <c r="AG8" s="8">
        <f t="shared" ca="1" si="2"/>
        <v>4.4680625358977233</v>
      </c>
      <c r="AH8" s="22">
        <f ca="1">(AD8+1+(LOG(I8)*4/3)+N8)*(Q8/7)^0.5</f>
        <v>4.4054037309054523</v>
      </c>
      <c r="AI8" s="22">
        <f ca="1">(AD8+1+N8+(LOG(I8)*4/3))*(IF(Q8=7, (Q8/7)^0.5, ((Q8+1)/7)^0.5))</f>
        <v>4.7583798752994664</v>
      </c>
      <c r="AJ8" s="22">
        <f ca="1">(Z8+N8+(LOG(I8)*4/3))</f>
        <v>4.7583798752994664</v>
      </c>
      <c r="AK8" s="68">
        <f ca="1">(Z8+N8+(LOG(I8)*4/3))*(Q8/7)^0.5</f>
        <v>4.4054037309054523</v>
      </c>
      <c r="AL8" s="68">
        <f ca="1">(Z8+N8+(LOG(I8)*4/3))*(IF(Q8=7, (Q8/7)^0.5, ((Q8+1)/7)^0.5))</f>
        <v>4.7583798752994664</v>
      </c>
      <c r="AM8" s="8">
        <f t="shared" ca="1" si="8"/>
        <v>4.0583798752994662</v>
      </c>
      <c r="AN8" s="8">
        <f t="shared" ca="1" si="9"/>
        <v>0.35067039002395728</v>
      </c>
      <c r="AO8" s="8">
        <f t="shared" ca="1" si="10"/>
        <v>0.70641992460429603</v>
      </c>
      <c r="AP8" s="71">
        <f>IF(AR8=4,IF(AS8=0,0.137+0.0697,0.137+0.02),IF(AR8=3,IF(AS8=0,0.0958+0.0697,0.0958+0.02),IF(AR8=2,IF(AS8=0,0.0415+0.0697,0.0415+0.02),IF(AR8=1,IF(AS8=0,0.0294+0.0697,0.0294+0.02),IF(AR8=0,IF(AS8=0,0.0063+0.0697,0.0063+0.02))))))</f>
        <v>0.1158</v>
      </c>
      <c r="AQ8" s="19">
        <v>0</v>
      </c>
      <c r="AR8" s="19">
        <v>3</v>
      </c>
      <c r="AS8" s="19">
        <v>2</v>
      </c>
      <c r="AT8" s="27">
        <v>95130</v>
      </c>
    </row>
    <row r="9" spans="1:46" x14ac:dyDescent="0.25">
      <c r="A9" s="15" t="s">
        <v>31</v>
      </c>
      <c r="B9" s="15" t="s">
        <v>240</v>
      </c>
      <c r="C9" s="69">
        <f t="shared" ca="1" si="11"/>
        <v>10.928571428571429</v>
      </c>
      <c r="D9" s="443" t="s">
        <v>356</v>
      </c>
      <c r="E9" s="1">
        <v>23</v>
      </c>
      <c r="F9" s="2">
        <f ca="1">$D$2-$D$1-880+55-112-112-14-21-112-112-112</f>
        <v>8</v>
      </c>
      <c r="G9" s="3"/>
      <c r="H9" s="4">
        <v>4</v>
      </c>
      <c r="I9" s="5">
        <v>4.7</v>
      </c>
      <c r="J9" s="21">
        <f t="shared" si="12"/>
        <v>0.8961304772476234</v>
      </c>
      <c r="K9" s="6">
        <f t="shared" si="13"/>
        <v>75.2</v>
      </c>
      <c r="L9" s="6">
        <f t="shared" si="14"/>
        <v>117.5</v>
      </c>
      <c r="M9" s="72">
        <v>43419</v>
      </c>
      <c r="N9" s="73">
        <f t="shared" ca="1" si="0"/>
        <v>0.8837509927653624</v>
      </c>
      <c r="O9" s="24">
        <v>6.3</v>
      </c>
      <c r="P9" s="19">
        <f t="shared" si="15"/>
        <v>82</v>
      </c>
      <c r="Q9" s="25">
        <v>6</v>
      </c>
      <c r="R9" s="63">
        <f t="shared" si="16"/>
        <v>0.92582009977255142</v>
      </c>
      <c r="S9" s="63">
        <f t="shared" si="17"/>
        <v>0.99928545900129484</v>
      </c>
      <c r="T9" s="27">
        <v>93490</v>
      </c>
      <c r="U9" s="27">
        <f t="shared" si="1"/>
        <v>2340</v>
      </c>
      <c r="V9" s="7">
        <v>7670</v>
      </c>
      <c r="W9" s="8">
        <f t="shared" si="18"/>
        <v>12.189048239895698</v>
      </c>
      <c r="X9" s="20">
        <v>0</v>
      </c>
      <c r="Y9" s="21">
        <f>11+1/9</f>
        <v>11.111111111111111</v>
      </c>
      <c r="Z9" s="20">
        <v>11</v>
      </c>
      <c r="AA9" s="21">
        <v>4</v>
      </c>
      <c r="AB9" s="20">
        <f>9+1/7</f>
        <v>9.1428571428571423</v>
      </c>
      <c r="AC9" s="21">
        <v>4</v>
      </c>
      <c r="AD9" s="20">
        <v>1</v>
      </c>
      <c r="AE9" s="9">
        <f>Planning!V7</f>
        <v>119.5</v>
      </c>
      <c r="AF9" s="9">
        <v>2010</v>
      </c>
      <c r="AG9" s="8">
        <f t="shared" ca="1" si="2"/>
        <v>4.0199652427921722</v>
      </c>
      <c r="AH9" s="22">
        <f ca="1">(AD9+1+(LOG(I9)*4/3)+N9)*(Q9/7)^0.5</f>
        <v>3.4994902396958407</v>
      </c>
      <c r="AI9" s="22">
        <f ca="1">(AD9+1+N9+(LOG(I9)*4/3))*(IF(Q9=7, (Q9/7)^0.5, ((Q9+1)/7)^0.5))</f>
        <v>3.7798814700129859</v>
      </c>
      <c r="AJ9" s="22">
        <f ca="1">(Z9+N9+(LOG(I9)*4/3))</f>
        <v>12.779881470012986</v>
      </c>
      <c r="AK9" s="68">
        <f ca="1">(Z9+N9+(LOG(I9)*4/3))*(Q9/7)^0.5</f>
        <v>11.831871137648804</v>
      </c>
      <c r="AL9" s="68">
        <f ca="1">(Z9+N9+(LOG(I9)*4/3))*(IF(Q9=7, (Q9/7)^0.5, ((Q9+1)/7)^0.5))</f>
        <v>12.779881470012986</v>
      </c>
      <c r="AM9" s="8">
        <f t="shared" ca="1" si="8"/>
        <v>3.6798814700129858</v>
      </c>
      <c r="AN9" s="8">
        <f t="shared" ca="1" si="9"/>
        <v>0.37239051760103886</v>
      </c>
      <c r="AO9" s="8">
        <f t="shared" ca="1" si="10"/>
        <v>0.59903614734535349</v>
      </c>
      <c r="AP9" s="71">
        <f t="shared" si="19"/>
        <v>6.1499999999999999E-2</v>
      </c>
      <c r="AQ9" s="19">
        <v>0</v>
      </c>
      <c r="AR9" s="19">
        <v>2</v>
      </c>
      <c r="AS9" s="19">
        <v>2</v>
      </c>
      <c r="AT9" s="27">
        <v>91150</v>
      </c>
    </row>
    <row r="10" spans="1:46" x14ac:dyDescent="0.25">
      <c r="A10" s="15" t="s">
        <v>195</v>
      </c>
      <c r="B10" s="15" t="s">
        <v>113</v>
      </c>
      <c r="C10" s="69">
        <f t="shared" ca="1" si="11"/>
        <v>11.142857142857142</v>
      </c>
      <c r="D10" s="121"/>
      <c r="E10" s="1">
        <v>22</v>
      </c>
      <c r="F10" s="2">
        <f ca="1">$D$2-$D$1-880-4-112-112-112-112</f>
        <v>96</v>
      </c>
      <c r="G10" s="3"/>
      <c r="H10" s="4"/>
      <c r="I10" s="5"/>
      <c r="J10" s="21" t="e">
        <f>LOG(I10)*4/3</f>
        <v>#NUM!</v>
      </c>
      <c r="K10" s="6">
        <f>(H10)*(H10)*(I10)</f>
        <v>0</v>
      </c>
      <c r="L10" s="6">
        <f>(H10+1)*(H10+1)*I10</f>
        <v>0</v>
      </c>
      <c r="M10" s="72"/>
      <c r="N10" s="73">
        <f ca="1">IF((TODAY()-M10)&gt;335,1,((TODAY()-M10)^0.64)/(336^0.64))</f>
        <v>1</v>
      </c>
      <c r="O10" s="24"/>
      <c r="P10" s="19">
        <f>O10*10+19</f>
        <v>19</v>
      </c>
      <c r="Q10" s="25"/>
      <c r="R10" s="63">
        <f>(Q10/7)^0.5</f>
        <v>0</v>
      </c>
      <c r="S10" s="63">
        <f>IF(Q10=7,1,((Q10+0.99)/7)^0.5)</f>
        <v>0.37606990231680526</v>
      </c>
      <c r="T10" s="27"/>
      <c r="U10" s="27">
        <f t="shared" si="1"/>
        <v>-3300</v>
      </c>
      <c r="V10" s="7"/>
      <c r="W10" s="8" t="e">
        <f>T10/V10</f>
        <v>#DIV/0!</v>
      </c>
      <c r="X10" s="20"/>
      <c r="Y10" s="21"/>
      <c r="Z10" s="20"/>
      <c r="AA10" s="21"/>
      <c r="AB10" s="20"/>
      <c r="AC10" s="21"/>
      <c r="AD10" s="20"/>
      <c r="AE10" s="9"/>
      <c r="AF10" s="9"/>
      <c r="AG10" s="8" t="e">
        <f t="shared" ca="1" si="2"/>
        <v>#NUM!</v>
      </c>
      <c r="AH10" s="22" t="e">
        <f ca="1">(AD10+1+(LOG(I10)*4/3)+N10)*(Q10/7)^0.5</f>
        <v>#NUM!</v>
      </c>
      <c r="AI10" s="22" t="e">
        <f ca="1">(AD10+1+N10+(LOG(I10)*4/3))*(IF(Q10=7, (Q10/7)^0.5, ((Q10+1)/7)^0.5))</f>
        <v>#NUM!</v>
      </c>
      <c r="AJ10" s="22" t="e">
        <f ca="1">(Z10+N10+(LOG(I10)*4/3))</f>
        <v>#NUM!</v>
      </c>
      <c r="AK10" s="68" t="e">
        <f ca="1">(Z10+N10+(LOG(I10)*4/3))*(Q10/7)^0.5</f>
        <v>#NUM!</v>
      </c>
      <c r="AL10" s="68" t="e">
        <f ca="1">(Z10+N10+(LOG(I10)*4/3))*(IF(Q10=7, (Q10/7)^0.5, ((Q10+1)/7)^0.5))</f>
        <v>#NUM!</v>
      </c>
      <c r="AM10" s="8" t="e">
        <f t="shared" ca="1" si="8"/>
        <v>#NUM!</v>
      </c>
      <c r="AN10" s="8" t="e">
        <f t="shared" ca="1" si="9"/>
        <v>#NUM!</v>
      </c>
      <c r="AO10" s="8" t="e">
        <f t="shared" ca="1" si="10"/>
        <v>#NUM!</v>
      </c>
      <c r="AP10" s="71">
        <f>IF(AR10=4,IF(AS10=0,0.137+0.0697,0.137+0.02),IF(AR10=3,IF(AS10=0,0.0958+0.0697,0.0958+0.02),IF(AR10=2,IF(AS10=0,0.0415+0.0697,0.0415+0.02),IF(AR10=1,IF(AS10=0,0.0294+0.0697,0.0294+0.02),IF(AR10=0,IF(AS10=0,0.0063+0.0697,0.0063+0.02))))))</f>
        <v>4.9399999999999999E-2</v>
      </c>
      <c r="AQ10" s="19">
        <v>3</v>
      </c>
      <c r="AR10" s="19">
        <v>1</v>
      </c>
      <c r="AS10" s="19">
        <v>2</v>
      </c>
      <c r="AT10" s="27">
        <v>3300</v>
      </c>
    </row>
    <row r="11" spans="1:46" x14ac:dyDescent="0.25">
      <c r="A11" s="15" t="s">
        <v>42</v>
      </c>
      <c r="B11" s="15" t="s">
        <v>369</v>
      </c>
      <c r="C11" s="69">
        <f t="shared" ca="1" si="11"/>
        <v>11.107142857142858</v>
      </c>
      <c r="D11" s="443" t="s">
        <v>248</v>
      </c>
      <c r="E11" s="1">
        <v>22</v>
      </c>
      <c r="F11" s="2">
        <f ca="1">$D$2-$D$1-880-112-112-112-112</f>
        <v>100</v>
      </c>
      <c r="G11" s="3" t="s">
        <v>192</v>
      </c>
      <c r="H11" s="107">
        <v>5</v>
      </c>
      <c r="I11" s="5">
        <v>4.4000000000000004</v>
      </c>
      <c r="J11" s="21">
        <f t="shared" ref="J11:J13" si="37">LOG(I11)*4/3</f>
        <v>0.85793690198158323</v>
      </c>
      <c r="K11" s="6">
        <f t="shared" ref="K11:K13" si="38">(H11)*(H11)*(I11)</f>
        <v>110.00000000000001</v>
      </c>
      <c r="L11" s="6">
        <f t="shared" ref="L11:L13" si="39">(H11+1)*(H11+1)*I11</f>
        <v>158.4</v>
      </c>
      <c r="M11" s="72">
        <v>43137</v>
      </c>
      <c r="N11" s="73">
        <f t="shared" ref="N11:N17" ca="1" si="40">IF((TODAY()-M11)&gt;335,1,((TODAY()-M11)^0.64)/(336^0.64))</f>
        <v>1</v>
      </c>
      <c r="O11" s="24">
        <v>6</v>
      </c>
      <c r="P11" s="19">
        <f t="shared" ref="P11:P13" si="41">O11*10+19</f>
        <v>79</v>
      </c>
      <c r="Q11" s="25">
        <v>7</v>
      </c>
      <c r="R11" s="63">
        <f t="shared" ref="R11:R13" si="42">(Q11/7)^0.5</f>
        <v>1</v>
      </c>
      <c r="S11" s="63">
        <f t="shared" ref="S11:S13" si="43">IF(Q11=7,1,((Q11+0.99)/7)^0.5)</f>
        <v>1</v>
      </c>
      <c r="T11" s="27">
        <v>120940</v>
      </c>
      <c r="U11" s="27">
        <f t="shared" si="1"/>
        <v>5820</v>
      </c>
      <c r="V11" s="7">
        <v>8650</v>
      </c>
      <c r="W11" s="8">
        <f t="shared" ref="W11:W13" si="44">T11/V11</f>
        <v>13.98150289017341</v>
      </c>
      <c r="X11" s="20">
        <v>0</v>
      </c>
      <c r="Y11" s="21">
        <f>12+4/10</f>
        <v>12.4</v>
      </c>
      <c r="Z11" s="20">
        <v>4</v>
      </c>
      <c r="AA11" s="21">
        <f>12+4/6</f>
        <v>12.666666666666666</v>
      </c>
      <c r="AB11" s="20">
        <f>4+2/4</f>
        <v>4.5</v>
      </c>
      <c r="AC11" s="21">
        <f>5.25+0.25+0.25+0.25+0.25+0.25+0.25+0.25</f>
        <v>7</v>
      </c>
      <c r="AD11" s="20">
        <v>3</v>
      </c>
      <c r="AE11" s="9">
        <f>Planning!V9</f>
        <v>129.5</v>
      </c>
      <c r="AF11" s="9">
        <v>2057</v>
      </c>
      <c r="AG11" s="8">
        <f t="shared" ca="1" si="2"/>
        <v>3.3717263382430938</v>
      </c>
      <c r="AH11" s="22">
        <f t="shared" ref="AH11:AH13" ca="1" si="45">(AD11+1+(LOG(I11)*4/3)+N11)*(Q11/7)^0.5</f>
        <v>5.8579369019815832</v>
      </c>
      <c r="AI11" s="22">
        <f t="shared" ref="AI11:AI13" ca="1" si="46">(AD11+1+N11+(LOG(I11)*4/3))*(IF(Q11=7, (Q11/7)^0.5, ((Q11+1)/7)^0.5))</f>
        <v>5.8579369019815832</v>
      </c>
      <c r="AJ11" s="22">
        <f t="shared" ref="AJ11:AJ13" ca="1" si="47">(Z11+N11+(LOG(I11)*4/3))</f>
        <v>5.8579369019815832</v>
      </c>
      <c r="AK11" s="68">
        <f t="shared" ref="AK11:AK13" ca="1" si="48">(Z11+N11+(LOG(I11)*4/3))*(Q11/7)^0.5</f>
        <v>5.8579369019815832</v>
      </c>
      <c r="AL11" s="68">
        <f t="shared" ref="AL11:AL13" ca="1" si="49">(Z11+N11+(LOG(I11)*4/3))*(IF(Q11=7, (Q11/7)^0.5, ((Q11+1)/7)^0.5))</f>
        <v>5.8579369019815832</v>
      </c>
      <c r="AM11" s="8">
        <f t="shared" ca="1" si="8"/>
        <v>6.0579369019815825</v>
      </c>
      <c r="AN11" s="8">
        <f t="shared" ca="1" si="9"/>
        <v>0.58863495215852668</v>
      </c>
      <c r="AO11" s="8">
        <f t="shared" ca="1" si="10"/>
        <v>0.71605558313871087</v>
      </c>
      <c r="AP11" s="71">
        <f t="shared" ref="AP11:AP13" si="50">IF(AR11=4,IF(AS11=0,0.137+0.0697,0.137+0.02),IF(AR11=3,IF(AS11=0,0.0958+0.0697,0.0958+0.02),IF(AR11=2,IF(AS11=0,0.0415+0.0697,0.0415+0.02),IF(AR11=1,IF(AS11=0,0.0294+0.0697,0.0294+0.02),IF(AR11=0,IF(AS11=0,0.0063+0.0697,0.0063+0.02))))))</f>
        <v>6.1499999999999999E-2</v>
      </c>
      <c r="AQ11" s="19">
        <v>1</v>
      </c>
      <c r="AR11" s="19">
        <v>2</v>
      </c>
      <c r="AS11" s="19">
        <v>3</v>
      </c>
      <c r="AT11" s="27">
        <v>115120</v>
      </c>
    </row>
    <row r="12" spans="1:46" x14ac:dyDescent="0.25">
      <c r="A12" s="15" t="s">
        <v>32</v>
      </c>
      <c r="B12" s="15" t="s">
        <v>369</v>
      </c>
      <c r="C12" s="69">
        <f t="shared" ca="1" si="11"/>
        <v>11.455357142857142</v>
      </c>
      <c r="D12" s="443" t="s">
        <v>247</v>
      </c>
      <c r="E12" s="1">
        <v>22</v>
      </c>
      <c r="F12" s="2">
        <f ca="1">$D$2-$D$1-1367</f>
        <v>61</v>
      </c>
      <c r="G12" s="3" t="s">
        <v>44</v>
      </c>
      <c r="H12" s="4">
        <v>3</v>
      </c>
      <c r="I12" s="5">
        <v>4.5</v>
      </c>
      <c r="J12" s="21">
        <f t="shared" si="37"/>
        <v>0.87095001836712493</v>
      </c>
      <c r="K12" s="6">
        <f t="shared" si="38"/>
        <v>40.5</v>
      </c>
      <c r="L12" s="6">
        <f t="shared" si="39"/>
        <v>72</v>
      </c>
      <c r="M12" s="72">
        <v>43122</v>
      </c>
      <c r="N12" s="73">
        <f t="shared" ca="1" si="40"/>
        <v>1</v>
      </c>
      <c r="O12" s="24">
        <v>6</v>
      </c>
      <c r="P12" s="19">
        <f t="shared" si="41"/>
        <v>79</v>
      </c>
      <c r="Q12" s="25">
        <v>5</v>
      </c>
      <c r="R12" s="63">
        <f t="shared" si="42"/>
        <v>0.84515425472851657</v>
      </c>
      <c r="S12" s="63">
        <f t="shared" si="43"/>
        <v>0.92504826128926143</v>
      </c>
      <c r="T12" s="27">
        <v>108750</v>
      </c>
      <c r="U12" s="27">
        <f t="shared" si="1"/>
        <v>-3190</v>
      </c>
      <c r="V12" s="7">
        <v>9290</v>
      </c>
      <c r="W12" s="8">
        <f t="shared" si="44"/>
        <v>11.706135629709365</v>
      </c>
      <c r="X12" s="20">
        <v>0</v>
      </c>
      <c r="Y12" s="21">
        <f>11+5/9</f>
        <v>11.555555555555555</v>
      </c>
      <c r="Z12" s="20">
        <v>3</v>
      </c>
      <c r="AA12" s="21">
        <v>13</v>
      </c>
      <c r="AB12" s="20">
        <f>7+1/4</f>
        <v>7.25</v>
      </c>
      <c r="AC12" s="21">
        <f>4.25+0.25+0.25+0.25+0.25+0.25+0.25+0.25+0.25+0.25+0.25+0.25</f>
        <v>7</v>
      </c>
      <c r="AD12" s="20">
        <v>3</v>
      </c>
      <c r="AE12" s="9">
        <f>Planning!V14</f>
        <v>125.5</v>
      </c>
      <c r="AF12" s="9">
        <v>2156</v>
      </c>
      <c r="AG12" s="8">
        <f t="shared" ca="1" si="2"/>
        <v>3.3455859677893915</v>
      </c>
      <c r="AH12" s="22">
        <f t="shared" ca="1" si="45"/>
        <v>4.9618583873214384</v>
      </c>
      <c r="AI12" s="22">
        <f t="shared" ca="1" si="46"/>
        <v>5.4354435317643146</v>
      </c>
      <c r="AJ12" s="22">
        <f t="shared" ca="1" si="47"/>
        <v>4.8709500183671253</v>
      </c>
      <c r="AK12" s="68">
        <f t="shared" ca="1" si="48"/>
        <v>4.1167041325929219</v>
      </c>
      <c r="AL12" s="68">
        <f t="shared" ca="1" si="49"/>
        <v>4.5096234319917627</v>
      </c>
      <c r="AM12" s="8">
        <f t="shared" ca="1" si="8"/>
        <v>6.0709500183671246</v>
      </c>
      <c r="AN12" s="8">
        <f t="shared" ca="1" si="9"/>
        <v>0.58967600146937005</v>
      </c>
      <c r="AO12" s="8">
        <f t="shared" ca="1" si="10"/>
        <v>0.68318872350792104</v>
      </c>
      <c r="AP12" s="71">
        <f t="shared" si="50"/>
        <v>2.63E-2</v>
      </c>
      <c r="AQ12" s="19">
        <v>2</v>
      </c>
      <c r="AR12" s="19">
        <v>0</v>
      </c>
      <c r="AS12" s="19">
        <v>2</v>
      </c>
      <c r="AT12" s="27">
        <v>111940</v>
      </c>
    </row>
    <row r="13" spans="1:46" x14ac:dyDescent="0.25">
      <c r="A13" s="15" t="s">
        <v>40</v>
      </c>
      <c r="B13" s="15" t="s">
        <v>369</v>
      </c>
      <c r="C13" s="69">
        <f t="shared" ca="1" si="11"/>
        <v>11.107142857142858</v>
      </c>
      <c r="D13" s="443" t="s">
        <v>194</v>
      </c>
      <c r="E13" s="16">
        <v>22</v>
      </c>
      <c r="F13" s="2">
        <f ca="1">$D$2-$D$1-880-112-112-112-112</f>
        <v>100</v>
      </c>
      <c r="G13" s="17" t="s">
        <v>192</v>
      </c>
      <c r="H13" s="35">
        <v>6</v>
      </c>
      <c r="I13" s="26">
        <v>4.4000000000000004</v>
      </c>
      <c r="J13" s="21">
        <f t="shared" si="37"/>
        <v>0.85793690198158323</v>
      </c>
      <c r="K13" s="6">
        <f t="shared" si="38"/>
        <v>158.4</v>
      </c>
      <c r="L13" s="6">
        <f t="shared" si="39"/>
        <v>215.60000000000002</v>
      </c>
      <c r="M13" s="72">
        <v>43051</v>
      </c>
      <c r="N13" s="73">
        <f t="shared" ca="1" si="40"/>
        <v>1</v>
      </c>
      <c r="O13" s="18">
        <v>6</v>
      </c>
      <c r="P13" s="19">
        <f t="shared" si="41"/>
        <v>79</v>
      </c>
      <c r="Q13" s="25">
        <v>5</v>
      </c>
      <c r="R13" s="63">
        <f t="shared" si="42"/>
        <v>0.84515425472851657</v>
      </c>
      <c r="S13" s="63">
        <f t="shared" si="43"/>
        <v>0.92504826128926143</v>
      </c>
      <c r="T13" s="27">
        <v>78270</v>
      </c>
      <c r="U13" s="27">
        <f t="shared" si="1"/>
        <v>2230</v>
      </c>
      <c r="V13" s="27">
        <v>5690</v>
      </c>
      <c r="W13" s="8">
        <f t="shared" si="44"/>
        <v>13.755711775043936</v>
      </c>
      <c r="X13" s="20">
        <v>0</v>
      </c>
      <c r="Y13" s="21">
        <f>11+2/9</f>
        <v>11.222222222222221</v>
      </c>
      <c r="Z13" s="20">
        <v>3</v>
      </c>
      <c r="AA13" s="21">
        <v>12</v>
      </c>
      <c r="AB13" s="20">
        <f>5.4+0.2+0.2+0.2+0.2</f>
        <v>6.2000000000000011</v>
      </c>
      <c r="AC13" s="21">
        <f>3.34+0.34+0.33+0.33+0.33+0.33+0.33+0.33+0.33+0.26+0.25+0.25+0.25+0.25</f>
        <v>7.25</v>
      </c>
      <c r="AD13" s="20">
        <v>3</v>
      </c>
      <c r="AE13" s="9">
        <f>Planning!V10</f>
        <v>112.5</v>
      </c>
      <c r="AF13" s="9">
        <v>1977</v>
      </c>
      <c r="AG13" s="8">
        <f t="shared" ca="1" si="2"/>
        <v>3.0843939313042732</v>
      </c>
      <c r="AH13" s="22">
        <f t="shared" ca="1" si="45"/>
        <v>4.9508602966409203</v>
      </c>
      <c r="AI13" s="22">
        <f t="shared" ca="1" si="46"/>
        <v>5.4233957270538999</v>
      </c>
      <c r="AJ13" s="22">
        <f t="shared" ca="1" si="47"/>
        <v>4.8579369019815832</v>
      </c>
      <c r="AK13" s="68">
        <f t="shared" ca="1" si="48"/>
        <v>4.1057060419124038</v>
      </c>
      <c r="AL13" s="68">
        <f t="shared" ca="1" si="49"/>
        <v>4.497575627281349</v>
      </c>
      <c r="AM13" s="8">
        <f t="shared" ca="1" si="8"/>
        <v>6.1329369019815836</v>
      </c>
      <c r="AN13" s="8">
        <f t="shared" ca="1" si="9"/>
        <v>0.60113495215852664</v>
      </c>
      <c r="AO13" s="8">
        <f t="shared" ca="1" si="10"/>
        <v>0.66894447202759966</v>
      </c>
      <c r="AP13" s="71">
        <f t="shared" si="50"/>
        <v>6.1499999999999999E-2</v>
      </c>
      <c r="AQ13" s="19">
        <v>2</v>
      </c>
      <c r="AR13" s="19">
        <v>2</v>
      </c>
      <c r="AS13" s="19">
        <v>1</v>
      </c>
      <c r="AT13" s="27">
        <v>76040</v>
      </c>
    </row>
    <row r="14" spans="1:46" x14ac:dyDescent="0.25">
      <c r="A14" s="15" t="s">
        <v>30</v>
      </c>
      <c r="B14" s="15" t="s">
        <v>369</v>
      </c>
      <c r="C14" s="69">
        <f t="shared" ca="1" si="11"/>
        <v>11.142857142857142</v>
      </c>
      <c r="D14" s="443" t="s">
        <v>190</v>
      </c>
      <c r="E14" s="16">
        <v>22</v>
      </c>
      <c r="F14" s="2">
        <f ca="1">$D$2-$D$1-880-4-112-112-112-112</f>
        <v>96</v>
      </c>
      <c r="G14" s="17" t="s">
        <v>44</v>
      </c>
      <c r="H14" s="4">
        <v>1</v>
      </c>
      <c r="I14" s="26">
        <v>5</v>
      </c>
      <c r="J14" s="21">
        <f>LOG(I14)*4/3</f>
        <v>0.93196000578135851</v>
      </c>
      <c r="K14" s="6">
        <f>(H14)*(H14)*(I14)</f>
        <v>5</v>
      </c>
      <c r="L14" s="6">
        <f>(H14+1)*(H14+1)*I14</f>
        <v>20</v>
      </c>
      <c r="M14" s="72">
        <v>43046</v>
      </c>
      <c r="N14" s="73">
        <v>1.5</v>
      </c>
      <c r="O14" s="18">
        <v>6.1</v>
      </c>
      <c r="P14" s="19">
        <f>O14*10+19</f>
        <v>80</v>
      </c>
      <c r="Q14" s="19">
        <v>6</v>
      </c>
      <c r="R14" s="63">
        <f>(Q14/7)^0.5</f>
        <v>0.92582009977255142</v>
      </c>
      <c r="S14" s="63">
        <f>IF(Q14=7,1,((Q14+0.99)/7)^0.5)</f>
        <v>0.99928545900129484</v>
      </c>
      <c r="T14" s="27">
        <v>124880</v>
      </c>
      <c r="U14" s="27">
        <f t="shared" si="1"/>
        <v>10610</v>
      </c>
      <c r="V14" s="27">
        <v>13450</v>
      </c>
      <c r="W14" s="8">
        <f>T14/V14</f>
        <v>9.2847583643122675</v>
      </c>
      <c r="X14" s="20">
        <v>0</v>
      </c>
      <c r="Y14" s="21">
        <f>9+6/7</f>
        <v>9.8571428571428577</v>
      </c>
      <c r="Z14" s="20">
        <v>5.7</v>
      </c>
      <c r="AA14" s="21">
        <f>12+0.2+0.2+0.2+0.2+0.2+(7/7)+(1/8)</f>
        <v>14.124999999999996</v>
      </c>
      <c r="AB14" s="20">
        <f>6+1/5</f>
        <v>6.2</v>
      </c>
      <c r="AC14" s="21">
        <f>4.25+0.34+0.33+0.33+0.25+0.25+0.25+0.25+0.25+0.25+0.25+0.25+0.25</f>
        <v>7.5</v>
      </c>
      <c r="AD14" s="20">
        <v>5</v>
      </c>
      <c r="AE14" s="9">
        <f>Planning!V13</f>
        <v>126</v>
      </c>
      <c r="AF14" s="9">
        <v>2078</v>
      </c>
      <c r="AG14" s="8">
        <f t="shared" si="2"/>
        <v>3.4200978232797485</v>
      </c>
      <c r="AH14" s="22">
        <f>(AD14+1+(LOG(I14)*4/3)+N14)*(Q14/7)^0.5</f>
        <v>7.8064780538306611</v>
      </c>
      <c r="AI14" s="22">
        <f>(AD14+1+N14+(LOG(I14)*4/3))*(IF(Q14=7, (Q14/7)^0.5, ((Q14+1)/7)^0.5))</f>
        <v>8.4319600057813577</v>
      </c>
      <c r="AJ14" s="22">
        <f>(Z14+N14+(LOG(I14)*4/3))</f>
        <v>8.1319600057813588</v>
      </c>
      <c r="AK14" s="68">
        <f>(Z14+N14+(LOG(I14)*4/3))*(Q14/7)^0.5</f>
        <v>7.5287320238988951</v>
      </c>
      <c r="AL14" s="68">
        <f>(Z14+N14+(LOG(I14)*4/3))*(IF(Q14=7, (Q14/7)^0.5, ((Q14+1)/7)^0.5))</f>
        <v>8.1319600057813588</v>
      </c>
      <c r="AM14" s="8">
        <f t="shared" si="8"/>
        <v>8.1819600057813577</v>
      </c>
      <c r="AN14" s="8">
        <f t="shared" si="9"/>
        <v>0.71955680046250858</v>
      </c>
      <c r="AO14" s="8">
        <f t="shared" si="10"/>
        <v>0.71452291469040952</v>
      </c>
      <c r="AP14" s="71">
        <f>IF(AR14=4,IF(AS14=0,0.137+0.0697,0.137+0.02),IF(AR14=3,IF(AS14=0,0.0958+0.0697,0.0958+0.02),IF(AR14=2,IF(AS14=0,0.0415+0.0697,0.0415+0.02),IF(AR14=1,IF(AS14=0,0.0294+0.0697,0.0294+0.02),IF(AR14=0,IF(AS14=0,0.0063+0.0697,0.0063+0.02))))))</f>
        <v>0.1158</v>
      </c>
      <c r="AQ14" s="19">
        <v>4</v>
      </c>
      <c r="AR14" s="19">
        <v>3</v>
      </c>
      <c r="AS14" s="19">
        <v>2</v>
      </c>
      <c r="AT14" s="27">
        <v>114270</v>
      </c>
    </row>
    <row r="15" spans="1:46" x14ac:dyDescent="0.25">
      <c r="A15" s="15" t="s">
        <v>35</v>
      </c>
      <c r="B15" s="15" t="s">
        <v>369</v>
      </c>
      <c r="C15" s="69">
        <f t="shared" ca="1" si="11"/>
        <v>11.142857142857142</v>
      </c>
      <c r="D15" s="443" t="s">
        <v>245</v>
      </c>
      <c r="E15" s="16">
        <v>22</v>
      </c>
      <c r="F15" s="2">
        <f ca="1">$D$2-$D$1-880-4-112-112-112-112</f>
        <v>96</v>
      </c>
      <c r="G15" s="17" t="s">
        <v>192</v>
      </c>
      <c r="H15" s="35">
        <v>6</v>
      </c>
      <c r="I15" s="26">
        <v>4.3</v>
      </c>
      <c r="J15" s="21">
        <f>LOG(I15)*4/3</f>
        <v>0.84462460743944867</v>
      </c>
      <c r="K15" s="6">
        <f>(H15)*(H15)*(I15)</f>
        <v>154.79999999999998</v>
      </c>
      <c r="L15" s="6">
        <f>(H15+1)*(H15+1)*I15</f>
        <v>210.7</v>
      </c>
      <c r="M15" s="72">
        <v>43054</v>
      </c>
      <c r="N15" s="73">
        <f ca="1">IF((TODAY()-M15)&gt;335,1,((TODAY()-M15)^0.64)/(336^0.64))</f>
        <v>1</v>
      </c>
      <c r="O15" s="18">
        <v>6.1</v>
      </c>
      <c r="P15" s="19">
        <f>O15*10+19</f>
        <v>80</v>
      </c>
      <c r="Q15" s="25">
        <v>6</v>
      </c>
      <c r="R15" s="63">
        <f>(Q15/7)^0.5</f>
        <v>0.92582009977255142</v>
      </c>
      <c r="S15" s="63">
        <f>IF(Q15=7,1,((Q15+0.99)/7)^0.5)</f>
        <v>0.99928545900129484</v>
      </c>
      <c r="T15" s="27">
        <v>95200</v>
      </c>
      <c r="U15" s="27">
        <f t="shared" si="1"/>
        <v>14960</v>
      </c>
      <c r="V15" s="27">
        <v>9050</v>
      </c>
      <c r="W15" s="8">
        <f>T15/V15</f>
        <v>10.519337016574585</v>
      </c>
      <c r="X15" s="20">
        <v>0</v>
      </c>
      <c r="Y15" s="21">
        <f>10+2/8</f>
        <v>10.25</v>
      </c>
      <c r="Z15" s="20">
        <v>5</v>
      </c>
      <c r="AA15" s="21">
        <f>13+1.33/7</f>
        <v>13.19</v>
      </c>
      <c r="AB15" s="20">
        <f>5+1/4</f>
        <v>5.25</v>
      </c>
      <c r="AC15" s="21">
        <f>4.28+0.34+0.33+0.33+0.33*85/90+0.33+0.33+0.25+0.25+0.25+0.2+0.2+0.2+0.2</f>
        <v>7.8016666666666676</v>
      </c>
      <c r="AD15" s="20">
        <v>3</v>
      </c>
      <c r="AE15" s="9">
        <f>Planning!V15</f>
        <v>115.88</v>
      </c>
      <c r="AF15" s="9">
        <v>1986</v>
      </c>
      <c r="AG15" s="8">
        <f t="shared" ca="1" si="2"/>
        <v>3.0417673355734909</v>
      </c>
      <c r="AH15" s="22">
        <f ca="1">(AD15+1+(LOG(I15)*4/3)+N15)*(Q15/7)^0.5</f>
        <v>5.411070937192699</v>
      </c>
      <c r="AI15" s="22">
        <f ca="1">(AD15+1+N15+(LOG(I15)*4/3))*(IF(Q15=7, (Q15/7)^0.5, ((Q15+1)/7)^0.5))</f>
        <v>5.8446246074394486</v>
      </c>
      <c r="AJ15" s="22">
        <f ca="1">(Z15+N15+(LOG(I15)*4/3))</f>
        <v>6.8446246074394486</v>
      </c>
      <c r="AK15" s="68">
        <f ca="1">(Z15+N15+(LOG(I15)*4/3))*(Q15/7)^0.5</f>
        <v>6.3368910369652509</v>
      </c>
      <c r="AL15" s="68">
        <f ca="1">(Z15+N15+(LOG(I15)*4/3))*(IF(Q15=7, (Q15/7)^0.5, ((Q15+1)/7)^0.5))</f>
        <v>6.8446246074394486</v>
      </c>
      <c r="AM15" s="8">
        <f t="shared" ca="1" si="8"/>
        <v>6.2851246074394487</v>
      </c>
      <c r="AN15" s="8">
        <f t="shared" ca="1" si="9"/>
        <v>0.62765330192848934</v>
      </c>
      <c r="AO15" s="8">
        <f t="shared" ca="1" si="10"/>
        <v>0.62912372252076154</v>
      </c>
      <c r="AP15" s="71">
        <f>IF(AR15=4,IF(AS15=0,0.137+0.0697,0.137+0.02),IF(AR15=3,IF(AS15=0,0.0958+0.0697,0.0958+0.02),IF(AR15=2,IF(AS15=0,0.0415+0.0697,0.0415+0.02),IF(AR15=1,IF(AS15=0,0.0294+0.0697,0.0294+0.02),IF(AR15=0,IF(AS15=0,0.0063+0.0697,0.0063+0.02))))))</f>
        <v>6.1499999999999999E-2</v>
      </c>
      <c r="AQ15" s="19">
        <v>2</v>
      </c>
      <c r="AR15" s="19">
        <v>2</v>
      </c>
      <c r="AS15" s="19">
        <v>1</v>
      </c>
      <c r="AT15" s="27">
        <v>80240</v>
      </c>
    </row>
    <row r="16" spans="1:46" x14ac:dyDescent="0.25">
      <c r="A16" s="15" t="s">
        <v>39</v>
      </c>
      <c r="B16" s="15" t="s">
        <v>75</v>
      </c>
      <c r="C16" s="69">
        <f t="shared" ca="1" si="11"/>
        <v>3.4196428571428572</v>
      </c>
      <c r="D16" s="449" t="s">
        <v>367</v>
      </c>
      <c r="E16" s="16">
        <v>30</v>
      </c>
      <c r="F16" s="2">
        <f ca="1">$D$2-$D$1-880+25-112-112-60-112-112</f>
        <v>65</v>
      </c>
      <c r="G16" s="17" t="s">
        <v>101</v>
      </c>
      <c r="H16" s="4">
        <v>1</v>
      </c>
      <c r="I16" s="26">
        <v>7.3</v>
      </c>
      <c r="J16" s="21">
        <f t="shared" ref="J16:J21" si="51">LOG(I16)*4/3</f>
        <v>1.1510971468272746</v>
      </c>
      <c r="K16" s="6">
        <f t="shared" ref="K16:K17" si="52">(H16)*(H16)*(I16)</f>
        <v>7.3</v>
      </c>
      <c r="L16" s="6">
        <f t="shared" ref="L16:L17" si="53">(H16+1)*(H16+1)*I16</f>
        <v>29.2</v>
      </c>
      <c r="M16" s="72">
        <v>43591</v>
      </c>
      <c r="N16" s="73">
        <f t="shared" ca="1" si="40"/>
        <v>0.47501137955544109</v>
      </c>
      <c r="O16" s="18">
        <v>5.5</v>
      </c>
      <c r="P16" s="19">
        <f t="shared" ref="P16:P21" si="54">O16*10+19</f>
        <v>74</v>
      </c>
      <c r="Q16" s="25">
        <v>6</v>
      </c>
      <c r="R16" s="63">
        <f t="shared" ref="R16:R21" si="55">(Q16/7)^0.5</f>
        <v>0.92582009977255142</v>
      </c>
      <c r="S16" s="63">
        <f t="shared" ref="S16:S21" si="56">IF(Q16=7,1,((Q16+0.99)/7)^0.5)</f>
        <v>0.99928545900129484</v>
      </c>
      <c r="T16" s="27">
        <v>70640</v>
      </c>
      <c r="U16" s="27">
        <f t="shared" si="1"/>
        <v>-3400</v>
      </c>
      <c r="V16" s="27">
        <v>17100</v>
      </c>
      <c r="W16" s="8">
        <f t="shared" ref="W16:W21" si="57">T16/V16</f>
        <v>4.1309941520467834</v>
      </c>
      <c r="X16" s="20">
        <v>0</v>
      </c>
      <c r="Y16" s="21">
        <f>9+1/9</f>
        <v>9.1111111111111107</v>
      </c>
      <c r="Z16" s="20">
        <v>13</v>
      </c>
      <c r="AA16" s="21">
        <v>6</v>
      </c>
      <c r="AB16" s="20">
        <f>7+1/7</f>
        <v>7.1428571428571432</v>
      </c>
      <c r="AC16" s="21">
        <v>7</v>
      </c>
      <c r="AD16" s="20">
        <v>17</v>
      </c>
      <c r="AE16" s="9">
        <f>30+58+8.5+14+16+25+1</f>
        <v>152.5</v>
      </c>
      <c r="AF16" s="9"/>
      <c r="AG16" s="8">
        <f t="shared" ca="1" si="2"/>
        <v>3.2722128872074729</v>
      </c>
      <c r="AH16" s="22">
        <f t="shared" ref="AH16:AH17" ca="1" si="58">(AD16+1+(LOG(I16)*4/3)+N16)*(Q16/7)^0.5</f>
        <v>18.170245754042568</v>
      </c>
      <c r="AI16" s="22">
        <f t="shared" ref="AI16:AI17" ca="1" si="59">(AD16+1+N16+(LOG(I16)*4/3))*(IF(Q16=7, (Q16/7)^0.5, ((Q16+1)/7)^0.5))</f>
        <v>19.626108526382716</v>
      </c>
      <c r="AJ16" s="22">
        <f t="shared" ref="AJ16:AJ17" ca="1" si="60">(Z16+N16+(LOG(I16)*4/3))</f>
        <v>14.626108526382716</v>
      </c>
      <c r="AK16" s="68">
        <f t="shared" ref="AK16:AK17" ca="1" si="61">(Z16+N16+(LOG(I16)*4/3))*(Q16/7)^0.5</f>
        <v>13.54114525517981</v>
      </c>
      <c r="AL16" s="68">
        <f t="shared" ref="AL16:AL17" ca="1" si="62">(Z16+N16+(LOG(I16)*4/3))*(IF(Q16=7, (Q16/7)^0.5, ((Q16+1)/7)^0.5))</f>
        <v>14.626108526382716</v>
      </c>
      <c r="AM16" s="8">
        <f t="shared" ca="1" si="8"/>
        <v>15.626108526382716</v>
      </c>
      <c r="AN16" s="8">
        <f t="shared" ca="1" si="9"/>
        <v>0.99008868211061729</v>
      </c>
      <c r="AO16" s="8">
        <f t="shared" ca="1" si="10"/>
        <v>0.98827204129123447</v>
      </c>
      <c r="AP16" s="71">
        <f t="shared" ref="AP16:AP17" si="63">IF(AR16=4,IF(AS16=0,0.137+0.0697,0.137+0.02),IF(AR16=3,IF(AS16=0,0.0958+0.0697,0.0958+0.02),IF(AR16=2,IF(AS16=0,0.0415+0.0697,0.0415+0.02),IF(AR16=1,IF(AS16=0,0.0294+0.0697,0.0294+0.02),IF(AR16=0,IF(AS16=0,0.0063+0.0697,0.0063+0.02))))))</f>
        <v>6.1499999999999999E-2</v>
      </c>
      <c r="AQ16" s="19">
        <v>1</v>
      </c>
      <c r="AR16" s="19">
        <v>2</v>
      </c>
      <c r="AS16" s="19">
        <v>2</v>
      </c>
      <c r="AT16" s="27">
        <v>74040</v>
      </c>
    </row>
    <row r="17" spans="1:46" x14ac:dyDescent="0.25">
      <c r="A17" s="15" t="s">
        <v>239</v>
      </c>
      <c r="B17" s="23" t="s">
        <v>75</v>
      </c>
      <c r="C17" s="69">
        <f t="shared" ca="1" si="11"/>
        <v>2.375</v>
      </c>
      <c r="D17" s="449" t="s">
        <v>354</v>
      </c>
      <c r="E17" s="1">
        <v>31</v>
      </c>
      <c r="F17" s="2">
        <f ca="1">$D$2-$D$1-880+25-112-112-55-112-112</f>
        <v>70</v>
      </c>
      <c r="G17" s="3" t="s">
        <v>192</v>
      </c>
      <c r="H17" s="107">
        <v>5</v>
      </c>
      <c r="I17" s="5">
        <v>5</v>
      </c>
      <c r="J17" s="21">
        <f t="shared" si="51"/>
        <v>0.93196000578135851</v>
      </c>
      <c r="K17" s="6">
        <f t="shared" si="52"/>
        <v>125</v>
      </c>
      <c r="L17" s="6">
        <f t="shared" si="53"/>
        <v>180</v>
      </c>
      <c r="M17" s="72">
        <v>43415</v>
      </c>
      <c r="N17" s="73">
        <f t="shared" ca="1" si="40"/>
        <v>0.89189741911905607</v>
      </c>
      <c r="O17" s="24">
        <v>5.4</v>
      </c>
      <c r="P17" s="19">
        <f t="shared" si="54"/>
        <v>73</v>
      </c>
      <c r="Q17" s="25">
        <v>6</v>
      </c>
      <c r="R17" s="63">
        <f t="shared" si="55"/>
        <v>0.92582009977255142</v>
      </c>
      <c r="S17" s="63">
        <f t="shared" si="56"/>
        <v>0.99928545900129484</v>
      </c>
      <c r="T17" s="27">
        <v>12090</v>
      </c>
      <c r="U17" s="27">
        <f t="shared" si="1"/>
        <v>-300</v>
      </c>
      <c r="V17" s="7">
        <v>5892</v>
      </c>
      <c r="W17" s="8">
        <f t="shared" si="57"/>
        <v>2.0519348268839104</v>
      </c>
      <c r="X17" s="20">
        <v>0</v>
      </c>
      <c r="Y17" s="21">
        <v>6</v>
      </c>
      <c r="Z17" s="20">
        <v>11</v>
      </c>
      <c r="AA17" s="21">
        <v>2</v>
      </c>
      <c r="AB17" s="20">
        <f>4+1/24</f>
        <v>4.041666666666667</v>
      </c>
      <c r="AC17" s="21">
        <v>5</v>
      </c>
      <c r="AD17" s="20">
        <v>12</v>
      </c>
      <c r="AE17" s="9">
        <f>14+40+4+8+12</f>
        <v>78</v>
      </c>
      <c r="AF17" s="9"/>
      <c r="AG17" s="8">
        <f t="shared" ca="1" si="2"/>
        <v>2.2630405826341748</v>
      </c>
      <c r="AH17" s="22">
        <f t="shared" ca="1" si="58"/>
        <v>13.724225160135378</v>
      </c>
      <c r="AI17" s="22">
        <f t="shared" ca="1" si="59"/>
        <v>14.823857424900414</v>
      </c>
      <c r="AJ17" s="22">
        <f t="shared" ca="1" si="60"/>
        <v>12.823857424900414</v>
      </c>
      <c r="AK17" s="68">
        <f t="shared" ca="1" si="61"/>
        <v>11.872584960590276</v>
      </c>
      <c r="AL17" s="68">
        <f t="shared" ca="1" si="62"/>
        <v>12.823857424900414</v>
      </c>
      <c r="AM17" s="8">
        <f t="shared" ca="1" si="8"/>
        <v>11.723857424900414</v>
      </c>
      <c r="AN17" s="8">
        <f t="shared" ca="1" si="9"/>
        <v>0.75590859399203314</v>
      </c>
      <c r="AO17" s="8">
        <f t="shared" ca="1" si="10"/>
        <v>0.72767001974302903</v>
      </c>
      <c r="AP17" s="71">
        <f t="shared" si="63"/>
        <v>4.9399999999999999E-2</v>
      </c>
      <c r="AQ17" s="19">
        <v>2</v>
      </c>
      <c r="AR17" s="19">
        <v>1</v>
      </c>
      <c r="AS17" s="19">
        <v>1</v>
      </c>
      <c r="AT17" s="27">
        <v>12390</v>
      </c>
    </row>
    <row r="18" spans="1:46" x14ac:dyDescent="0.25">
      <c r="A18" s="15" t="s">
        <v>189</v>
      </c>
      <c r="B18" s="15" t="s">
        <v>75</v>
      </c>
      <c r="C18" s="69">
        <f t="shared" ca="1" si="11"/>
        <v>10.776785714285714</v>
      </c>
      <c r="D18" s="121" t="s">
        <v>191</v>
      </c>
      <c r="E18" s="16">
        <v>23</v>
      </c>
      <c r="F18" s="2">
        <f ca="1">$D$2-$D$1-880+37-112-112-112-112-112</f>
        <v>25</v>
      </c>
      <c r="G18" s="17" t="s">
        <v>192</v>
      </c>
      <c r="H18" s="4">
        <v>3</v>
      </c>
      <c r="I18" s="26">
        <v>2.5</v>
      </c>
      <c r="J18" s="21">
        <f>LOG(I18)*4/3</f>
        <v>0.53058667822938343</v>
      </c>
      <c r="K18" s="6">
        <f>(H18)*(H18)*(I18)</f>
        <v>22.5</v>
      </c>
      <c r="L18" s="6">
        <f>(H18+1)*(H18+1)*I18</f>
        <v>40</v>
      </c>
      <c r="M18" s="72">
        <v>43045</v>
      </c>
      <c r="N18" s="73">
        <f ca="1">IF((TODAY()-M18)&gt;335,1,((TODAY()-M18)^0.64)/(336^0.64))</f>
        <v>1</v>
      </c>
      <c r="O18" s="18">
        <v>5.0999999999999996</v>
      </c>
      <c r="P18" s="19">
        <f>O18*10+19</f>
        <v>70</v>
      </c>
      <c r="Q18" s="19">
        <v>4</v>
      </c>
      <c r="R18" s="63">
        <f>(Q18/7)^0.5</f>
        <v>0.7559289460184544</v>
      </c>
      <c r="S18" s="63">
        <f>IF(Q18=7,1,((Q18+0.99)/7)^0.5)</f>
        <v>0.84430867747355465</v>
      </c>
      <c r="T18" s="27">
        <v>3600</v>
      </c>
      <c r="U18" s="27">
        <f t="shared" si="1"/>
        <v>-630</v>
      </c>
      <c r="V18" s="27">
        <v>450</v>
      </c>
      <c r="W18" s="8">
        <f>T18/V18</f>
        <v>8</v>
      </c>
      <c r="X18" s="20">
        <v>0</v>
      </c>
      <c r="Y18" s="21">
        <v>4.3</v>
      </c>
      <c r="Z18" s="20">
        <v>6</v>
      </c>
      <c r="AA18" s="21">
        <v>6</v>
      </c>
      <c r="AB18" s="20">
        <f>3.25+0.25+0.25+0.25+0.25+1/16+0.1</f>
        <v>4.4124999999999996</v>
      </c>
      <c r="AC18" s="21">
        <f>4.22+0.33+0.33+1/17+1/17+1/17*79/90+0.33*11/90+1/17+1/17+1/17+1/17+1/17+1/17+1/17+1/17+1/17</f>
        <v>5.6190261437908475</v>
      </c>
      <c r="AD18" s="20">
        <v>3</v>
      </c>
      <c r="AE18" s="9">
        <f>6+12+8.5+6+9+1+1+1</f>
        <v>44.5</v>
      </c>
      <c r="AF18" s="9"/>
      <c r="AG18" s="8">
        <f t="shared" ca="1" si="2"/>
        <v>1.6740764674854611</v>
      </c>
      <c r="AH18" s="22">
        <f ca="1">(AD18+1+(LOG(I18)*4/3)+N18)*(Q18/7)^0.5</f>
        <v>4.1807305585376424</v>
      </c>
      <c r="AI18" s="22">
        <f ca="1">(AD18+1+N18+(LOG(I18)*4/3))*(IF(Q18=7, (Q18/7)^0.5, ((Q18+1)/7)^0.5))</f>
        <v>4.6741988622504165</v>
      </c>
      <c r="AJ18" s="22">
        <f ca="1">(Z18+N18+(LOG(I18)*4/3))</f>
        <v>7.5305866782293833</v>
      </c>
      <c r="AK18" s="68">
        <f ca="1">(Z18+N18+(LOG(I18)*4/3))*(Q18/7)^0.5</f>
        <v>5.6925884505745517</v>
      </c>
      <c r="AL18" s="68">
        <f ca="1">(Z18+N18+(LOG(I18)*4/3))*(IF(Q18=7, (Q18/7)^0.5, ((Q18+1)/7)^0.5))</f>
        <v>6.3645073717074494</v>
      </c>
      <c r="AM18" s="8">
        <f t="shared" ca="1" si="8"/>
        <v>5.3162945213666379</v>
      </c>
      <c r="AN18" s="8">
        <f t="shared" ca="1" si="9"/>
        <v>0.49339824144789307</v>
      </c>
      <c r="AO18" s="8">
        <f t="shared" ca="1" si="10"/>
        <v>0.36914106747605685</v>
      </c>
      <c r="AP18" s="71">
        <f>IF(AR18=4,IF(AS18=0,0.137+0.0697,0.137+0.02),IF(AR18=3,IF(AS18=0,0.0958+0.0697,0.0958+0.02),IF(AR18=2,IF(AS18=0,0.0415+0.0697,0.0415+0.02),IF(AR18=1,IF(AS18=0,0.0294+0.0697,0.0294+0.02),IF(AR18=0,IF(AS18=0,0.0063+0.0697,0.0063+0.02))))))</f>
        <v>0.1158</v>
      </c>
      <c r="AQ18" s="19">
        <v>2</v>
      </c>
      <c r="AR18" s="19">
        <v>3</v>
      </c>
      <c r="AS18" s="19">
        <v>2</v>
      </c>
      <c r="AT18" s="27">
        <v>4230</v>
      </c>
    </row>
    <row r="19" spans="1:46" x14ac:dyDescent="0.25">
      <c r="A19" s="15" t="s">
        <v>339</v>
      </c>
      <c r="B19" s="15" t="s">
        <v>43</v>
      </c>
      <c r="C19" s="69">
        <f t="shared" ca="1" si="11"/>
        <v>4.4732142857142856</v>
      </c>
      <c r="D19" s="449" t="s">
        <v>720</v>
      </c>
      <c r="E19" s="16">
        <v>29</v>
      </c>
      <c r="F19" s="2">
        <f ca="1">$D$2-$D$1-880-489</f>
        <v>59</v>
      </c>
      <c r="G19" s="17" t="s">
        <v>192</v>
      </c>
      <c r="H19" s="4">
        <v>2</v>
      </c>
      <c r="I19" s="26">
        <v>8.9</v>
      </c>
      <c r="J19" s="21">
        <f>LOG(I19)*4/3</f>
        <v>1.265853342193217</v>
      </c>
      <c r="K19" s="6">
        <f>(H19)*(H19)*(I19)</f>
        <v>35.6</v>
      </c>
      <c r="L19" s="6">
        <f>(H19+1)*(H19+1)*I19</f>
        <v>80.100000000000009</v>
      </c>
      <c r="M19" s="72">
        <v>43687</v>
      </c>
      <c r="N19" s="73">
        <f ca="1">IF((TODAY()-M19)&gt;335,1,((TODAY()-M19)^0.64)/(336^0.64))</f>
        <v>9.8595721295777455E-2</v>
      </c>
      <c r="O19" s="18">
        <v>5.3</v>
      </c>
      <c r="P19" s="19">
        <f>O19*10+19</f>
        <v>72</v>
      </c>
      <c r="Q19" s="25">
        <v>2</v>
      </c>
      <c r="R19" s="63">
        <f>(Q19/7)^0.5</f>
        <v>0.53452248382484879</v>
      </c>
      <c r="S19" s="63">
        <f>IF(Q19=7,1,((Q19+0.99)/7)^0.5)</f>
        <v>0.65356167049702141</v>
      </c>
      <c r="T19" s="27">
        <v>19910</v>
      </c>
      <c r="U19" s="27">
        <f t="shared" si="1"/>
        <v>0</v>
      </c>
      <c r="V19" s="27">
        <v>9648</v>
      </c>
      <c r="W19" s="8">
        <f>T19/V19</f>
        <v>2.0636401326699834</v>
      </c>
      <c r="X19" s="20">
        <v>0</v>
      </c>
      <c r="Y19" s="21">
        <v>1</v>
      </c>
      <c r="Z19" s="20">
        <v>6</v>
      </c>
      <c r="AA19" s="21">
        <v>3</v>
      </c>
      <c r="AB19" s="20">
        <v>7</v>
      </c>
      <c r="AC19" s="21">
        <v>12</v>
      </c>
      <c r="AD19" s="20">
        <v>0</v>
      </c>
      <c r="AE19" s="9">
        <f>49+14+12-1.5</f>
        <v>73.5</v>
      </c>
      <c r="AF19" s="9"/>
      <c r="AG19" s="8">
        <f t="shared" ca="1" si="2"/>
        <v>1.2757279205973264</v>
      </c>
      <c r="AH19" s="22">
        <f ca="1">(AD19+1+(LOG(I19)*4/3)+N19)*(Q19/7)^0.5</f>
        <v>1.2638511862934747</v>
      </c>
      <c r="AI19" s="22">
        <f ca="1">(AD19+1+N19+(LOG(I19)*4/3))*(IF(Q19=7, (Q19/7)^0.5, ((Q19+1)/7)^0.5))</f>
        <v>1.5478952586151091</v>
      </c>
      <c r="AJ19" s="22">
        <f ca="1">(Z19+N19+(LOG(I19)*4/3))</f>
        <v>7.3644490634889941</v>
      </c>
      <c r="AK19" s="68">
        <f ca="1">(Z19+N19+(LOG(I19)*4/3))*(Q19/7)^0.5</f>
        <v>3.9364636054177189</v>
      </c>
      <c r="AL19" s="68">
        <f ca="1">(Z19+N19+(LOG(I19)*4/3))*(IF(Q19=7, (Q19/7)^0.5, ((Q19+1)/7)^0.5))</f>
        <v>4.8211636121549946</v>
      </c>
      <c r="AM19" s="8">
        <f t="shared" ca="1" si="8"/>
        <v>4.9644490634889946</v>
      </c>
      <c r="AN19" s="8">
        <f t="shared" ca="1" si="9"/>
        <v>0.70915592507911962</v>
      </c>
      <c r="AO19" s="8">
        <f t="shared" ca="1" si="10"/>
        <v>0.13551143444422958</v>
      </c>
      <c r="AP19" s="71">
        <f>IF(AR19=4,IF(AS19=0,0.137+0.0697,0.137+0.02),IF(AR19=3,IF(AS19=0,0.0958+0.0697,0.0958+0.02),IF(AR19=2,IF(AS19=0,0.0415+0.0697,0.0415+0.02),IF(AR19=1,IF(AS19=0,0.0294+0.0697,0.0294+0.02),IF(AR19=0,IF(AS19=0,0.0063+0.0697,0.0063+0.02))))))</f>
        <v>4.9399999999999999E-2</v>
      </c>
      <c r="AQ19" s="19">
        <v>2</v>
      </c>
      <c r="AR19" s="19">
        <v>1</v>
      </c>
      <c r="AS19" s="19">
        <v>1</v>
      </c>
      <c r="AT19" s="27">
        <v>19910</v>
      </c>
    </row>
    <row r="20" spans="1:46" x14ac:dyDescent="0.25">
      <c r="A20" s="15" t="s">
        <v>346</v>
      </c>
      <c r="B20" s="15" t="s">
        <v>43</v>
      </c>
      <c r="C20" s="69">
        <f t="shared" ca="1" si="11"/>
        <v>2.1071428571428572</v>
      </c>
      <c r="D20" s="449" t="s">
        <v>355</v>
      </c>
      <c r="E20" s="16">
        <v>31</v>
      </c>
      <c r="F20" s="2">
        <f ca="1">$D$2-$D$1-880+56-112-112+41-112+15-112-112</f>
        <v>100</v>
      </c>
      <c r="G20" s="17" t="s">
        <v>192</v>
      </c>
      <c r="H20" s="4">
        <v>4</v>
      </c>
      <c r="I20" s="26">
        <v>6.4</v>
      </c>
      <c r="J20" s="21">
        <f>LOG(I20)*4/3</f>
        <v>1.0749066319785163</v>
      </c>
      <c r="K20" s="6">
        <f>(H20)*(H20)*(I20)</f>
        <v>102.4</v>
      </c>
      <c r="L20" s="6">
        <f>(H20+1)*(H20+1)*I20</f>
        <v>160</v>
      </c>
      <c r="M20" s="72">
        <v>43417</v>
      </c>
      <c r="N20" s="73">
        <f ca="1">IF((TODAY()-M20)&gt;335,1,((TODAY()-M20)^0.64)/(336^0.64))</f>
        <v>0.88782946175134669</v>
      </c>
      <c r="O20" s="18">
        <v>5.3</v>
      </c>
      <c r="P20" s="19">
        <f>O20*10+19</f>
        <v>72</v>
      </c>
      <c r="Q20" s="19">
        <v>6</v>
      </c>
      <c r="R20" s="63">
        <f>(Q20/7)^0.5</f>
        <v>0.92582009977255142</v>
      </c>
      <c r="S20" s="63">
        <f>IF(Q20=7,1,((Q20+0.99)/7)^0.5)</f>
        <v>0.99928545900129484</v>
      </c>
      <c r="T20" s="27">
        <v>12750</v>
      </c>
      <c r="U20" s="27">
        <f t="shared" si="1"/>
        <v>50</v>
      </c>
      <c r="V20" s="27">
        <v>1812</v>
      </c>
      <c r="W20" s="8">
        <f>T20/V20</f>
        <v>7.0364238410596025</v>
      </c>
      <c r="X20" s="20">
        <v>0</v>
      </c>
      <c r="Y20" s="21">
        <v>6</v>
      </c>
      <c r="Z20" s="20">
        <v>2</v>
      </c>
      <c r="AA20" s="21">
        <v>6</v>
      </c>
      <c r="AB20" s="20">
        <f>9+1/9</f>
        <v>9.1111111111111107</v>
      </c>
      <c r="AC20" s="21">
        <v>8.9499999999999993</v>
      </c>
      <c r="AD20" s="20">
        <v>13</v>
      </c>
      <c r="AE20" s="9">
        <f>14+8.5+23+27+14+1</f>
        <v>87.5</v>
      </c>
      <c r="AF20" s="9"/>
      <c r="AG20" s="8">
        <f t="shared" ca="1" si="2"/>
        <v>3.4846052216078998</v>
      </c>
      <c r="AH20" s="22">
        <f ca="1">(AD20+1+(LOG(I20)*4/3)+N20)*(Q20/7)^0.5</f>
        <v>14.778621922939889</v>
      </c>
      <c r="AI20" s="22">
        <f ca="1">(AD20+1+N20+(LOG(I20)*4/3))*(IF(Q20=7, (Q20/7)^0.5, ((Q20+1)/7)^0.5))</f>
        <v>15.962736093729863</v>
      </c>
      <c r="AJ20" s="22">
        <f ca="1">(Z20+N20+(LOG(I20)*4/3))</f>
        <v>3.9627360937298626</v>
      </c>
      <c r="AK20" s="68">
        <f ca="1">(Z20+N20+(LOG(I20)*4/3))*(Q20/7)^0.5</f>
        <v>3.6687807256692722</v>
      </c>
      <c r="AL20" s="68">
        <f ca="1">(Z20+N20+(LOG(I20)*4/3))*(IF(Q20=7, (Q20/7)^0.5, ((Q20+1)/7)^0.5))</f>
        <v>3.9627360937298626</v>
      </c>
      <c r="AM20" s="8">
        <f t="shared" ca="1" si="8"/>
        <v>13.747736093729863</v>
      </c>
      <c r="AN20" s="8">
        <f t="shared" ca="1" si="9"/>
        <v>0.99451888749838901</v>
      </c>
      <c r="AO20" s="8">
        <f t="shared" ca="1" si="10"/>
        <v>0.76739152656109044</v>
      </c>
      <c r="AP20" s="71">
        <f>IF(AR20=4,IF(AS20=0,0.137+0.0697,0.137+0.02),IF(AR20=3,IF(AS20=0,0.0958+0.0697,0.0958+0.02),IF(AR20=2,IF(AS20=0,0.0415+0.0697,0.0415+0.02),IF(AR20=1,IF(AS20=0,0.0294+0.0697,0.0294+0.02),IF(AR20=0,IF(AS20=0,0.0063+0.0697,0.0063+0.02))))))</f>
        <v>0.1158</v>
      </c>
      <c r="AQ20" s="19">
        <v>2</v>
      </c>
      <c r="AR20" s="19">
        <v>3</v>
      </c>
      <c r="AS20" s="19">
        <v>2</v>
      </c>
      <c r="AT20" s="442">
        <v>12700</v>
      </c>
    </row>
    <row r="21" spans="1:46" x14ac:dyDescent="0.25">
      <c r="A21" s="15" t="s">
        <v>351</v>
      </c>
      <c r="B21" s="15" t="s">
        <v>43</v>
      </c>
      <c r="C21" s="69">
        <f t="shared" ca="1" si="11"/>
        <v>3.3303571428571428</v>
      </c>
      <c r="D21" s="449" t="s">
        <v>368</v>
      </c>
      <c r="E21" s="16">
        <v>30</v>
      </c>
      <c r="F21" s="2">
        <f ca="1">$D$2-$D$1-1100+25-112-166</f>
        <v>75</v>
      </c>
      <c r="G21" s="17" t="s">
        <v>0</v>
      </c>
      <c r="H21" s="4">
        <v>3</v>
      </c>
      <c r="I21" s="26">
        <v>6</v>
      </c>
      <c r="J21" s="21">
        <f t="shared" si="51"/>
        <v>1.0375350005115249</v>
      </c>
      <c r="K21" s="6">
        <f t="shared" ref="K21" si="64">(H21)*(H21)*(I21)</f>
        <v>54</v>
      </c>
      <c r="L21" s="6">
        <f t="shared" ref="L21" si="65">(H21+1)*(H21+1)*I21</f>
        <v>96</v>
      </c>
      <c r="M21" s="72">
        <v>43590</v>
      </c>
      <c r="N21" s="73">
        <f ca="1">IF((TODAY()-M21)&gt;335,1,((TODAY()-M21)^0.64)/(336^0.64))</f>
        <v>0.47790174493713611</v>
      </c>
      <c r="O21" s="18">
        <v>5</v>
      </c>
      <c r="P21" s="19">
        <f t="shared" si="54"/>
        <v>69</v>
      </c>
      <c r="Q21" s="25">
        <v>7</v>
      </c>
      <c r="R21" s="63">
        <f t="shared" si="55"/>
        <v>1</v>
      </c>
      <c r="S21" s="63">
        <f t="shared" si="56"/>
        <v>1</v>
      </c>
      <c r="T21" s="27">
        <v>40910</v>
      </c>
      <c r="U21" s="27">
        <f t="shared" si="1"/>
        <v>30</v>
      </c>
      <c r="V21" s="27">
        <v>8436</v>
      </c>
      <c r="W21" s="8">
        <f t="shared" si="57"/>
        <v>4.8494547178757701</v>
      </c>
      <c r="X21" s="20">
        <v>0</v>
      </c>
      <c r="Y21" s="21">
        <v>5</v>
      </c>
      <c r="Z21" s="20">
        <v>6</v>
      </c>
      <c r="AA21" s="21">
        <v>5</v>
      </c>
      <c r="AB21" s="20">
        <f>9+1/7</f>
        <v>9.1428571428571423</v>
      </c>
      <c r="AC21" s="21">
        <v>12</v>
      </c>
      <c r="AD21" s="20">
        <v>0</v>
      </c>
      <c r="AE21" s="9">
        <f>10+12+5.5+23+49+1</f>
        <v>100.5</v>
      </c>
      <c r="AF21" s="9"/>
      <c r="AG21" s="8">
        <f t="shared" ca="1" si="2"/>
        <v>3.4790030652575332</v>
      </c>
      <c r="AH21" s="22">
        <f t="shared" ref="AH21" ca="1" si="66">(AD21+1+(LOG(I21)*4/3)+N21)*(Q21/7)^0.5</f>
        <v>2.5154367454486612</v>
      </c>
      <c r="AI21" s="22">
        <f t="shared" ref="AI21" ca="1" si="67">(AD21+1+N21+(LOG(I21)*4/3))*(IF(Q21=7, (Q21/7)^0.5, ((Q21+1)/7)^0.5))</f>
        <v>2.5154367454486612</v>
      </c>
      <c r="AJ21" s="22">
        <f t="shared" ref="AJ21" ca="1" si="68">(Z21+N21+(LOG(I21)*4/3))</f>
        <v>7.5154367454486612</v>
      </c>
      <c r="AK21" s="68">
        <f t="shared" ref="AK21" ca="1" si="69">(Z21+N21+(LOG(I21)*4/3))*(Q21/7)^0.5</f>
        <v>7.5154367454486612</v>
      </c>
      <c r="AL21" s="68">
        <f t="shared" ref="AL21" ca="1" si="70">(Z21+N21+(LOG(I21)*4/3))*(IF(Q21=7, (Q21/7)^0.5, ((Q21+1)/7)^0.5))</f>
        <v>7.5154367454486612</v>
      </c>
      <c r="AM21" s="8">
        <f t="shared" ca="1" si="8"/>
        <v>5.1154367454486609</v>
      </c>
      <c r="AN21" s="8">
        <f t="shared" ca="1" si="9"/>
        <v>0.7212349396358928</v>
      </c>
      <c r="AO21" s="8">
        <f t="shared" ca="1" si="10"/>
        <v>0.30608057218140627</v>
      </c>
      <c r="AP21" s="71">
        <f t="shared" ref="AP21" si="71">IF(AR21=4,IF(AS21=0,0.137+0.0697,0.137+0.02),IF(AR21=3,IF(AS21=0,0.0958+0.0697,0.0958+0.02),IF(AR21=2,IF(AS21=0,0.0415+0.0697,0.0415+0.02),IF(AR21=1,IF(AS21=0,0.0294+0.0697,0.0294+0.02),IF(AR21=0,IF(AS21=0,0.0063+0.0697,0.0063+0.02))))))</f>
        <v>0.1158</v>
      </c>
      <c r="AQ21" s="19">
        <v>3</v>
      </c>
      <c r="AR21" s="19">
        <v>3</v>
      </c>
      <c r="AS21" s="19">
        <v>2</v>
      </c>
      <c r="AT21" s="27">
        <v>40880</v>
      </c>
    </row>
    <row r="22" spans="1:46" x14ac:dyDescent="0.25">
      <c r="V22" s="49"/>
    </row>
    <row r="24" spans="1:46" x14ac:dyDescent="0.25">
      <c r="T24" s="49"/>
      <c r="V24" s="49"/>
    </row>
    <row r="25" spans="1:46" x14ac:dyDescent="0.25">
      <c r="X25">
        <f>8+2/3</f>
        <v>8.6666666666666661</v>
      </c>
      <c r="AF25" s="49"/>
    </row>
    <row r="26" spans="1:46" x14ac:dyDescent="0.25">
      <c r="X26">
        <f>7+4/3</f>
        <v>8.3333333333333339</v>
      </c>
    </row>
    <row r="28" spans="1:46" x14ac:dyDescent="0.25">
      <c r="T28" s="49"/>
      <c r="V28" s="49"/>
    </row>
  </sheetData>
  <sortState ref="A5:AT21">
    <sortCondition descending="1" ref="AF5:AF21"/>
  </sortState>
  <conditionalFormatting sqref="U2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{1A3317A4-2E15-4A61-81B2-0B5998394877}</x14:id>
        </ext>
      </extLst>
    </cfRule>
  </conditionalFormatting>
  <conditionalFormatting sqref="W6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{61B66F88-D82F-4C7B-B844-D73BEB5FAE97}</x14:id>
        </ext>
      </extLst>
    </cfRule>
  </conditionalFormatting>
  <conditionalFormatting sqref="AF6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{C47240AB-C06C-4E01-8AC1-FE97A718F197}</x14:id>
        </ext>
      </extLst>
    </cfRule>
  </conditionalFormatting>
  <conditionalFormatting sqref="AP2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:AP20">
    <cfRule type="colorScale" priority="5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21 W4:W5">
    <cfRule type="dataBar" priority="55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{F0566193-AC02-4D5F-9039-FDC364A68C94}</x14:id>
        </ext>
      </extLst>
    </cfRule>
  </conditionalFormatting>
  <conditionalFormatting sqref="AF7:AF21 AF4:AF5">
    <cfRule type="dataBar" priority="5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{39454924-5FFD-4BA1-95CE-A7F67257BF61}</x14:id>
        </ext>
      </extLst>
    </cfRule>
  </conditionalFormatting>
  <conditionalFormatting sqref="C4:C21">
    <cfRule type="colorScale" priority="5517">
      <colorScale>
        <cfvo type="min"/>
        <cfvo type="max"/>
        <color rgb="FFFFEF9C"/>
        <color rgb="FF63BE7B"/>
      </colorScale>
    </cfRule>
  </conditionalFormatting>
  <conditionalFormatting sqref="T4:T21">
    <cfRule type="dataBar" priority="5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{B13E782C-D89A-4C61-96EC-C08A047138FE}</x14:id>
        </ext>
      </extLst>
    </cfRule>
  </conditionalFormatting>
  <conditionalFormatting sqref="V4:V21">
    <cfRule type="dataBar" priority="55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{8A701A28-BEE7-4685-A106-1E21A5D50016}</x14:id>
        </ext>
      </extLst>
    </cfRule>
  </conditionalFormatting>
  <conditionalFormatting sqref="AE4:AE21">
    <cfRule type="dataBar" priority="55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{4A4E0EAD-1591-4283-BC72-31C016420761}</x14:id>
        </ext>
      </extLst>
    </cfRule>
  </conditionalFormatting>
  <conditionalFormatting sqref="AH4:AI21">
    <cfRule type="colorScale" priority="5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L21">
    <cfRule type="colorScale" priority="5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1">
    <cfRule type="colorScale" priority="5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21">
    <cfRule type="colorScale" priority="5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O21">
    <cfRule type="colorScale" priority="5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D21">
    <cfRule type="colorScale" priority="5541">
      <colorScale>
        <cfvo type="min"/>
        <cfvo type="max"/>
        <color rgb="FFFCFCFF"/>
        <color rgb="FFF8696B"/>
      </colorScale>
    </cfRule>
  </conditionalFormatting>
  <conditionalFormatting sqref="N4:N21">
    <cfRule type="colorScale" priority="5542">
      <colorScale>
        <cfvo type="min"/>
        <cfvo type="max"/>
        <color rgb="FFFFEF9C"/>
        <color rgb="FF63BE7B"/>
      </colorScale>
    </cfRule>
  </conditionalFormatting>
  <conditionalFormatting sqref="I4:I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{7BD2A29A-5088-448F-8467-949D6B2966B7}</x14:id>
        </ext>
      </extLst>
    </cfRule>
  </conditionalFormatting>
  <conditionalFormatting sqref="P4:P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:AT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{741FBF33-63FF-421D-9A1B-2C4392D25CD0}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3317A4-2E15-4A61-81B2-0B5998394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61B66F88-D82F-4C7B-B844-D73BEB5FAE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C47240AB-C06C-4E01-8AC1-FE97A718F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AF6</xm:sqref>
        </x14:conditionalFormatting>
        <x14:conditionalFormatting xmlns:xm="http://schemas.microsoft.com/office/excel/2006/main">
          <x14:cfRule type="dataBar" id="{F0566193-AC02-4D5F-9039-FDC364A68C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W7:W21 W4:W5</xm:sqref>
        </x14:conditionalFormatting>
        <x14:conditionalFormatting xmlns:xm="http://schemas.microsoft.com/office/excel/2006/main">
          <x14:cfRule type="dataBar" id="{39454924-5FFD-4BA1-95CE-A7F67257B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AF7:AF21 AF4:AF5</xm:sqref>
        </x14:conditionalFormatting>
        <x14:conditionalFormatting xmlns:xm="http://schemas.microsoft.com/office/excel/2006/main">
          <x14:cfRule type="dataBar" id="{B13E782C-D89A-4C61-96EC-C08A04713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8A701A28-BEE7-4685-A106-1E21A5D500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4A4E0EAD-1591-4283-BC72-31C016420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7BD2A29A-5088-448F-8467-949D6B296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741FBF33-63FF-421D-9A1B-2C4392D25C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AT4:AT21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3A0A-EE31-40AF-98E1-71678781696F}">
  <sheetPr>
    <tabColor rgb="FF92D050"/>
  </sheetPr>
  <dimension ref="A1:BG116"/>
  <sheetViews>
    <sheetView zoomScaleNormal="100" workbookViewId="0">
      <selection activeCell="L15" sqref="L15"/>
    </sheetView>
  </sheetViews>
  <sheetFormatPr baseColWidth="10" defaultRowHeight="15" x14ac:dyDescent="0.25"/>
  <cols>
    <col min="1" max="1" width="4" bestFit="1" customWidth="1"/>
    <col min="2" max="2" width="24.7109375" customWidth="1"/>
    <col min="3" max="3" width="6.140625" bestFit="1" customWidth="1"/>
    <col min="4" max="4" width="5.42578125" bestFit="1" customWidth="1"/>
    <col min="5" max="5" width="5.5703125" bestFit="1" customWidth="1"/>
    <col min="6" max="6" width="5" bestFit="1" customWidth="1"/>
    <col min="7" max="7" width="11.85546875" bestFit="1" customWidth="1"/>
    <col min="8" max="8" width="6.140625" bestFit="1" customWidth="1"/>
    <col min="9" max="9" width="6.28515625" bestFit="1" customWidth="1"/>
    <col min="10" max="10" width="6.140625" bestFit="1" customWidth="1"/>
    <col min="11" max="11" width="6.7109375" customWidth="1"/>
    <col min="12" max="12" width="5" bestFit="1" customWidth="1"/>
    <col min="13" max="13" width="5.28515625" bestFit="1" customWidth="1"/>
    <col min="14" max="14" width="5.5703125" bestFit="1" customWidth="1"/>
    <col min="15" max="15" width="5.42578125" bestFit="1" customWidth="1"/>
    <col min="16" max="16" width="5.5703125" bestFit="1" customWidth="1"/>
    <col min="17" max="17" width="5" bestFit="1" customWidth="1"/>
    <col min="18" max="18" width="5.5703125" bestFit="1" customWidth="1"/>
    <col min="19" max="19" width="5.140625" bestFit="1" customWidth="1"/>
    <col min="20" max="22" width="5.5703125" bestFit="1" customWidth="1"/>
    <col min="23" max="23" width="4" bestFit="1" customWidth="1"/>
    <col min="24" max="24" width="5" bestFit="1" customWidth="1"/>
    <col min="25" max="25" width="5.42578125" bestFit="1" customWidth="1"/>
    <col min="26" max="26" width="5.5703125" bestFit="1" customWidth="1"/>
    <col min="27" max="27" width="5" bestFit="1" customWidth="1"/>
    <col min="28" max="28" width="4" bestFit="1" customWidth="1"/>
    <col min="29" max="29" width="7.28515625" bestFit="1" customWidth="1"/>
    <col min="30" max="30" width="6" customWidth="1"/>
    <col min="31" max="33" width="4" bestFit="1" customWidth="1"/>
    <col min="34" max="34" width="4.7109375" bestFit="1" customWidth="1"/>
    <col min="35" max="35" width="4" bestFit="1" customWidth="1"/>
    <col min="36" max="36" width="18.42578125" bestFit="1" customWidth="1"/>
    <col min="38" max="38" width="28.42578125" bestFit="1" customWidth="1"/>
    <col min="39" max="39" width="5.28515625" bestFit="1" customWidth="1"/>
    <col min="40" max="40" width="6.28515625" bestFit="1" customWidth="1"/>
    <col min="41" max="41" width="5.5703125" style="46" bestFit="1" customWidth="1"/>
    <col min="42" max="42" width="5" bestFit="1" customWidth="1"/>
    <col min="43" max="43" width="5.7109375" bestFit="1" customWidth="1"/>
    <col min="44" max="44" width="7.42578125" bestFit="1" customWidth="1"/>
    <col min="45" max="45" width="7.5703125" bestFit="1" customWidth="1"/>
    <col min="46" max="46" width="5.5703125" bestFit="1" customWidth="1"/>
    <col min="47" max="47" width="7.28515625" bestFit="1" customWidth="1"/>
    <col min="48" max="48" width="5" bestFit="1" customWidth="1"/>
    <col min="49" max="49" width="7.28515625" bestFit="1" customWidth="1"/>
    <col min="50" max="50" width="7.42578125" bestFit="1" customWidth="1"/>
    <col min="51" max="51" width="8.140625" bestFit="1" customWidth="1"/>
    <col min="52" max="52" width="5.7109375" bestFit="1" customWidth="1"/>
    <col min="53" max="53" width="7.42578125" bestFit="1" customWidth="1"/>
    <col min="54" max="55" width="5.7109375" bestFit="1" customWidth="1"/>
    <col min="56" max="56" width="11.5703125" bestFit="1" customWidth="1"/>
  </cols>
  <sheetData>
    <row r="1" spans="1:57" x14ac:dyDescent="0.25">
      <c r="A1" s="151"/>
      <c r="B1" s="152" t="s">
        <v>408</v>
      </c>
      <c r="C1" s="152"/>
      <c r="D1" s="152"/>
      <c r="E1" s="153"/>
      <c r="F1" s="152"/>
      <c r="G1" s="153"/>
      <c r="H1" s="154"/>
      <c r="I1" s="153"/>
      <c r="J1" s="153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3"/>
      <c r="Z1" s="153"/>
      <c r="AA1" s="153"/>
      <c r="AB1" s="153"/>
      <c r="AC1" s="153"/>
      <c r="AD1" s="155"/>
      <c r="AE1" s="155"/>
      <c r="AF1" s="155"/>
      <c r="AG1" s="155"/>
      <c r="AH1" s="155"/>
      <c r="AI1" s="155"/>
      <c r="AJ1" s="154"/>
      <c r="AL1" s="295" t="s">
        <v>459</v>
      </c>
      <c r="AM1" s="296"/>
      <c r="AN1" s="296"/>
      <c r="AO1" s="297"/>
      <c r="AP1" s="296"/>
      <c r="AQ1" s="296"/>
      <c r="AR1" s="296"/>
      <c r="AS1" s="296"/>
      <c r="AT1" s="296"/>
      <c r="AU1" s="296"/>
      <c r="AV1" s="296"/>
      <c r="AW1" s="296"/>
      <c r="AX1" s="296"/>
      <c r="AY1" s="296"/>
      <c r="AZ1" s="296"/>
      <c r="BA1" s="296"/>
      <c r="BB1" s="296"/>
      <c r="BC1" s="296"/>
      <c r="BD1" s="296"/>
    </row>
    <row r="2" spans="1:57" x14ac:dyDescent="0.25">
      <c r="A2" s="156"/>
      <c r="B2" s="157" t="s">
        <v>3</v>
      </c>
      <c r="C2" s="157" t="s">
        <v>409</v>
      </c>
      <c r="D2" s="157" t="s">
        <v>5</v>
      </c>
      <c r="E2" s="158" t="s">
        <v>410</v>
      </c>
      <c r="F2" s="157" t="s">
        <v>411</v>
      </c>
      <c r="G2" s="158" t="s">
        <v>412</v>
      </c>
      <c r="H2" s="159" t="s">
        <v>413</v>
      </c>
      <c r="I2" s="158" t="s">
        <v>414</v>
      </c>
      <c r="J2" s="158" t="s">
        <v>7</v>
      </c>
      <c r="K2" s="157" t="s">
        <v>27</v>
      </c>
      <c r="L2" s="157" t="s">
        <v>415</v>
      </c>
      <c r="M2" s="160" t="s">
        <v>29</v>
      </c>
      <c r="N2" s="160" t="s">
        <v>415</v>
      </c>
      <c r="O2" s="157" t="s">
        <v>68</v>
      </c>
      <c r="P2" s="157" t="s">
        <v>415</v>
      </c>
      <c r="Q2" s="160" t="s">
        <v>113</v>
      </c>
      <c r="R2" s="160" t="s">
        <v>415</v>
      </c>
      <c r="S2" s="157" t="s">
        <v>69</v>
      </c>
      <c r="T2" s="157" t="s">
        <v>415</v>
      </c>
      <c r="U2" s="160" t="s">
        <v>70</v>
      </c>
      <c r="V2" s="160" t="s">
        <v>415</v>
      </c>
      <c r="W2" s="157" t="s">
        <v>46</v>
      </c>
      <c r="X2" s="157" t="s">
        <v>415</v>
      </c>
      <c r="Y2" s="161" t="s">
        <v>416</v>
      </c>
      <c r="Z2" s="161" t="s">
        <v>101</v>
      </c>
      <c r="AA2" s="158" t="s">
        <v>417</v>
      </c>
      <c r="AB2" s="158" t="s">
        <v>46</v>
      </c>
      <c r="AC2" s="158" t="s">
        <v>193</v>
      </c>
      <c r="AD2" s="162" t="s">
        <v>418</v>
      </c>
      <c r="AE2" s="162" t="s">
        <v>419</v>
      </c>
      <c r="AF2" s="162" t="s">
        <v>420</v>
      </c>
      <c r="AG2" s="162" t="s">
        <v>421</v>
      </c>
      <c r="AH2" s="162" t="s">
        <v>422</v>
      </c>
      <c r="AI2" s="162" t="s">
        <v>423</v>
      </c>
      <c r="AJ2" s="159" t="s">
        <v>424</v>
      </c>
      <c r="AL2" s="259" t="s">
        <v>3</v>
      </c>
      <c r="AM2" s="259" t="s">
        <v>409</v>
      </c>
      <c r="AN2" s="259" t="s">
        <v>5</v>
      </c>
      <c r="AO2" s="298" t="s">
        <v>410</v>
      </c>
      <c r="AP2" s="300" t="s">
        <v>27</v>
      </c>
      <c r="AQ2" s="300" t="s">
        <v>460</v>
      </c>
      <c r="AR2" s="300" t="s">
        <v>29</v>
      </c>
      <c r="AS2" s="300" t="s">
        <v>461</v>
      </c>
      <c r="AT2" s="300" t="s">
        <v>68</v>
      </c>
      <c r="AU2" s="300" t="s">
        <v>462</v>
      </c>
      <c r="AV2" s="300" t="s">
        <v>113</v>
      </c>
      <c r="AW2" s="300" t="s">
        <v>463</v>
      </c>
      <c r="AX2" s="300" t="s">
        <v>70</v>
      </c>
      <c r="AY2" s="300" t="s">
        <v>464</v>
      </c>
      <c r="AZ2" s="300" t="s">
        <v>69</v>
      </c>
      <c r="BA2" s="300" t="s">
        <v>465</v>
      </c>
      <c r="BB2" s="300" t="s">
        <v>46</v>
      </c>
      <c r="BC2" s="300" t="s">
        <v>466</v>
      </c>
      <c r="BD2" s="300" t="s">
        <v>380</v>
      </c>
    </row>
    <row r="3" spans="1:57" x14ac:dyDescent="0.25">
      <c r="A3" s="163"/>
      <c r="B3" s="180" t="s">
        <v>428</v>
      </c>
      <c r="C3" s="181">
        <v>16</v>
      </c>
      <c r="D3" s="166">
        <f ca="1">B33-2100-6-93-112+4-62-112-112</f>
        <v>105</v>
      </c>
      <c r="E3" s="167"/>
      <c r="F3" s="168">
        <f ca="1">G3-TODAY()</f>
        <v>7</v>
      </c>
      <c r="G3" s="169">
        <v>43703</v>
      </c>
      <c r="H3" s="170"/>
      <c r="I3" s="171" t="s">
        <v>429</v>
      </c>
      <c r="J3" s="170" t="s">
        <v>426</v>
      </c>
      <c r="K3" s="181"/>
      <c r="L3" s="177">
        <v>1.99</v>
      </c>
      <c r="M3" s="172">
        <v>5</v>
      </c>
      <c r="N3" s="173">
        <v>5.99</v>
      </c>
      <c r="O3" s="181"/>
      <c r="P3" s="177">
        <v>3.99</v>
      </c>
      <c r="Q3" s="181"/>
      <c r="R3" s="177">
        <v>2.99</v>
      </c>
      <c r="S3" s="181"/>
      <c r="T3" s="177">
        <v>2.99</v>
      </c>
      <c r="U3" s="181"/>
      <c r="V3" s="177">
        <v>3.99</v>
      </c>
      <c r="W3" s="181"/>
      <c r="X3" s="177">
        <v>4.99</v>
      </c>
      <c r="Y3" s="178">
        <f>7-(COUNTBLANK(K3)+COUNTBLANK(M3)+COUNTBLANK(O3)+COUNTBLANK(Q3)+COUNTBLANK(S3)+COUNTBLANK(U3)+COUNTBLANK(W3))</f>
        <v>1</v>
      </c>
      <c r="Z3" s="170">
        <f>COUNT(X3,T3,V3,R3,P3,N3,L3)</f>
        <v>7</v>
      </c>
      <c r="AA3" s="182"/>
      <c r="AB3" s="182"/>
      <c r="AC3" s="182"/>
      <c r="AD3" s="179"/>
      <c r="AE3" s="179">
        <v>4.5</v>
      </c>
      <c r="AF3" s="179">
        <v>4.5</v>
      </c>
      <c r="AG3" s="179"/>
      <c r="AH3" s="179"/>
      <c r="AI3" s="179"/>
      <c r="AJ3" s="179" t="s">
        <v>430</v>
      </c>
      <c r="AL3" s="273" t="s">
        <v>467</v>
      </c>
      <c r="AM3" s="267">
        <v>17</v>
      </c>
      <c r="AN3" s="274">
        <v>0</v>
      </c>
      <c r="AO3" s="299"/>
      <c r="AP3" s="260"/>
      <c r="AQ3" s="260"/>
      <c r="AR3" s="261">
        <v>4</v>
      </c>
      <c r="AS3" s="261">
        <v>4.99</v>
      </c>
      <c r="AT3" s="261">
        <v>5</v>
      </c>
      <c r="AU3" s="262">
        <v>5.99</v>
      </c>
      <c r="AV3" s="263">
        <v>2</v>
      </c>
      <c r="AW3" s="263">
        <v>2.99</v>
      </c>
      <c r="AX3" s="260"/>
      <c r="AY3" s="264">
        <v>3.99</v>
      </c>
      <c r="AZ3" s="263">
        <v>5</v>
      </c>
      <c r="BA3" s="265">
        <v>5.99</v>
      </c>
      <c r="BB3" s="263">
        <v>0</v>
      </c>
      <c r="BC3" s="263">
        <v>0.99</v>
      </c>
      <c r="BD3" s="266">
        <v>41367</v>
      </c>
    </row>
    <row r="4" spans="1:57" x14ac:dyDescent="0.25">
      <c r="A4" s="151"/>
      <c r="B4" s="183" t="s">
        <v>431</v>
      </c>
      <c r="C4" s="183"/>
      <c r="D4" s="183"/>
      <c r="E4" s="184"/>
      <c r="F4" s="183"/>
      <c r="G4" s="184"/>
      <c r="H4" s="185"/>
      <c r="I4" s="184"/>
      <c r="J4" s="184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4"/>
      <c r="Z4" s="184"/>
      <c r="AA4" s="184"/>
      <c r="AB4" s="184"/>
      <c r="AC4" s="184"/>
      <c r="AD4" s="186"/>
      <c r="AE4" s="186"/>
      <c r="AF4" s="186"/>
      <c r="AG4" s="186"/>
      <c r="AH4" s="186"/>
      <c r="AI4" s="186"/>
      <c r="AJ4" s="185"/>
      <c r="AL4" s="273" t="s">
        <v>468</v>
      </c>
      <c r="AM4" s="267">
        <v>17</v>
      </c>
      <c r="AN4" s="274">
        <v>0</v>
      </c>
      <c r="AO4" s="299"/>
      <c r="AP4" s="268"/>
      <c r="AQ4" s="268"/>
      <c r="AR4" s="269">
        <v>2</v>
      </c>
      <c r="AS4" s="270">
        <v>3.99</v>
      </c>
      <c r="AT4" s="262">
        <v>7</v>
      </c>
      <c r="AU4" s="262">
        <v>7</v>
      </c>
      <c r="AV4" s="261">
        <v>3</v>
      </c>
      <c r="AW4" s="261">
        <v>3.99</v>
      </c>
      <c r="AX4" s="271">
        <v>3</v>
      </c>
      <c r="AY4" s="272">
        <v>3.99</v>
      </c>
      <c r="AZ4" s="261">
        <v>4</v>
      </c>
      <c r="BA4" s="261">
        <v>4.99</v>
      </c>
      <c r="BB4" s="268"/>
      <c r="BC4" s="268"/>
      <c r="BD4" s="266">
        <v>41371</v>
      </c>
      <c r="BE4" s="163"/>
    </row>
    <row r="5" spans="1:57" x14ac:dyDescent="0.25">
      <c r="A5" s="187"/>
      <c r="B5" s="188" t="s">
        <v>432</v>
      </c>
      <c r="C5" s="188"/>
      <c r="D5" s="188"/>
      <c r="E5" s="189"/>
      <c r="F5" s="188"/>
      <c r="G5" s="190"/>
      <c r="H5" s="191"/>
      <c r="I5" s="190"/>
      <c r="J5" s="190"/>
      <c r="K5" s="192" t="s">
        <v>433</v>
      </c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0"/>
      <c r="Z5" s="190"/>
      <c r="AA5" s="190"/>
      <c r="AB5" s="190"/>
      <c r="AC5" s="190"/>
      <c r="AD5" s="193" t="s">
        <v>434</v>
      </c>
      <c r="AE5" s="193"/>
      <c r="AF5" s="193"/>
      <c r="AG5" s="193"/>
      <c r="AH5" s="193"/>
      <c r="AI5" s="193"/>
      <c r="AJ5" s="194"/>
      <c r="AL5" s="273" t="s">
        <v>469</v>
      </c>
      <c r="AM5" s="267">
        <v>19</v>
      </c>
      <c r="AN5" s="274">
        <v>1709</v>
      </c>
      <c r="AO5" s="299"/>
      <c r="AP5" s="268"/>
      <c r="AQ5" s="268"/>
      <c r="AR5" s="268"/>
      <c r="AS5" s="270">
        <v>2.99</v>
      </c>
      <c r="AT5" s="261">
        <v>6</v>
      </c>
      <c r="AU5" s="262">
        <v>6.1</v>
      </c>
      <c r="AV5" s="268"/>
      <c r="AW5" s="270">
        <v>2.99</v>
      </c>
      <c r="AX5" s="269">
        <v>2</v>
      </c>
      <c r="AY5" s="270">
        <v>3.99</v>
      </c>
      <c r="AZ5" s="263">
        <v>3</v>
      </c>
      <c r="BA5" s="263">
        <v>3.99</v>
      </c>
      <c r="BB5" s="263">
        <v>1</v>
      </c>
      <c r="BC5" s="263">
        <v>1.99</v>
      </c>
      <c r="BD5" s="266">
        <v>41391</v>
      </c>
      <c r="BE5" s="163"/>
    </row>
    <row r="6" spans="1:57" x14ac:dyDescent="0.25">
      <c r="A6" s="156"/>
      <c r="B6" s="195" t="s">
        <v>3</v>
      </c>
      <c r="C6" s="195" t="s">
        <v>409</v>
      </c>
      <c r="D6" s="195" t="s">
        <v>5</v>
      </c>
      <c r="E6" s="196" t="s">
        <v>410</v>
      </c>
      <c r="F6" s="195" t="s">
        <v>411</v>
      </c>
      <c r="G6" s="196" t="str">
        <f>G2</f>
        <v>Promoción</v>
      </c>
      <c r="H6" s="197" t="str">
        <f>H2</f>
        <v>Gen</v>
      </c>
      <c r="I6" s="196" t="str">
        <f>I2</f>
        <v>u20</v>
      </c>
      <c r="J6" s="196" t="str">
        <f>J2</f>
        <v>Lid</v>
      </c>
      <c r="K6" s="195" t="s">
        <v>27</v>
      </c>
      <c r="L6" s="195" t="str">
        <f t="shared" ref="L6:AA6" si="0">L2</f>
        <v>Pot</v>
      </c>
      <c r="M6" s="198" t="str">
        <f t="shared" si="0"/>
        <v>DEF</v>
      </c>
      <c r="N6" s="198" t="str">
        <f t="shared" si="0"/>
        <v>Pot</v>
      </c>
      <c r="O6" s="195" t="str">
        <f t="shared" si="0"/>
        <v>JUG</v>
      </c>
      <c r="P6" s="195" t="str">
        <f t="shared" si="0"/>
        <v>Pot</v>
      </c>
      <c r="Q6" s="198" t="str">
        <f t="shared" si="0"/>
        <v>LAT</v>
      </c>
      <c r="R6" s="198" t="str">
        <f t="shared" si="0"/>
        <v>Pot</v>
      </c>
      <c r="S6" s="195" t="str">
        <f t="shared" si="0"/>
        <v>PAS</v>
      </c>
      <c r="T6" s="195" t="str">
        <f t="shared" si="0"/>
        <v>Pot</v>
      </c>
      <c r="U6" s="198" t="str">
        <f t="shared" si="0"/>
        <v>ANO</v>
      </c>
      <c r="V6" s="198" t="str">
        <f t="shared" si="0"/>
        <v>Pot</v>
      </c>
      <c r="W6" s="195" t="str">
        <f t="shared" si="0"/>
        <v>BP</v>
      </c>
      <c r="X6" s="195" t="str">
        <f t="shared" si="0"/>
        <v>Pot</v>
      </c>
      <c r="Y6" s="199" t="str">
        <f t="shared" si="0"/>
        <v>HAB</v>
      </c>
      <c r="Z6" s="199" t="str">
        <f t="shared" si="0"/>
        <v>POT</v>
      </c>
      <c r="AA6" s="196" t="str">
        <f t="shared" si="0"/>
        <v>Cap</v>
      </c>
      <c r="AB6" s="196" t="s">
        <v>46</v>
      </c>
      <c r="AC6" s="196" t="str">
        <f t="shared" ref="AC6:AJ6" si="1">AC2</f>
        <v>HTMS</v>
      </c>
      <c r="AD6" s="200" t="str">
        <f t="shared" si="1"/>
        <v>PR</v>
      </c>
      <c r="AE6" s="200" t="str">
        <f t="shared" si="1"/>
        <v>DL</v>
      </c>
      <c r="AF6" s="200" t="str">
        <f t="shared" si="1"/>
        <v>DC</v>
      </c>
      <c r="AG6" s="200" t="str">
        <f t="shared" si="1"/>
        <v>In</v>
      </c>
      <c r="AH6" s="200" t="str">
        <f t="shared" si="1"/>
        <v>ExO</v>
      </c>
      <c r="AI6" s="200" t="str">
        <f t="shared" si="1"/>
        <v>DV</v>
      </c>
      <c r="AJ6" s="197" t="str">
        <f t="shared" si="1"/>
        <v>Atributs</v>
      </c>
      <c r="AL6" s="273" t="s">
        <v>470</v>
      </c>
      <c r="AM6" s="267">
        <v>17</v>
      </c>
      <c r="AN6" s="274">
        <v>0</v>
      </c>
      <c r="AO6" s="299" t="s">
        <v>471</v>
      </c>
      <c r="AP6" s="268"/>
      <c r="AQ6" s="270">
        <v>1.99</v>
      </c>
      <c r="AR6" s="268"/>
      <c r="AS6" s="270">
        <v>2.99</v>
      </c>
      <c r="AT6" s="261">
        <v>4</v>
      </c>
      <c r="AU6" s="261">
        <v>4.99</v>
      </c>
      <c r="AV6" s="275">
        <v>5</v>
      </c>
      <c r="AW6" s="301">
        <v>5.99</v>
      </c>
      <c r="AX6" s="268"/>
      <c r="AY6" s="270">
        <v>1.99</v>
      </c>
      <c r="AZ6" s="275">
        <v>5</v>
      </c>
      <c r="BA6" s="301">
        <v>5.99</v>
      </c>
      <c r="BB6" s="268"/>
      <c r="BC6" s="268"/>
      <c r="BD6" s="266">
        <v>41412</v>
      </c>
      <c r="BE6" s="163"/>
    </row>
    <row r="7" spans="1:57" x14ac:dyDescent="0.25">
      <c r="A7" s="163" t="s">
        <v>28</v>
      </c>
      <c r="B7" s="180" t="s">
        <v>435</v>
      </c>
      <c r="C7" s="181">
        <v>16</v>
      </c>
      <c r="D7" s="201">
        <f ca="1">B33-2100-6-93+31-112-29-112-112-87</f>
        <v>78</v>
      </c>
      <c r="E7" s="167"/>
      <c r="F7" s="168">
        <f t="shared" ref="F7:F10" ca="1" si="2">G7-TODAY()</f>
        <v>34</v>
      </c>
      <c r="G7" s="169">
        <v>43730</v>
      </c>
      <c r="H7" s="202"/>
      <c r="I7" s="170" t="s">
        <v>436</v>
      </c>
      <c r="J7" s="170" t="s">
        <v>426</v>
      </c>
      <c r="K7" s="181"/>
      <c r="L7" s="181"/>
      <c r="M7" s="175">
        <v>3</v>
      </c>
      <c r="N7" s="176">
        <v>3.99</v>
      </c>
      <c r="O7" s="203">
        <v>4</v>
      </c>
      <c r="P7" s="204">
        <v>5.99</v>
      </c>
      <c r="Q7" s="175">
        <v>1</v>
      </c>
      <c r="R7" s="176">
        <v>1.99</v>
      </c>
      <c r="S7" s="181"/>
      <c r="T7" s="204">
        <v>5.99</v>
      </c>
      <c r="U7" s="203">
        <v>5</v>
      </c>
      <c r="V7" s="205">
        <v>7</v>
      </c>
      <c r="W7" s="181"/>
      <c r="X7" s="181"/>
      <c r="Y7" s="178">
        <f>7-(COUNTBLANK(K7)+COUNTBLANK(M7)+COUNTBLANK(O7)+COUNTBLANK(Q7)+COUNTBLANK(S7)+COUNTBLANK(U7)+COUNTBLANK(W7))</f>
        <v>4</v>
      </c>
      <c r="Z7" s="170">
        <f>COUNT(X7,T7,V7,R7,P7,N7,L7)</f>
        <v>5</v>
      </c>
      <c r="AA7" s="182"/>
      <c r="AB7" s="182"/>
      <c r="AC7" s="182"/>
      <c r="AD7" s="179"/>
      <c r="AE7" s="179"/>
      <c r="AF7" s="179"/>
      <c r="AG7" s="179"/>
      <c r="AH7" s="179"/>
      <c r="AI7" s="179">
        <v>7</v>
      </c>
      <c r="AJ7" s="179" t="s">
        <v>430</v>
      </c>
      <c r="AL7" s="273" t="s">
        <v>472</v>
      </c>
      <c r="AM7" s="267">
        <v>17</v>
      </c>
      <c r="AN7" s="274">
        <v>1799</v>
      </c>
      <c r="AO7" s="299"/>
      <c r="AP7" s="276"/>
      <c r="AQ7" s="277">
        <v>1.99</v>
      </c>
      <c r="AR7" s="276"/>
      <c r="AS7" s="277">
        <v>2.99</v>
      </c>
      <c r="AT7" s="278">
        <v>4</v>
      </c>
      <c r="AU7" s="278">
        <v>4.99</v>
      </c>
      <c r="AV7" s="278">
        <v>5</v>
      </c>
      <c r="AW7" s="279">
        <v>5.99</v>
      </c>
      <c r="AX7" s="280">
        <v>3</v>
      </c>
      <c r="AY7" s="281">
        <v>3.99</v>
      </c>
      <c r="AZ7" s="278">
        <v>3</v>
      </c>
      <c r="BA7" s="278">
        <v>3.99</v>
      </c>
      <c r="BB7" s="276"/>
      <c r="BC7" s="276"/>
      <c r="BD7" s="302"/>
      <c r="BE7" s="163"/>
    </row>
    <row r="8" spans="1:57" x14ac:dyDescent="0.25">
      <c r="A8" s="163" t="s">
        <v>31</v>
      </c>
      <c r="B8" s="164" t="s">
        <v>671</v>
      </c>
      <c r="C8" s="165">
        <v>16</v>
      </c>
      <c r="D8" s="166">
        <f ca="1">B33-2100-6-93-112+6-36-112-112-12-112</f>
        <v>9</v>
      </c>
      <c r="E8" s="167" t="s">
        <v>192</v>
      </c>
      <c r="F8" s="168">
        <f t="shared" ca="1" si="2"/>
        <v>103</v>
      </c>
      <c r="G8" s="169">
        <v>43799</v>
      </c>
      <c r="H8" s="226" t="s">
        <v>451</v>
      </c>
      <c r="I8" s="202" t="s">
        <v>436</v>
      </c>
      <c r="J8" s="170" t="s">
        <v>426</v>
      </c>
      <c r="K8" s="165"/>
      <c r="L8" s="177">
        <v>1.99</v>
      </c>
      <c r="M8" s="165"/>
      <c r="N8" s="165"/>
      <c r="O8" s="165"/>
      <c r="P8" s="177">
        <v>3.99</v>
      </c>
      <c r="Q8" s="165"/>
      <c r="R8" s="204">
        <v>5.99</v>
      </c>
      <c r="S8" s="165"/>
      <c r="T8" s="177">
        <v>4.99</v>
      </c>
      <c r="U8" s="203">
        <v>5</v>
      </c>
      <c r="V8" s="205">
        <v>6.99</v>
      </c>
      <c r="W8" s="165"/>
      <c r="X8" s="165"/>
      <c r="Y8" s="178">
        <f t="shared" ref="Y8" si="3">7-(COUNTBLANK(K8)+COUNTBLANK(M8)+COUNTBLANK(O8)+COUNTBLANK(Q8)+COUNTBLANK(S8)+COUNTBLANK(U8)+COUNTBLANK(W8))</f>
        <v>1</v>
      </c>
      <c r="Z8" s="170">
        <f t="shared" ref="Z8" si="4">COUNT(X8,T8,V8,R8,P8,N8,L8)</f>
        <v>5</v>
      </c>
      <c r="AA8" s="170"/>
      <c r="AB8" s="170"/>
      <c r="AC8" s="170"/>
      <c r="AD8" s="179"/>
      <c r="AE8" s="179"/>
      <c r="AF8" s="179"/>
      <c r="AG8" s="179"/>
      <c r="AH8" s="179"/>
      <c r="AI8" s="179">
        <v>7</v>
      </c>
      <c r="AJ8" s="179" t="s">
        <v>443</v>
      </c>
      <c r="AL8" s="273" t="s">
        <v>477</v>
      </c>
      <c r="AM8" s="267">
        <v>17</v>
      </c>
      <c r="AN8" s="274">
        <v>1723</v>
      </c>
      <c r="AO8" s="299" t="s">
        <v>478</v>
      </c>
      <c r="AP8" s="276"/>
      <c r="AQ8" s="276"/>
      <c r="AR8" s="278">
        <v>2</v>
      </c>
      <c r="AS8" s="278">
        <v>2.99</v>
      </c>
      <c r="AT8" s="278">
        <v>5</v>
      </c>
      <c r="AU8" s="279">
        <v>5.99</v>
      </c>
      <c r="AV8" s="278">
        <v>5</v>
      </c>
      <c r="AW8" s="279">
        <v>5.99</v>
      </c>
      <c r="AX8" s="276"/>
      <c r="AY8" s="277">
        <v>2.99</v>
      </c>
      <c r="AZ8" s="278">
        <v>5</v>
      </c>
      <c r="BA8" s="279">
        <v>5.99</v>
      </c>
      <c r="BB8" s="276"/>
      <c r="BC8" s="277">
        <v>3.99</v>
      </c>
      <c r="BD8" s="303"/>
      <c r="BE8" s="163"/>
    </row>
    <row r="9" spans="1:57" x14ac:dyDescent="0.25">
      <c r="A9" s="163" t="s">
        <v>32</v>
      </c>
      <c r="B9" s="206" t="s">
        <v>437</v>
      </c>
      <c r="C9" s="165">
        <v>16</v>
      </c>
      <c r="D9" s="166">
        <f ca="1">88+B33-2254-6-112-112-112-82</f>
        <v>108</v>
      </c>
      <c r="E9" s="167" t="s">
        <v>101</v>
      </c>
      <c r="F9" s="168">
        <f t="shared" ca="1" si="2"/>
        <v>26</v>
      </c>
      <c r="G9" s="169">
        <v>43722</v>
      </c>
      <c r="H9" s="207" t="s">
        <v>438</v>
      </c>
      <c r="I9" s="171" t="s">
        <v>427</v>
      </c>
      <c r="J9" s="170" t="s">
        <v>426</v>
      </c>
      <c r="K9" s="181"/>
      <c r="L9" s="181"/>
      <c r="M9" s="181"/>
      <c r="N9" s="181"/>
      <c r="O9" s="181"/>
      <c r="P9" s="177">
        <v>4.99</v>
      </c>
      <c r="Q9" s="181"/>
      <c r="R9" s="177">
        <v>3.99</v>
      </c>
      <c r="S9" s="175">
        <v>2</v>
      </c>
      <c r="T9" s="176">
        <v>2.99</v>
      </c>
      <c r="U9" s="203">
        <v>5.0999999999999996</v>
      </c>
      <c r="V9" s="205">
        <v>7</v>
      </c>
      <c r="W9" s="181"/>
      <c r="X9" s="181"/>
      <c r="Y9" s="178">
        <f>7-(COUNTBLANK(K9)+COUNTBLANK(M9)+COUNTBLANK(O9)+COUNTBLANK(Q9)+COUNTBLANK(S9)+COUNTBLANK(U9)+COUNTBLANK(W9))</f>
        <v>2</v>
      </c>
      <c r="Z9" s="170">
        <f>COUNT(X9,T9,V9,R9,P9,N9,L9)</f>
        <v>4</v>
      </c>
      <c r="AA9" s="182"/>
      <c r="AB9" s="182"/>
      <c r="AC9" s="182"/>
      <c r="AD9" s="179"/>
      <c r="AE9" s="179"/>
      <c r="AF9" s="179"/>
      <c r="AG9" s="179"/>
      <c r="AH9" s="179"/>
      <c r="AI9" s="179">
        <v>6</v>
      </c>
      <c r="AJ9" s="179" t="s">
        <v>430</v>
      </c>
      <c r="AL9" s="273" t="s">
        <v>473</v>
      </c>
      <c r="AM9" s="267">
        <v>17</v>
      </c>
      <c r="AN9" s="274">
        <v>1795</v>
      </c>
      <c r="AO9" s="299"/>
      <c r="AP9" s="276"/>
      <c r="AQ9" s="276"/>
      <c r="AR9" s="278">
        <v>4</v>
      </c>
      <c r="AS9" s="278">
        <v>4.99</v>
      </c>
      <c r="AT9" s="281">
        <v>6</v>
      </c>
      <c r="AU9" s="282">
        <v>6.99</v>
      </c>
      <c r="AV9" s="280">
        <v>3</v>
      </c>
      <c r="AW9" s="281">
        <v>3.99</v>
      </c>
      <c r="AX9" s="276"/>
      <c r="AY9" s="276"/>
      <c r="AZ9" s="278">
        <v>2</v>
      </c>
      <c r="BA9" s="278">
        <v>2.99</v>
      </c>
      <c r="BB9" s="276"/>
      <c r="BC9" s="283"/>
      <c r="BD9" s="302"/>
      <c r="BE9" s="163"/>
    </row>
    <row r="10" spans="1:57" x14ac:dyDescent="0.25">
      <c r="A10" s="163" t="s">
        <v>38</v>
      </c>
      <c r="B10" s="180" t="s">
        <v>442</v>
      </c>
      <c r="C10" s="165">
        <v>16</v>
      </c>
      <c r="D10" s="166">
        <f ca="1">86+B33-2516-112-112</f>
        <v>44</v>
      </c>
      <c r="E10" s="167" t="s">
        <v>192</v>
      </c>
      <c r="F10" s="168">
        <f t="shared" ca="1" si="2"/>
        <v>68</v>
      </c>
      <c r="G10" s="169">
        <v>43764</v>
      </c>
      <c r="H10" s="207" t="s">
        <v>438</v>
      </c>
      <c r="I10" s="171" t="s">
        <v>441</v>
      </c>
      <c r="J10" s="170" t="s">
        <v>426</v>
      </c>
      <c r="K10" s="170"/>
      <c r="L10" s="170"/>
      <c r="M10" s="170"/>
      <c r="N10" s="170"/>
      <c r="O10" s="203">
        <v>4</v>
      </c>
      <c r="P10" s="205">
        <v>6.99</v>
      </c>
      <c r="Q10" s="203">
        <v>3</v>
      </c>
      <c r="R10" s="177">
        <v>4.99</v>
      </c>
      <c r="S10" s="175">
        <v>2</v>
      </c>
      <c r="T10" s="176">
        <v>2.99</v>
      </c>
      <c r="U10" s="170"/>
      <c r="V10" s="170"/>
      <c r="W10" s="170"/>
      <c r="X10" s="170"/>
      <c r="Y10" s="178">
        <f>7-(COUNTBLANK(K10)+COUNTBLANK(M10)+COUNTBLANK(O10)+COUNTBLANK(Q10)+COUNTBLANK(S10)+COUNTBLANK(U10)+COUNTBLANK(W10))</f>
        <v>3</v>
      </c>
      <c r="Z10" s="170">
        <f>COUNT(X10,T10,V10,R10,P10,N10,L10)</f>
        <v>3</v>
      </c>
      <c r="AA10" s="182"/>
      <c r="AB10" s="182"/>
      <c r="AC10" s="182"/>
      <c r="AD10" s="179"/>
      <c r="AE10" s="179"/>
      <c r="AF10" s="179"/>
      <c r="AG10" s="179">
        <v>4.5</v>
      </c>
      <c r="AH10" s="179">
        <v>4</v>
      </c>
      <c r="AI10" s="179"/>
      <c r="AJ10" s="179" t="s">
        <v>443</v>
      </c>
      <c r="AL10" s="273" t="s">
        <v>476</v>
      </c>
      <c r="AM10" s="267">
        <v>17</v>
      </c>
      <c r="AN10" s="274">
        <v>1729</v>
      </c>
      <c r="AO10" s="299" t="s">
        <v>415</v>
      </c>
      <c r="AP10" s="276"/>
      <c r="AQ10" s="276"/>
      <c r="AR10" s="278">
        <v>6</v>
      </c>
      <c r="AS10" s="279">
        <v>6.99</v>
      </c>
      <c r="AT10" s="278">
        <v>5</v>
      </c>
      <c r="AU10" s="279">
        <v>5.99</v>
      </c>
      <c r="AV10" s="278">
        <v>3</v>
      </c>
      <c r="AW10" s="278">
        <v>3.99</v>
      </c>
      <c r="AX10" s="276"/>
      <c r="AY10" s="277">
        <v>2.99</v>
      </c>
      <c r="AZ10" s="276"/>
      <c r="BA10" s="277">
        <v>2.99</v>
      </c>
      <c r="BB10" s="276"/>
      <c r="BC10" s="277">
        <v>3.99</v>
      </c>
      <c r="BD10" s="303"/>
      <c r="BE10" s="285"/>
    </row>
    <row r="11" spans="1:57" x14ac:dyDescent="0.25">
      <c r="A11" s="151"/>
      <c r="B11" s="209" t="s">
        <v>444</v>
      </c>
      <c r="C11" s="209"/>
      <c r="D11" s="209"/>
      <c r="E11" s="210"/>
      <c r="F11" s="209"/>
      <c r="G11" s="210"/>
      <c r="H11" s="211"/>
      <c r="I11" s="210"/>
      <c r="J11" s="210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10"/>
      <c r="Z11" s="210"/>
      <c r="AA11" s="210"/>
      <c r="AB11" s="210"/>
      <c r="AC11" s="210"/>
      <c r="AD11" s="212"/>
      <c r="AE11" s="212"/>
      <c r="AF11" s="212"/>
      <c r="AG11" s="212"/>
      <c r="AH11" s="212"/>
      <c r="AI11" s="212"/>
      <c r="AJ11" s="211"/>
      <c r="AL11" s="273" t="s">
        <v>474</v>
      </c>
      <c r="AM11" s="267">
        <v>17</v>
      </c>
      <c r="AN11" s="274">
        <v>1764</v>
      </c>
      <c r="AO11" s="299" t="s">
        <v>475</v>
      </c>
      <c r="AP11" s="276"/>
      <c r="AQ11" s="276"/>
      <c r="AR11" s="278">
        <v>3</v>
      </c>
      <c r="AS11" s="278">
        <v>3.99</v>
      </c>
      <c r="AT11" s="281">
        <v>5</v>
      </c>
      <c r="AU11" s="284">
        <v>5.99</v>
      </c>
      <c r="AV11" s="278">
        <v>2</v>
      </c>
      <c r="AW11" s="278">
        <v>2.99</v>
      </c>
      <c r="AX11" s="276"/>
      <c r="AY11" s="277">
        <v>3.99</v>
      </c>
      <c r="AZ11" s="281">
        <v>4</v>
      </c>
      <c r="BA11" s="281">
        <v>4.99</v>
      </c>
      <c r="BB11" s="276"/>
      <c r="BC11" s="276"/>
      <c r="BD11" s="288"/>
      <c r="BE11" s="163"/>
    </row>
    <row r="12" spans="1:57" x14ac:dyDescent="0.25">
      <c r="A12" s="187"/>
      <c r="B12" s="213" t="s">
        <v>432</v>
      </c>
      <c r="C12" s="213"/>
      <c r="D12" s="213"/>
      <c r="E12" s="214"/>
      <c r="F12" s="213"/>
      <c r="G12" s="215"/>
      <c r="H12" s="216"/>
      <c r="I12" s="215"/>
      <c r="J12" s="215"/>
      <c r="K12" s="217" t="s">
        <v>433</v>
      </c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5"/>
      <c r="Z12" s="215"/>
      <c r="AA12" s="215"/>
      <c r="AB12" s="215"/>
      <c r="AC12" s="215"/>
      <c r="AD12" s="218" t="s">
        <v>434</v>
      </c>
      <c r="AE12" s="218"/>
      <c r="AF12" s="218"/>
      <c r="AG12" s="218"/>
      <c r="AH12" s="218"/>
      <c r="AI12" s="218"/>
      <c r="AJ12" s="219"/>
      <c r="AL12" s="273" t="s">
        <v>479</v>
      </c>
      <c r="AM12" s="267">
        <v>17</v>
      </c>
      <c r="AN12" s="274">
        <v>1789</v>
      </c>
      <c r="AO12" s="299" t="s">
        <v>471</v>
      </c>
      <c r="AP12" s="276"/>
      <c r="AQ12" s="277">
        <v>1.99</v>
      </c>
      <c r="AR12" s="276"/>
      <c r="AS12" s="277">
        <v>3.99</v>
      </c>
      <c r="AT12" s="281">
        <v>5</v>
      </c>
      <c r="AU12" s="284">
        <v>5.99</v>
      </c>
      <c r="AV12" s="278">
        <v>4</v>
      </c>
      <c r="AW12" s="278">
        <v>4.99</v>
      </c>
      <c r="AX12" s="276"/>
      <c r="AY12" s="277">
        <v>3.99</v>
      </c>
      <c r="AZ12" s="276"/>
      <c r="BA12" s="277">
        <v>2.99</v>
      </c>
      <c r="BB12" s="276"/>
      <c r="BC12" s="277">
        <v>3.99</v>
      </c>
      <c r="BD12" s="303"/>
      <c r="BE12" s="163"/>
    </row>
    <row r="13" spans="1:57" x14ac:dyDescent="0.25">
      <c r="A13" s="156"/>
      <c r="B13" s="220" t="s">
        <v>3</v>
      </c>
      <c r="C13" s="220" t="s">
        <v>409</v>
      </c>
      <c r="D13" s="220" t="s">
        <v>5</v>
      </c>
      <c r="E13" s="221" t="s">
        <v>410</v>
      </c>
      <c r="F13" s="220" t="s">
        <v>411</v>
      </c>
      <c r="G13" s="221" t="str">
        <f>G6</f>
        <v>Promoción</v>
      </c>
      <c r="H13" s="222" t="str">
        <f>H6</f>
        <v>Gen</v>
      </c>
      <c r="I13" s="221" t="str">
        <f>I6</f>
        <v>u20</v>
      </c>
      <c r="J13" s="221" t="str">
        <f>J6</f>
        <v>Lid</v>
      </c>
      <c r="K13" s="220" t="s">
        <v>27</v>
      </c>
      <c r="L13" s="220" t="str">
        <f t="shared" ref="L13:AA13" si="5">L6</f>
        <v>Pot</v>
      </c>
      <c r="M13" s="223" t="str">
        <f t="shared" si="5"/>
        <v>DEF</v>
      </c>
      <c r="N13" s="223" t="str">
        <f t="shared" si="5"/>
        <v>Pot</v>
      </c>
      <c r="O13" s="220" t="str">
        <f t="shared" si="5"/>
        <v>JUG</v>
      </c>
      <c r="P13" s="220" t="str">
        <f t="shared" si="5"/>
        <v>Pot</v>
      </c>
      <c r="Q13" s="223" t="str">
        <f t="shared" si="5"/>
        <v>LAT</v>
      </c>
      <c r="R13" s="223" t="str">
        <f t="shared" si="5"/>
        <v>Pot</v>
      </c>
      <c r="S13" s="220" t="str">
        <f t="shared" si="5"/>
        <v>PAS</v>
      </c>
      <c r="T13" s="220" t="str">
        <f t="shared" si="5"/>
        <v>Pot</v>
      </c>
      <c r="U13" s="223" t="str">
        <f t="shared" si="5"/>
        <v>ANO</v>
      </c>
      <c r="V13" s="223" t="str">
        <f t="shared" si="5"/>
        <v>Pot</v>
      </c>
      <c r="W13" s="220" t="str">
        <f t="shared" si="5"/>
        <v>BP</v>
      </c>
      <c r="X13" s="220" t="str">
        <f t="shared" si="5"/>
        <v>Pot</v>
      </c>
      <c r="Y13" s="224" t="str">
        <f t="shared" si="5"/>
        <v>HAB</v>
      </c>
      <c r="Z13" s="224" t="str">
        <f t="shared" si="5"/>
        <v>POT</v>
      </c>
      <c r="AA13" s="221" t="str">
        <f t="shared" si="5"/>
        <v>Cap</v>
      </c>
      <c r="AB13" s="221" t="s">
        <v>46</v>
      </c>
      <c r="AC13" s="221" t="str">
        <f t="shared" ref="AC13:AJ13" si="6">AC6</f>
        <v>HTMS</v>
      </c>
      <c r="AD13" s="225" t="str">
        <f t="shared" si="6"/>
        <v>PR</v>
      </c>
      <c r="AE13" s="225" t="str">
        <f t="shared" si="6"/>
        <v>DL</v>
      </c>
      <c r="AF13" s="225" t="str">
        <f t="shared" si="6"/>
        <v>DC</v>
      </c>
      <c r="AG13" s="225" t="str">
        <f t="shared" si="6"/>
        <v>In</v>
      </c>
      <c r="AH13" s="225" t="str">
        <f t="shared" si="6"/>
        <v>ExO</v>
      </c>
      <c r="AI13" s="225" t="str">
        <f t="shared" si="6"/>
        <v>DV</v>
      </c>
      <c r="AJ13" s="222" t="str">
        <f t="shared" si="6"/>
        <v>Atributs</v>
      </c>
      <c r="AL13" s="273" t="s">
        <v>480</v>
      </c>
      <c r="AM13" s="267">
        <v>18</v>
      </c>
      <c r="AN13" s="274">
        <v>1781</v>
      </c>
      <c r="AO13" s="299"/>
      <c r="AP13" s="276"/>
      <c r="AQ13" s="276"/>
      <c r="AR13" s="281">
        <v>6</v>
      </c>
      <c r="AS13" s="282">
        <v>6.99</v>
      </c>
      <c r="AT13" s="278">
        <v>3</v>
      </c>
      <c r="AU13" s="278">
        <v>3.99</v>
      </c>
      <c r="AV13" s="281">
        <v>5</v>
      </c>
      <c r="AW13" s="284">
        <v>5.99</v>
      </c>
      <c r="AX13" s="277">
        <v>4</v>
      </c>
      <c r="AY13" s="286">
        <v>5.99</v>
      </c>
      <c r="AZ13" s="276"/>
      <c r="BA13" s="277">
        <v>3.99</v>
      </c>
      <c r="BB13" s="276"/>
      <c r="BC13" s="276"/>
      <c r="BD13" s="303"/>
      <c r="BE13" s="285"/>
    </row>
    <row r="14" spans="1:57" x14ac:dyDescent="0.25">
      <c r="A14" s="163" t="s">
        <v>42</v>
      </c>
      <c r="B14" s="164" t="s">
        <v>675</v>
      </c>
      <c r="C14" s="165">
        <v>15</v>
      </c>
      <c r="D14" s="166">
        <f ca="1">B32-43400+6-112-110</f>
        <v>80</v>
      </c>
      <c r="E14" s="167"/>
      <c r="F14" s="168">
        <f t="shared" ref="F14:F18" ca="1" si="7">G14-TODAY()</f>
        <v>144</v>
      </c>
      <c r="G14" s="169">
        <v>43840</v>
      </c>
      <c r="H14" s="207" t="s">
        <v>438</v>
      </c>
      <c r="I14" s="202" t="s">
        <v>436</v>
      </c>
      <c r="J14" s="170" t="s">
        <v>426</v>
      </c>
      <c r="K14" s="165"/>
      <c r="L14" s="177">
        <v>1.99</v>
      </c>
      <c r="M14" s="165"/>
      <c r="N14" s="177">
        <v>4.99</v>
      </c>
      <c r="O14" s="165"/>
      <c r="P14" s="177">
        <v>3.99</v>
      </c>
      <c r="Q14" s="203">
        <v>3</v>
      </c>
      <c r="R14" s="204">
        <v>5.99</v>
      </c>
      <c r="S14" s="165"/>
      <c r="T14" s="177">
        <v>3.99</v>
      </c>
      <c r="U14" s="165"/>
      <c r="V14" s="177">
        <v>3.99</v>
      </c>
      <c r="W14" s="165"/>
      <c r="X14" s="165"/>
      <c r="Y14" s="178">
        <f t="shared" ref="Y14" si="8">7-(COUNTBLANK(K14)+COUNTBLANK(M14)+COUNTBLANK(O14)+COUNTBLANK(Q14)+COUNTBLANK(S14)+COUNTBLANK(U14)+COUNTBLANK(W14))</f>
        <v>1</v>
      </c>
      <c r="Z14" s="170">
        <f t="shared" ref="Z14" si="9">COUNT(X14,T14,V14,R14,P14,N14,L14)</f>
        <v>6</v>
      </c>
      <c r="AA14" s="170"/>
      <c r="AB14" s="170"/>
      <c r="AC14" s="170"/>
      <c r="AD14" s="179"/>
      <c r="AE14" s="179"/>
      <c r="AF14" s="179"/>
      <c r="AG14" s="179"/>
      <c r="AH14" s="179">
        <v>5</v>
      </c>
      <c r="AI14" s="179">
        <v>5.5</v>
      </c>
      <c r="AJ14" s="179" t="s">
        <v>443</v>
      </c>
      <c r="AL14" s="273" t="s">
        <v>481</v>
      </c>
      <c r="AM14" s="267">
        <v>16</v>
      </c>
      <c r="AN14" s="274">
        <v>1807</v>
      </c>
      <c r="AO14" s="299" t="s">
        <v>471</v>
      </c>
      <c r="AP14" s="276"/>
      <c r="AQ14" s="276"/>
      <c r="AR14" s="287">
        <v>3</v>
      </c>
      <c r="AS14" s="278">
        <v>3.99</v>
      </c>
      <c r="AT14" s="281">
        <v>5</v>
      </c>
      <c r="AU14" s="284">
        <v>5.99</v>
      </c>
      <c r="AV14" s="278">
        <v>7</v>
      </c>
      <c r="AW14" s="279">
        <v>7</v>
      </c>
      <c r="AX14" s="276"/>
      <c r="AY14" s="277">
        <v>1.99</v>
      </c>
      <c r="AZ14" s="281">
        <v>3</v>
      </c>
      <c r="BA14" s="281">
        <v>3.99</v>
      </c>
      <c r="BB14" s="276"/>
      <c r="BC14" s="276"/>
      <c r="BD14" s="288"/>
      <c r="BE14" s="163"/>
    </row>
    <row r="15" spans="1:57" x14ac:dyDescent="0.25">
      <c r="A15" s="163" t="s">
        <v>40</v>
      </c>
      <c r="B15" s="164" t="s">
        <v>445</v>
      </c>
      <c r="C15" s="165">
        <v>17</v>
      </c>
      <c r="D15" s="166">
        <f ca="1">B33-2100-6-93-112+6-64-112-54-112</f>
        <v>51</v>
      </c>
      <c r="E15" s="167"/>
      <c r="F15" s="168">
        <f t="shared" ca="1" si="7"/>
        <v>0</v>
      </c>
      <c r="G15" s="169">
        <f ca="1">TODAY()</f>
        <v>43696</v>
      </c>
      <c r="H15" s="170"/>
      <c r="I15" s="170" t="s">
        <v>436</v>
      </c>
      <c r="J15" s="170" t="s">
        <v>426</v>
      </c>
      <c r="K15" s="165"/>
      <c r="L15" s="177">
        <v>0.99</v>
      </c>
      <c r="M15" s="175">
        <v>3</v>
      </c>
      <c r="N15" s="176">
        <v>3.99</v>
      </c>
      <c r="O15" s="175">
        <v>4</v>
      </c>
      <c r="P15" s="176">
        <v>4.99</v>
      </c>
      <c r="Q15" s="203">
        <v>4</v>
      </c>
      <c r="R15" s="204">
        <v>5.99</v>
      </c>
      <c r="S15" s="203">
        <v>4</v>
      </c>
      <c r="T15" s="205">
        <v>6.99</v>
      </c>
      <c r="U15" s="172">
        <v>5</v>
      </c>
      <c r="V15" s="173">
        <v>5.99</v>
      </c>
      <c r="W15" s="165"/>
      <c r="X15" s="165"/>
      <c r="Y15" s="178">
        <f>7-(COUNTBLANK(K15)+COUNTBLANK(M15)+COUNTBLANK(O15)+COUNTBLANK(Q15)+COUNTBLANK(S15)+COUNTBLANK(U15)+COUNTBLANK(W15))</f>
        <v>5</v>
      </c>
      <c r="Z15" s="170">
        <f>COUNT(X15,T15,V15,R15,P15,N15,L15)</f>
        <v>6</v>
      </c>
      <c r="AA15" s="170">
        <v>5</v>
      </c>
      <c r="AB15" s="170"/>
      <c r="AC15" s="170"/>
      <c r="AD15" s="179"/>
      <c r="AE15" s="179"/>
      <c r="AF15" s="179"/>
      <c r="AG15" s="179">
        <v>5</v>
      </c>
      <c r="AH15" s="179">
        <v>5.5</v>
      </c>
      <c r="AI15" s="179"/>
      <c r="AJ15" s="179" t="s">
        <v>430</v>
      </c>
      <c r="AL15" s="273" t="s">
        <v>482</v>
      </c>
      <c r="AM15" s="267">
        <v>18</v>
      </c>
      <c r="AN15" s="274">
        <v>1778</v>
      </c>
      <c r="AO15" s="299" t="s">
        <v>415</v>
      </c>
      <c r="AP15" s="276"/>
      <c r="AQ15" s="277">
        <v>1.99</v>
      </c>
      <c r="AR15" s="278">
        <v>2</v>
      </c>
      <c r="AS15" s="278">
        <v>2.99</v>
      </c>
      <c r="AT15" s="278">
        <v>1</v>
      </c>
      <c r="AU15" s="278">
        <v>1.99</v>
      </c>
      <c r="AV15" s="276"/>
      <c r="AW15" s="277">
        <v>1.99</v>
      </c>
      <c r="AX15" s="276"/>
      <c r="AY15" s="286">
        <v>5.99</v>
      </c>
      <c r="AZ15" s="278">
        <v>4</v>
      </c>
      <c r="BA15" s="278">
        <v>4.99</v>
      </c>
      <c r="BB15" s="278">
        <v>5</v>
      </c>
      <c r="BC15" s="279">
        <v>5.99</v>
      </c>
      <c r="BD15" s="302"/>
      <c r="BE15" s="163"/>
    </row>
    <row r="16" spans="1:57" x14ac:dyDescent="0.25">
      <c r="A16" s="163"/>
      <c r="B16" s="180" t="s">
        <v>446</v>
      </c>
      <c r="C16" s="165">
        <v>16</v>
      </c>
      <c r="D16" s="166">
        <f ca="1">B33-2100-6-93-112+2-62-112-112</f>
        <v>103</v>
      </c>
      <c r="E16" s="167" t="s">
        <v>0</v>
      </c>
      <c r="F16" s="168">
        <f t="shared" ca="1" si="7"/>
        <v>9</v>
      </c>
      <c r="G16" s="169">
        <v>43705</v>
      </c>
      <c r="H16" s="226"/>
      <c r="I16" s="171" t="s">
        <v>429</v>
      </c>
      <c r="J16" s="170" t="s">
        <v>426</v>
      </c>
      <c r="K16" s="181"/>
      <c r="L16" s="181"/>
      <c r="M16" s="175">
        <v>3</v>
      </c>
      <c r="N16" s="176">
        <v>3.99</v>
      </c>
      <c r="O16" s="181"/>
      <c r="P16" s="177">
        <v>4.99</v>
      </c>
      <c r="Q16" s="181"/>
      <c r="R16" s="204">
        <v>5.99</v>
      </c>
      <c r="S16" s="172">
        <v>4</v>
      </c>
      <c r="T16" s="174">
        <v>4.99</v>
      </c>
      <c r="U16" s="181"/>
      <c r="V16" s="177">
        <v>3.99</v>
      </c>
      <c r="W16" s="181"/>
      <c r="X16" s="177">
        <v>2.99</v>
      </c>
      <c r="Y16" s="178">
        <f>7-(COUNTBLANK(K16)+COUNTBLANK(M16)+COUNTBLANK(O16)+COUNTBLANK(Q16)+COUNTBLANK(S16)+COUNTBLANK(U16)+COUNTBLANK(W16))</f>
        <v>2</v>
      </c>
      <c r="Z16" s="170">
        <f>COUNT(X16,T16,V16,R16,P16,N16,L16)</f>
        <v>6</v>
      </c>
      <c r="AA16" s="182"/>
      <c r="AB16" s="182"/>
      <c r="AC16" s="182"/>
      <c r="AD16" s="179"/>
      <c r="AE16" s="179"/>
      <c r="AF16" s="179"/>
      <c r="AG16" s="179"/>
      <c r="AH16" s="179"/>
      <c r="AI16" s="179"/>
      <c r="AJ16" s="179"/>
      <c r="AL16" s="273" t="s">
        <v>483</v>
      </c>
      <c r="AM16" s="267">
        <v>17</v>
      </c>
      <c r="AN16" s="274">
        <v>1683</v>
      </c>
      <c r="AO16" s="299"/>
      <c r="AP16" s="276"/>
      <c r="AQ16" s="276"/>
      <c r="AR16" s="281">
        <v>6</v>
      </c>
      <c r="AS16" s="282">
        <v>6.99</v>
      </c>
      <c r="AT16" s="278">
        <v>1</v>
      </c>
      <c r="AU16" s="278">
        <v>1.99</v>
      </c>
      <c r="AV16" s="278">
        <v>2</v>
      </c>
      <c r="AW16" s="278">
        <v>2.99</v>
      </c>
      <c r="AX16" s="277">
        <v>3</v>
      </c>
      <c r="AY16" s="277">
        <v>4.99</v>
      </c>
      <c r="AZ16" s="276"/>
      <c r="BA16" s="277">
        <v>2.99</v>
      </c>
      <c r="BB16" s="278">
        <v>4</v>
      </c>
      <c r="BC16" s="278">
        <v>4.99</v>
      </c>
      <c r="BD16" s="303"/>
      <c r="BE16" s="285"/>
    </row>
    <row r="17" spans="1:57" x14ac:dyDescent="0.25">
      <c r="A17" s="163" t="s">
        <v>239</v>
      </c>
      <c r="B17" s="180" t="s">
        <v>447</v>
      </c>
      <c r="C17" s="181">
        <v>17</v>
      </c>
      <c r="D17" s="166">
        <f ca="1">B33-2100-5-93-112+6-36-112-112-12-112</f>
        <v>10</v>
      </c>
      <c r="E17" s="167"/>
      <c r="F17" s="168">
        <f t="shared" ca="1" si="7"/>
        <v>-10</v>
      </c>
      <c r="G17" s="169">
        <v>43686</v>
      </c>
      <c r="H17" s="170"/>
      <c r="I17" s="171" t="s">
        <v>427</v>
      </c>
      <c r="J17" s="170" t="s">
        <v>426</v>
      </c>
      <c r="K17" s="181"/>
      <c r="L17" s="181"/>
      <c r="M17" s="175">
        <v>4</v>
      </c>
      <c r="N17" s="176">
        <v>4.99</v>
      </c>
      <c r="O17" s="172">
        <v>2</v>
      </c>
      <c r="P17" s="174">
        <v>2.99</v>
      </c>
      <c r="Q17" s="181"/>
      <c r="R17" s="177">
        <v>3.99</v>
      </c>
      <c r="S17" s="181"/>
      <c r="T17" s="177">
        <v>2.99</v>
      </c>
      <c r="U17" s="181"/>
      <c r="V17" s="204">
        <v>5.99</v>
      </c>
      <c r="W17" s="181"/>
      <c r="X17" s="181"/>
      <c r="Y17" s="178">
        <f>7-(COUNTBLANK(K17)+COUNTBLANK(M17)+COUNTBLANK(O17)+COUNTBLANK(Q17)+COUNTBLANK(S17)+COUNTBLANK(U17)+COUNTBLANK(W17))</f>
        <v>2</v>
      </c>
      <c r="Z17" s="170">
        <f>COUNT(X17,T17,V17,R17,P17,N17,L17)</f>
        <v>5</v>
      </c>
      <c r="AA17" s="182"/>
      <c r="AB17" s="182"/>
      <c r="AC17" s="182"/>
      <c r="AD17" s="179"/>
      <c r="AE17" s="179"/>
      <c r="AF17" s="179"/>
      <c r="AG17" s="179">
        <v>3.5</v>
      </c>
      <c r="AH17" s="179"/>
      <c r="AI17" s="179"/>
      <c r="AJ17" s="179" t="s">
        <v>430</v>
      </c>
      <c r="AL17" s="273" t="s">
        <v>484</v>
      </c>
      <c r="AM17" s="267">
        <v>16</v>
      </c>
      <c r="AN17" s="274">
        <v>1772</v>
      </c>
      <c r="AO17" s="299"/>
      <c r="AP17" s="276"/>
      <c r="AQ17" s="277">
        <v>1.99</v>
      </c>
      <c r="AR17" s="287">
        <v>3</v>
      </c>
      <c r="AS17" s="278">
        <v>3.99</v>
      </c>
      <c r="AT17" s="281">
        <v>4</v>
      </c>
      <c r="AU17" s="281">
        <v>4.99</v>
      </c>
      <c r="AV17" s="278">
        <v>5</v>
      </c>
      <c r="AW17" s="279">
        <v>5.99</v>
      </c>
      <c r="AX17" s="276"/>
      <c r="AY17" s="277">
        <v>4.99</v>
      </c>
      <c r="AZ17" s="278">
        <v>2</v>
      </c>
      <c r="BA17" s="278">
        <v>2.99</v>
      </c>
      <c r="BB17" s="278">
        <v>4</v>
      </c>
      <c r="BC17" s="278">
        <v>4.99</v>
      </c>
      <c r="BD17" s="303"/>
      <c r="BE17" s="285"/>
    </row>
    <row r="18" spans="1:57" x14ac:dyDescent="0.25">
      <c r="A18" s="163"/>
      <c r="B18" s="180" t="s">
        <v>448</v>
      </c>
      <c r="C18" s="165">
        <v>17</v>
      </c>
      <c r="D18" s="166">
        <f ca="1">B33-2100-6-116+4-112-112-6-112-112</f>
        <v>26</v>
      </c>
      <c r="E18" s="167"/>
      <c r="F18" s="168">
        <f t="shared" ca="1" si="7"/>
        <v>-26</v>
      </c>
      <c r="G18" s="169">
        <v>43670</v>
      </c>
      <c r="H18" s="207" t="s">
        <v>438</v>
      </c>
      <c r="I18" s="171" t="s">
        <v>427</v>
      </c>
      <c r="J18" s="170" t="s">
        <v>426</v>
      </c>
      <c r="K18" s="181"/>
      <c r="L18" s="177">
        <v>1.99</v>
      </c>
      <c r="M18" s="181"/>
      <c r="N18" s="177">
        <v>2.99</v>
      </c>
      <c r="O18" s="172">
        <v>4</v>
      </c>
      <c r="P18" s="174">
        <v>4.99</v>
      </c>
      <c r="Q18" s="181"/>
      <c r="R18" s="177">
        <v>4.99</v>
      </c>
      <c r="S18" s="203">
        <v>4</v>
      </c>
      <c r="T18" s="204">
        <v>5.99</v>
      </c>
      <c r="U18" s="175">
        <v>2</v>
      </c>
      <c r="V18" s="176">
        <v>2.99</v>
      </c>
      <c r="W18" s="181"/>
      <c r="X18" s="205">
        <v>6.99</v>
      </c>
      <c r="Y18" s="178">
        <f>7-(COUNTBLANK(K18)+COUNTBLANK(M18)+COUNTBLANK(O18)+COUNTBLANK(Q18)+COUNTBLANK(S18)+COUNTBLANK(U18)+COUNTBLANK(W18))</f>
        <v>3</v>
      </c>
      <c r="Z18" s="170">
        <f>COUNT(X18,T18,V18,R18,P18,N18,L18)</f>
        <v>7</v>
      </c>
      <c r="AA18" s="182"/>
      <c r="AB18" s="182">
        <v>9</v>
      </c>
      <c r="AC18" s="182"/>
      <c r="AD18" s="179"/>
      <c r="AE18" s="179"/>
      <c r="AF18" s="179"/>
      <c r="AG18" s="179">
        <v>4.5</v>
      </c>
      <c r="AH18" s="179">
        <v>4.5</v>
      </c>
      <c r="AI18" s="179"/>
      <c r="AJ18" s="179" t="s">
        <v>430</v>
      </c>
      <c r="AL18" s="273" t="s">
        <v>485</v>
      </c>
      <c r="AM18" s="267">
        <v>17</v>
      </c>
      <c r="AN18" s="274">
        <v>1733</v>
      </c>
      <c r="AO18" s="299" t="s">
        <v>486</v>
      </c>
      <c r="AP18" s="276"/>
      <c r="AQ18" s="277">
        <v>1.99</v>
      </c>
      <c r="AR18" s="281">
        <v>4</v>
      </c>
      <c r="AS18" s="281">
        <v>4.99</v>
      </c>
      <c r="AT18" s="281">
        <v>3</v>
      </c>
      <c r="AU18" s="281">
        <v>3.99</v>
      </c>
      <c r="AV18" s="281">
        <v>6</v>
      </c>
      <c r="AW18" s="282">
        <v>6.99</v>
      </c>
      <c r="AX18" s="276"/>
      <c r="AY18" s="277">
        <v>4.99</v>
      </c>
      <c r="AZ18" s="276"/>
      <c r="BA18" s="277">
        <v>2.99</v>
      </c>
      <c r="BB18" s="276"/>
      <c r="BC18" s="277">
        <v>4.99</v>
      </c>
      <c r="BD18" s="303"/>
      <c r="BE18" s="163"/>
    </row>
    <row r="19" spans="1:57" x14ac:dyDescent="0.25">
      <c r="A19" s="156"/>
      <c r="B19" s="227" t="s">
        <v>432</v>
      </c>
      <c r="C19" s="227"/>
      <c r="D19" s="227"/>
      <c r="E19" s="228"/>
      <c r="F19" s="227"/>
      <c r="G19" s="229"/>
      <c r="H19" s="230"/>
      <c r="I19" s="229"/>
      <c r="J19" s="229"/>
      <c r="K19" s="231" t="s">
        <v>433</v>
      </c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29"/>
      <c r="Z19" s="229"/>
      <c r="AA19" s="229"/>
      <c r="AB19" s="229"/>
      <c r="AC19" s="229"/>
      <c r="AD19" s="232" t="s">
        <v>434</v>
      </c>
      <c r="AE19" s="232"/>
      <c r="AF19" s="232"/>
      <c r="AG19" s="232"/>
      <c r="AH19" s="232"/>
      <c r="AI19" s="232"/>
      <c r="AJ19" s="233"/>
      <c r="AL19" s="273" t="s">
        <v>487</v>
      </c>
      <c r="AM19" s="267">
        <v>17</v>
      </c>
      <c r="AN19" s="274">
        <v>1665</v>
      </c>
      <c r="AO19" s="299"/>
      <c r="AP19" s="281">
        <v>1</v>
      </c>
      <c r="AQ19" s="281">
        <v>1.99</v>
      </c>
      <c r="AR19" s="281">
        <v>2</v>
      </c>
      <c r="AS19" s="281">
        <v>2.99</v>
      </c>
      <c r="AT19" s="278">
        <v>5</v>
      </c>
      <c r="AU19" s="279">
        <v>5.99</v>
      </c>
      <c r="AV19" s="278">
        <v>3</v>
      </c>
      <c r="AW19" s="278">
        <v>3.99</v>
      </c>
      <c r="AX19" s="276"/>
      <c r="AY19" s="277">
        <v>4.99</v>
      </c>
      <c r="AZ19" s="278">
        <v>2</v>
      </c>
      <c r="BA19" s="278">
        <v>2.99</v>
      </c>
      <c r="BB19" s="276"/>
      <c r="BC19" s="277">
        <v>2.99</v>
      </c>
      <c r="BD19" s="303"/>
      <c r="BE19" s="163"/>
    </row>
    <row r="20" spans="1:57" x14ac:dyDescent="0.25">
      <c r="A20" s="163"/>
      <c r="B20" s="234" t="s">
        <v>3</v>
      </c>
      <c r="C20" s="234" t="s">
        <v>409</v>
      </c>
      <c r="D20" s="234" t="s">
        <v>5</v>
      </c>
      <c r="E20" s="235" t="s">
        <v>410</v>
      </c>
      <c r="F20" s="234" t="s">
        <v>411</v>
      </c>
      <c r="G20" s="235" t="str">
        <f>G13</f>
        <v>Promoción</v>
      </c>
      <c r="H20" s="236" t="str">
        <f>H13</f>
        <v>Gen</v>
      </c>
      <c r="I20" s="235" t="str">
        <f>I13</f>
        <v>u20</v>
      </c>
      <c r="J20" s="235" t="str">
        <f>J13</f>
        <v>Lid</v>
      </c>
      <c r="K20" s="234" t="s">
        <v>27</v>
      </c>
      <c r="L20" s="234" t="str">
        <f t="shared" ref="L20:AA20" si="10">L13</f>
        <v>Pot</v>
      </c>
      <c r="M20" s="237" t="str">
        <f t="shared" si="10"/>
        <v>DEF</v>
      </c>
      <c r="N20" s="237" t="str">
        <f t="shared" si="10"/>
        <v>Pot</v>
      </c>
      <c r="O20" s="234" t="str">
        <f t="shared" si="10"/>
        <v>JUG</v>
      </c>
      <c r="P20" s="234" t="str">
        <f t="shared" si="10"/>
        <v>Pot</v>
      </c>
      <c r="Q20" s="237" t="str">
        <f t="shared" si="10"/>
        <v>LAT</v>
      </c>
      <c r="R20" s="237" t="str">
        <f t="shared" si="10"/>
        <v>Pot</v>
      </c>
      <c r="S20" s="234" t="str">
        <f t="shared" si="10"/>
        <v>PAS</v>
      </c>
      <c r="T20" s="234" t="str">
        <f t="shared" si="10"/>
        <v>Pot</v>
      </c>
      <c r="U20" s="237" t="str">
        <f t="shared" si="10"/>
        <v>ANO</v>
      </c>
      <c r="V20" s="237" t="str">
        <f t="shared" si="10"/>
        <v>Pot</v>
      </c>
      <c r="W20" s="234" t="str">
        <f t="shared" si="10"/>
        <v>BP</v>
      </c>
      <c r="X20" s="234" t="str">
        <f t="shared" si="10"/>
        <v>Pot</v>
      </c>
      <c r="Y20" s="238" t="str">
        <f t="shared" si="10"/>
        <v>HAB</v>
      </c>
      <c r="Z20" s="238" t="str">
        <f t="shared" si="10"/>
        <v>POT</v>
      </c>
      <c r="AA20" s="235" t="str">
        <f t="shared" si="10"/>
        <v>Cap</v>
      </c>
      <c r="AB20" s="235" t="s">
        <v>46</v>
      </c>
      <c r="AC20" s="235" t="str">
        <f t="shared" ref="AC20:AJ20" si="11">AC13</f>
        <v>HTMS</v>
      </c>
      <c r="AD20" s="239" t="str">
        <f t="shared" si="11"/>
        <v>PR</v>
      </c>
      <c r="AE20" s="239" t="str">
        <f t="shared" si="11"/>
        <v>DL</v>
      </c>
      <c r="AF20" s="239" t="str">
        <f t="shared" si="11"/>
        <v>DC</v>
      </c>
      <c r="AG20" s="239" t="str">
        <f t="shared" si="11"/>
        <v>In</v>
      </c>
      <c r="AH20" s="239" t="str">
        <f t="shared" si="11"/>
        <v>ExO</v>
      </c>
      <c r="AI20" s="239" t="str">
        <f t="shared" si="11"/>
        <v>DV</v>
      </c>
      <c r="AJ20" s="236" t="str">
        <f t="shared" si="11"/>
        <v>Atributs</v>
      </c>
      <c r="AL20" s="273" t="s">
        <v>488</v>
      </c>
      <c r="AM20" s="267">
        <v>17</v>
      </c>
      <c r="AN20" s="274">
        <v>1585</v>
      </c>
      <c r="AO20" s="299" t="s">
        <v>475</v>
      </c>
      <c r="AP20" s="288"/>
      <c r="AQ20" s="288"/>
      <c r="AR20" s="278">
        <v>4</v>
      </c>
      <c r="AS20" s="278">
        <v>4.99</v>
      </c>
      <c r="AT20" s="288"/>
      <c r="AU20" s="277">
        <v>2.99</v>
      </c>
      <c r="AV20" s="281">
        <v>5</v>
      </c>
      <c r="AW20" s="284">
        <v>5.99</v>
      </c>
      <c r="AX20" s="288"/>
      <c r="AY20" s="277">
        <v>1.99</v>
      </c>
      <c r="AZ20" s="288"/>
      <c r="BA20" s="277">
        <v>3.99</v>
      </c>
      <c r="BB20" s="288"/>
      <c r="BC20" s="277">
        <v>2.99</v>
      </c>
      <c r="BD20" s="288"/>
      <c r="BE20" s="163"/>
    </row>
    <row r="21" spans="1:57" x14ac:dyDescent="0.25">
      <c r="A21" s="163"/>
      <c r="B21" s="206"/>
      <c r="C21" s="181">
        <v>16</v>
      </c>
      <c r="D21" s="166">
        <f ca="1">B32-43375-112-112+8</f>
        <v>105</v>
      </c>
      <c r="E21" s="167"/>
      <c r="F21" s="168">
        <f ca="1">G21-TODAY()</f>
        <v>-43696</v>
      </c>
      <c r="G21" s="169"/>
      <c r="H21" s="170"/>
      <c r="I21" s="170"/>
      <c r="J21" s="170"/>
      <c r="K21" s="181"/>
      <c r="W21" s="181"/>
      <c r="X21" s="181"/>
      <c r="Y21" s="178">
        <f>7-(COUNTBLANK(K21)+COUNTBLANK(N21)+COUNTBLANK(P21)+COUNTBLANK(R21)+COUNTBLANK(T21)+COUNTBLANK(V21)+COUNTBLANK(X21))</f>
        <v>0</v>
      </c>
      <c r="Z21" s="170">
        <f>COUNT(#REF!,U21,W21,S21,Q21,O21,M21)</f>
        <v>0</v>
      </c>
      <c r="AA21" s="182"/>
      <c r="AB21" s="182"/>
      <c r="AC21" s="182"/>
      <c r="AD21" s="179"/>
      <c r="AE21" s="179"/>
      <c r="AF21" s="179"/>
      <c r="AG21" s="179"/>
      <c r="AH21" s="179"/>
      <c r="AI21" s="179"/>
      <c r="AJ21" s="179"/>
      <c r="AL21" s="273" t="s">
        <v>489</v>
      </c>
      <c r="AM21" s="267">
        <v>16</v>
      </c>
      <c r="AN21" s="274">
        <v>1687</v>
      </c>
      <c r="AO21" s="299" t="s">
        <v>478</v>
      </c>
      <c r="AP21" s="288"/>
      <c r="AQ21" s="277">
        <v>1.99</v>
      </c>
      <c r="AR21" s="281">
        <v>5</v>
      </c>
      <c r="AS21" s="284">
        <v>5.99</v>
      </c>
      <c r="AT21" s="278">
        <v>5</v>
      </c>
      <c r="AU21" s="279">
        <v>5.99</v>
      </c>
      <c r="AV21" s="288"/>
      <c r="AW21" s="277">
        <v>3.99</v>
      </c>
      <c r="AX21" s="288"/>
      <c r="AY21" s="277">
        <v>4.99</v>
      </c>
      <c r="AZ21" s="278">
        <v>2</v>
      </c>
      <c r="BA21" s="278">
        <v>2.99</v>
      </c>
      <c r="BB21" s="288"/>
      <c r="BC21" s="277">
        <v>4.99</v>
      </c>
      <c r="BD21" s="288"/>
      <c r="BE21" s="163"/>
    </row>
    <row r="22" spans="1:57" x14ac:dyDescent="0.25">
      <c r="A22" s="163" t="s">
        <v>37</v>
      </c>
      <c r="B22" s="164" t="s">
        <v>439</v>
      </c>
      <c r="C22" s="165">
        <v>16</v>
      </c>
      <c r="D22" s="166">
        <f ca="1">B33-2100-6-116+4-112-112-113-112</f>
        <v>31</v>
      </c>
      <c r="E22" s="167" t="s">
        <v>440</v>
      </c>
      <c r="F22" s="168">
        <f ca="1">G22-TODAY()</f>
        <v>81</v>
      </c>
      <c r="G22" s="169">
        <v>43777</v>
      </c>
      <c r="H22" s="202"/>
      <c r="I22" s="208" t="s">
        <v>441</v>
      </c>
      <c r="J22" s="170" t="s">
        <v>426</v>
      </c>
      <c r="K22" s="165"/>
      <c r="L22" s="165"/>
      <c r="M22" s="203">
        <v>3</v>
      </c>
      <c r="N22" s="165"/>
      <c r="O22" s="165"/>
      <c r="P22" s="177">
        <v>2.99</v>
      </c>
      <c r="Q22" s="165"/>
      <c r="R22" s="177">
        <v>4.99</v>
      </c>
      <c r="S22" s="165"/>
      <c r="T22" s="177">
        <v>4.99</v>
      </c>
      <c r="U22" s="175">
        <v>2</v>
      </c>
      <c r="V22" s="176">
        <v>2.99</v>
      </c>
      <c r="W22" s="165"/>
      <c r="X22" s="165"/>
      <c r="Y22" s="178">
        <f>7-(COUNTBLANK(K22)+COUNTBLANK(M22)+COUNTBLANK(O22)+COUNTBLANK(Q22)+COUNTBLANK(S22)+COUNTBLANK(U22)+COUNTBLANK(W22))</f>
        <v>2</v>
      </c>
      <c r="Z22" s="170">
        <f>COUNT(X22,T22,V22,R22,P22,N22,L22)</f>
        <v>4</v>
      </c>
      <c r="AA22" s="170"/>
      <c r="AB22" s="170"/>
      <c r="AC22" s="170"/>
      <c r="AD22" s="179"/>
      <c r="AE22" s="179"/>
      <c r="AF22" s="179"/>
      <c r="AG22" s="179"/>
      <c r="AH22" s="179">
        <v>4.5</v>
      </c>
      <c r="AI22" s="179"/>
      <c r="AJ22" s="179" t="s">
        <v>430</v>
      </c>
      <c r="AL22" s="273" t="s">
        <v>493</v>
      </c>
      <c r="AM22" s="267">
        <v>16</v>
      </c>
      <c r="AN22" s="274">
        <v>1596</v>
      </c>
      <c r="AO22" s="299"/>
      <c r="AP22" s="288"/>
      <c r="AQ22" s="288"/>
      <c r="AR22" s="281">
        <v>1</v>
      </c>
      <c r="AS22" s="281">
        <v>1.99</v>
      </c>
      <c r="AT22" s="278">
        <v>6</v>
      </c>
      <c r="AU22" s="279">
        <v>6.99</v>
      </c>
      <c r="AV22" s="278">
        <v>3</v>
      </c>
      <c r="AW22" s="278">
        <v>3.99</v>
      </c>
      <c r="AX22" s="278">
        <v>3</v>
      </c>
      <c r="AY22" s="278">
        <v>3.99</v>
      </c>
      <c r="AZ22" s="278">
        <v>4</v>
      </c>
      <c r="BA22" s="278">
        <v>4.99</v>
      </c>
      <c r="BB22" s="288"/>
      <c r="BC22" s="277">
        <v>4.99</v>
      </c>
      <c r="BD22" s="288"/>
      <c r="BE22" s="163"/>
    </row>
    <row r="23" spans="1:57" x14ac:dyDescent="0.25">
      <c r="A23" s="163" t="s">
        <v>37</v>
      </c>
      <c r="B23" s="241" t="s">
        <v>449</v>
      </c>
      <c r="C23" s="165">
        <v>18</v>
      </c>
      <c r="D23" s="166">
        <f ca="1">B33-2150+2-112+7-112-78-112-112</f>
        <v>31</v>
      </c>
      <c r="E23" s="167" t="s">
        <v>101</v>
      </c>
      <c r="F23" s="168">
        <f t="shared" ref="F23:F28" ca="1" si="12">G23-TODAY()</f>
        <v>0</v>
      </c>
      <c r="G23" s="169">
        <f ca="1">TODAY()</f>
        <v>43696</v>
      </c>
      <c r="H23" s="207" t="s">
        <v>438</v>
      </c>
      <c r="I23" s="202" t="s">
        <v>436</v>
      </c>
      <c r="J23" s="170" t="s">
        <v>426</v>
      </c>
      <c r="K23" s="165"/>
      <c r="L23" s="177">
        <v>1.99</v>
      </c>
      <c r="M23" s="165"/>
      <c r="N23" s="177">
        <v>3.99</v>
      </c>
      <c r="O23" s="175">
        <v>2</v>
      </c>
      <c r="P23" s="176">
        <v>2.99</v>
      </c>
      <c r="Q23" s="203">
        <v>4</v>
      </c>
      <c r="R23" s="205">
        <v>6.99</v>
      </c>
      <c r="S23" s="172">
        <v>4</v>
      </c>
      <c r="T23" s="174">
        <v>4.99</v>
      </c>
      <c r="U23" s="165"/>
      <c r="V23" s="177">
        <v>3.99</v>
      </c>
      <c r="W23" s="165"/>
      <c r="X23" s="165"/>
      <c r="Y23" s="178">
        <f t="shared" ref="Y23:Y28" si="13">7-(COUNTBLANK(K23)+COUNTBLANK(M23)+COUNTBLANK(O23)+COUNTBLANK(Q23)+COUNTBLANK(S23)+COUNTBLANK(U23)+COUNTBLANK(W23))</f>
        <v>3</v>
      </c>
      <c r="Z23" s="170">
        <f t="shared" ref="Z23:Z28" si="14">COUNT(X23,T23,V23,R23,P23,N23,L23)</f>
        <v>6</v>
      </c>
      <c r="AA23" s="170"/>
      <c r="AB23" s="170"/>
      <c r="AC23" s="170"/>
      <c r="AD23" s="179"/>
      <c r="AE23" s="179">
        <v>3.5</v>
      </c>
      <c r="AF23" s="179"/>
      <c r="AG23" s="179"/>
      <c r="AH23" s="179"/>
      <c r="AI23" s="179"/>
      <c r="AJ23" s="179" t="s">
        <v>430</v>
      </c>
      <c r="AL23" s="273" t="s">
        <v>490</v>
      </c>
      <c r="AM23" s="267">
        <v>18</v>
      </c>
      <c r="AN23" s="274">
        <v>1648</v>
      </c>
      <c r="AO23" s="299" t="s">
        <v>471</v>
      </c>
      <c r="AP23" s="288"/>
      <c r="AQ23" s="277">
        <v>2.99</v>
      </c>
      <c r="AR23" s="281">
        <v>4</v>
      </c>
      <c r="AS23" s="281">
        <v>4.99</v>
      </c>
      <c r="AT23" s="277">
        <v>3</v>
      </c>
      <c r="AU23" s="277">
        <v>4.99</v>
      </c>
      <c r="AV23" s="278">
        <v>1</v>
      </c>
      <c r="AW23" s="278">
        <v>1.99</v>
      </c>
      <c r="AX23" s="288"/>
      <c r="AY23" s="277">
        <v>1.99</v>
      </c>
      <c r="AZ23" s="288"/>
      <c r="BA23" s="277">
        <v>4.99</v>
      </c>
      <c r="BB23" s="278">
        <v>4</v>
      </c>
      <c r="BC23" s="278">
        <v>4.99</v>
      </c>
      <c r="BD23" s="288"/>
      <c r="BE23" s="163"/>
    </row>
    <row r="24" spans="1:57" x14ac:dyDescent="0.25">
      <c r="A24" s="163" t="s">
        <v>38</v>
      </c>
      <c r="B24" s="206" t="s">
        <v>450</v>
      </c>
      <c r="C24" s="165">
        <v>18</v>
      </c>
      <c r="D24" s="166">
        <f ca="1">B33-2150+2-112+7-112-72-112-112</f>
        <v>37</v>
      </c>
      <c r="E24" s="167"/>
      <c r="F24" s="168">
        <f t="shared" ca="1" si="12"/>
        <v>0</v>
      </c>
      <c r="G24" s="169">
        <f ca="1">TODAY()</f>
        <v>43696</v>
      </c>
      <c r="H24" s="226" t="s">
        <v>451</v>
      </c>
      <c r="I24" s="202" t="s">
        <v>436</v>
      </c>
      <c r="J24" s="170" t="s">
        <v>426</v>
      </c>
      <c r="K24" s="165"/>
      <c r="L24" s="177">
        <v>1.99</v>
      </c>
      <c r="M24" s="175">
        <v>2</v>
      </c>
      <c r="N24" s="176">
        <v>2.99</v>
      </c>
      <c r="O24" s="172">
        <v>3</v>
      </c>
      <c r="P24" s="174">
        <v>3.99</v>
      </c>
      <c r="Q24" s="175">
        <v>4</v>
      </c>
      <c r="R24" s="176">
        <v>4.99</v>
      </c>
      <c r="S24" s="181"/>
      <c r="T24" s="205">
        <v>6.99</v>
      </c>
      <c r="U24" s="175">
        <v>2</v>
      </c>
      <c r="V24" s="176">
        <v>2.99</v>
      </c>
      <c r="W24" s="165"/>
      <c r="X24" s="165"/>
      <c r="Y24" s="178">
        <f t="shared" si="13"/>
        <v>4</v>
      </c>
      <c r="Z24" s="170">
        <f t="shared" si="14"/>
        <v>6</v>
      </c>
      <c r="AA24" s="170"/>
      <c r="AB24" s="170"/>
      <c r="AC24" s="170"/>
      <c r="AD24" s="179"/>
      <c r="AE24" s="179">
        <v>2</v>
      </c>
      <c r="AF24" s="179">
        <v>3</v>
      </c>
      <c r="AG24" s="179">
        <v>5</v>
      </c>
      <c r="AH24" s="179">
        <v>5.5</v>
      </c>
      <c r="AI24" s="179">
        <v>4.5</v>
      </c>
      <c r="AJ24" s="179" t="s">
        <v>443</v>
      </c>
      <c r="AL24" s="273" t="s">
        <v>491</v>
      </c>
      <c r="AM24" s="267">
        <v>19</v>
      </c>
      <c r="AN24" s="274">
        <v>1525</v>
      </c>
      <c r="AO24" s="299"/>
      <c r="AP24" s="276"/>
      <c r="AQ24" s="277">
        <v>0.99</v>
      </c>
      <c r="AR24" s="278">
        <v>4</v>
      </c>
      <c r="AS24" s="278">
        <v>4.99</v>
      </c>
      <c r="AT24" s="276"/>
      <c r="AU24" s="277">
        <v>2.99</v>
      </c>
      <c r="AV24" s="281">
        <v>4</v>
      </c>
      <c r="AW24" s="281">
        <v>4.99</v>
      </c>
      <c r="AX24" s="276"/>
      <c r="AY24" s="277">
        <v>2.99</v>
      </c>
      <c r="AZ24" s="276"/>
      <c r="BA24" s="277">
        <v>4.99</v>
      </c>
      <c r="BB24" s="278">
        <v>4</v>
      </c>
      <c r="BC24" s="278">
        <v>4.99</v>
      </c>
      <c r="BD24" s="288"/>
      <c r="BE24" s="163"/>
    </row>
    <row r="25" spans="1:57" x14ac:dyDescent="0.25">
      <c r="A25" s="163" t="s">
        <v>452</v>
      </c>
      <c r="B25" s="206" t="s">
        <v>453</v>
      </c>
      <c r="C25" s="165">
        <v>17</v>
      </c>
      <c r="D25" s="166">
        <f ca="1">88+B33-2516-112-112</f>
        <v>46</v>
      </c>
      <c r="E25" s="167"/>
      <c r="F25" s="168">
        <v>0</v>
      </c>
      <c r="G25" s="169">
        <v>43650</v>
      </c>
      <c r="H25" s="207" t="s">
        <v>438</v>
      </c>
      <c r="I25" s="171" t="s">
        <v>427</v>
      </c>
      <c r="J25" s="170" t="s">
        <v>426</v>
      </c>
      <c r="K25" s="203">
        <v>3</v>
      </c>
      <c r="L25" s="177">
        <v>4.99</v>
      </c>
      <c r="M25" s="203">
        <v>3</v>
      </c>
      <c r="N25" s="177">
        <v>4.99</v>
      </c>
      <c r="O25" s="181"/>
      <c r="P25" s="177">
        <v>0.99</v>
      </c>
      <c r="Q25" s="181"/>
      <c r="R25" s="177">
        <v>1.99</v>
      </c>
      <c r="S25" s="181"/>
      <c r="T25" s="177">
        <v>1.99</v>
      </c>
      <c r="U25" s="175">
        <v>0</v>
      </c>
      <c r="V25" s="176">
        <v>0.99</v>
      </c>
      <c r="W25" s="181"/>
      <c r="X25" s="177">
        <v>1.99</v>
      </c>
      <c r="Y25" s="178">
        <f t="shared" si="13"/>
        <v>3</v>
      </c>
      <c r="Z25" s="170">
        <f t="shared" si="14"/>
        <v>7</v>
      </c>
      <c r="AA25" s="182"/>
      <c r="AB25" s="182"/>
      <c r="AC25" s="182"/>
      <c r="AD25" s="179">
        <v>4</v>
      </c>
      <c r="AE25" s="179"/>
      <c r="AF25" s="179"/>
      <c r="AG25" s="179"/>
      <c r="AH25" s="179"/>
      <c r="AI25" s="179">
        <v>6.5</v>
      </c>
      <c r="AJ25" s="179" t="s">
        <v>430</v>
      </c>
      <c r="AL25" s="273" t="s">
        <v>492</v>
      </c>
      <c r="AM25" s="267">
        <v>16</v>
      </c>
      <c r="AN25" s="274">
        <v>-624</v>
      </c>
      <c r="AO25" s="299"/>
      <c r="AP25" s="288"/>
      <c r="AQ25" s="288"/>
      <c r="AR25" s="278">
        <v>2</v>
      </c>
      <c r="AS25" s="278">
        <v>2.99</v>
      </c>
      <c r="AT25" s="278">
        <v>5</v>
      </c>
      <c r="AU25" s="279">
        <v>5.99</v>
      </c>
      <c r="AV25" s="281">
        <v>6</v>
      </c>
      <c r="AW25" s="282">
        <v>6.99</v>
      </c>
      <c r="AX25" s="281">
        <v>4</v>
      </c>
      <c r="AY25" s="281">
        <v>4.99</v>
      </c>
      <c r="AZ25" s="278">
        <v>4</v>
      </c>
      <c r="BA25" s="278">
        <v>4.99</v>
      </c>
      <c r="BB25" s="278">
        <v>3</v>
      </c>
      <c r="BC25" s="278">
        <v>3.99</v>
      </c>
      <c r="BD25" s="288"/>
      <c r="BE25" s="163"/>
    </row>
    <row r="26" spans="1:57" x14ac:dyDescent="0.25">
      <c r="A26" s="163" t="s">
        <v>35</v>
      </c>
      <c r="B26" s="206" t="s">
        <v>454</v>
      </c>
      <c r="C26" s="181">
        <v>17</v>
      </c>
      <c r="D26" s="166">
        <f ca="1">B32-43400+6-112-112</f>
        <v>78</v>
      </c>
      <c r="E26" s="167"/>
      <c r="F26" s="168">
        <f t="shared" ca="1" si="12"/>
        <v>0</v>
      </c>
      <c r="G26" s="169">
        <f ca="1">TODAY()</f>
        <v>43696</v>
      </c>
      <c r="H26" s="202" t="s">
        <v>438</v>
      </c>
      <c r="I26" s="170" t="s">
        <v>436</v>
      </c>
      <c r="J26" s="170" t="s">
        <v>426</v>
      </c>
      <c r="K26" s="181"/>
      <c r="L26" s="177">
        <v>1.99</v>
      </c>
      <c r="M26" s="175">
        <v>2</v>
      </c>
      <c r="N26" s="176">
        <v>2.99</v>
      </c>
      <c r="O26" s="181"/>
      <c r="P26" s="177">
        <v>4.99</v>
      </c>
      <c r="Q26" s="175">
        <v>4</v>
      </c>
      <c r="R26" s="176">
        <v>4.99</v>
      </c>
      <c r="S26" s="181"/>
      <c r="T26" s="177">
        <v>4.99</v>
      </c>
      <c r="U26" s="181"/>
      <c r="V26" s="177">
        <v>3.99</v>
      </c>
      <c r="W26" s="181"/>
      <c r="X26" s="181"/>
      <c r="Y26" s="178">
        <f t="shared" si="13"/>
        <v>2</v>
      </c>
      <c r="Z26" s="170">
        <f t="shared" si="14"/>
        <v>6</v>
      </c>
      <c r="AA26" s="182"/>
      <c r="AB26" s="182"/>
      <c r="AC26" s="182"/>
      <c r="AD26" s="179"/>
      <c r="AE26" s="179"/>
      <c r="AF26" s="179">
        <v>3</v>
      </c>
      <c r="AG26" s="179">
        <v>4.5</v>
      </c>
      <c r="AH26" s="179">
        <v>4.5</v>
      </c>
      <c r="AI26" s="179">
        <v>5</v>
      </c>
      <c r="AJ26" s="179" t="s">
        <v>443</v>
      </c>
      <c r="AL26" s="273" t="s">
        <v>494</v>
      </c>
      <c r="AM26" s="267">
        <v>16</v>
      </c>
      <c r="AN26" s="274">
        <v>1566</v>
      </c>
      <c r="AO26" s="299" t="s">
        <v>471</v>
      </c>
      <c r="AP26" s="288"/>
      <c r="AQ26" s="288"/>
      <c r="AR26" s="277">
        <v>2</v>
      </c>
      <c r="AS26" s="288"/>
      <c r="AT26" s="281">
        <v>4</v>
      </c>
      <c r="AU26" s="281">
        <v>4.99</v>
      </c>
      <c r="AV26" s="278">
        <v>4</v>
      </c>
      <c r="AW26" s="278">
        <v>4.99</v>
      </c>
      <c r="AX26" s="281">
        <v>6</v>
      </c>
      <c r="AY26" s="282">
        <v>6.99</v>
      </c>
      <c r="AZ26" s="278">
        <v>4</v>
      </c>
      <c r="BA26" s="278">
        <v>4.99</v>
      </c>
      <c r="BB26" s="288"/>
      <c r="BC26" s="277">
        <v>3.99</v>
      </c>
      <c r="BD26" s="288"/>
      <c r="BE26" s="163"/>
    </row>
    <row r="27" spans="1:57" x14ac:dyDescent="0.25">
      <c r="A27" s="163" t="s">
        <v>45</v>
      </c>
      <c r="B27" s="206" t="s">
        <v>455</v>
      </c>
      <c r="C27" s="181">
        <v>18</v>
      </c>
      <c r="D27" s="166">
        <f ca="1">B33-2100-6-93-112+6-36-112-112-112</f>
        <v>21</v>
      </c>
      <c r="E27" s="167"/>
      <c r="F27" s="168">
        <f t="shared" ca="1" si="12"/>
        <v>0</v>
      </c>
      <c r="G27" s="169">
        <f ca="1">TODAY()</f>
        <v>43696</v>
      </c>
      <c r="H27" s="202" t="s">
        <v>456</v>
      </c>
      <c r="I27" s="170" t="s">
        <v>436</v>
      </c>
      <c r="J27" s="170" t="s">
        <v>426</v>
      </c>
      <c r="K27" s="181"/>
      <c r="L27" s="181"/>
      <c r="M27" s="181"/>
      <c r="N27" s="177">
        <v>2.99</v>
      </c>
      <c r="O27" s="181"/>
      <c r="P27" s="177">
        <v>3.99</v>
      </c>
      <c r="Q27" s="172">
        <v>4</v>
      </c>
      <c r="R27" s="174">
        <v>4.99</v>
      </c>
      <c r="S27" s="175">
        <v>2</v>
      </c>
      <c r="T27" s="176">
        <v>2.99</v>
      </c>
      <c r="U27" s="181"/>
      <c r="V27" s="177">
        <v>2.99</v>
      </c>
      <c r="W27" s="181"/>
      <c r="X27" s="181"/>
      <c r="Y27" s="178">
        <f t="shared" si="13"/>
        <v>2</v>
      </c>
      <c r="Z27" s="170">
        <f t="shared" si="14"/>
        <v>5</v>
      </c>
      <c r="AA27" s="182"/>
      <c r="AB27" s="182"/>
      <c r="AC27" s="182"/>
      <c r="AD27" s="179">
        <v>1</v>
      </c>
      <c r="AE27" s="179"/>
      <c r="AF27" s="179">
        <v>3.5</v>
      </c>
      <c r="AG27" s="179">
        <v>4</v>
      </c>
      <c r="AH27" s="179">
        <v>4</v>
      </c>
      <c r="AI27" s="179"/>
      <c r="AJ27" s="179" t="s">
        <v>430</v>
      </c>
      <c r="AL27" s="273" t="s">
        <v>495</v>
      </c>
      <c r="AM27" s="267">
        <v>19</v>
      </c>
      <c r="AN27" s="274">
        <v>1449</v>
      </c>
      <c r="AO27" s="299" t="s">
        <v>478</v>
      </c>
      <c r="AP27" s="276"/>
      <c r="AQ27" s="277">
        <v>1.99</v>
      </c>
      <c r="AR27" s="278">
        <v>4</v>
      </c>
      <c r="AS27" s="278">
        <v>4.99</v>
      </c>
      <c r="AT27" s="278">
        <v>2</v>
      </c>
      <c r="AU27" s="278">
        <v>2.99</v>
      </c>
      <c r="AV27" s="278">
        <v>4</v>
      </c>
      <c r="AW27" s="278">
        <v>4.99</v>
      </c>
      <c r="AX27" s="281">
        <v>3</v>
      </c>
      <c r="AY27" s="281">
        <v>3.99</v>
      </c>
      <c r="AZ27" s="277">
        <v>5</v>
      </c>
      <c r="BA27" s="289">
        <v>6.99</v>
      </c>
      <c r="BB27" s="287">
        <v>0</v>
      </c>
      <c r="BC27" s="278">
        <v>0.99</v>
      </c>
      <c r="BD27" s="302"/>
      <c r="BE27" s="163"/>
    </row>
    <row r="28" spans="1:57" x14ac:dyDescent="0.25">
      <c r="A28" s="163" t="s">
        <v>39</v>
      </c>
      <c r="B28" s="241" t="s">
        <v>457</v>
      </c>
      <c r="C28" s="165">
        <v>18</v>
      </c>
      <c r="D28" s="242">
        <f ca="1">B33-2158+4-112-23-112-112-112</f>
        <v>73</v>
      </c>
      <c r="E28" s="167" t="s">
        <v>101</v>
      </c>
      <c r="F28" s="168">
        <f t="shared" ca="1" si="12"/>
        <v>0</v>
      </c>
      <c r="G28" s="169">
        <f ca="1">TODAY()</f>
        <v>43696</v>
      </c>
      <c r="H28" s="202" t="s">
        <v>438</v>
      </c>
      <c r="I28" s="170" t="s">
        <v>436</v>
      </c>
      <c r="J28" s="170" t="s">
        <v>426</v>
      </c>
      <c r="K28" s="165"/>
      <c r="L28" s="177">
        <v>1.99</v>
      </c>
      <c r="M28" s="175">
        <v>4</v>
      </c>
      <c r="N28" s="176">
        <v>4.99</v>
      </c>
      <c r="O28" s="165"/>
      <c r="P28" s="177">
        <v>1.99</v>
      </c>
      <c r="Q28" s="175">
        <v>3</v>
      </c>
      <c r="R28" s="176">
        <v>3.99</v>
      </c>
      <c r="S28" s="165"/>
      <c r="T28" s="204">
        <v>5.99</v>
      </c>
      <c r="U28" s="175">
        <v>3</v>
      </c>
      <c r="V28" s="176">
        <v>3.99</v>
      </c>
      <c r="W28" s="165"/>
      <c r="X28" s="165"/>
      <c r="Y28" s="178">
        <f t="shared" si="13"/>
        <v>3</v>
      </c>
      <c r="Z28" s="170">
        <f t="shared" si="14"/>
        <v>6</v>
      </c>
      <c r="AA28" s="170"/>
      <c r="AB28" s="170"/>
      <c r="AC28" s="170"/>
      <c r="AD28" s="179">
        <v>2</v>
      </c>
      <c r="AE28" s="179">
        <v>3.5</v>
      </c>
      <c r="AF28" s="179">
        <v>4</v>
      </c>
      <c r="AG28" s="179">
        <v>3.5</v>
      </c>
      <c r="AH28" s="179">
        <v>4.5</v>
      </c>
      <c r="AI28" s="179"/>
      <c r="AJ28" s="179" t="s">
        <v>443</v>
      </c>
      <c r="AL28" s="273" t="s">
        <v>496</v>
      </c>
      <c r="AM28" s="267">
        <v>16</v>
      </c>
      <c r="AN28" s="274">
        <v>1524</v>
      </c>
      <c r="AO28" s="299"/>
      <c r="AP28" s="276"/>
      <c r="AQ28" s="277">
        <v>1.99</v>
      </c>
      <c r="AR28" s="276"/>
      <c r="AS28" s="277">
        <v>2.99</v>
      </c>
      <c r="AT28" s="278">
        <v>4</v>
      </c>
      <c r="AU28" s="278">
        <v>4.99</v>
      </c>
      <c r="AV28" s="278">
        <v>1</v>
      </c>
      <c r="AW28" s="278">
        <v>1.99</v>
      </c>
      <c r="AX28" s="281">
        <v>6</v>
      </c>
      <c r="AY28" s="282">
        <v>6.99</v>
      </c>
      <c r="AZ28" s="278">
        <v>3</v>
      </c>
      <c r="BA28" s="278">
        <v>3.99</v>
      </c>
      <c r="BB28" s="276"/>
      <c r="BC28" s="276"/>
      <c r="BD28" s="302"/>
      <c r="BE28" s="163"/>
    </row>
    <row r="29" spans="1:57" x14ac:dyDescent="0.25">
      <c r="A29" s="163"/>
      <c r="B29" s="165"/>
      <c r="C29" s="165"/>
      <c r="D29" s="165"/>
      <c r="E29" s="243"/>
      <c r="F29" s="165"/>
      <c r="G29" s="243"/>
      <c r="H29" s="244"/>
      <c r="I29" s="243"/>
      <c r="J29" s="243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243"/>
      <c r="Z29" s="243"/>
      <c r="AA29" s="243"/>
      <c r="AB29" s="243"/>
      <c r="AC29" s="243"/>
      <c r="AD29" s="245"/>
      <c r="AE29" s="245"/>
      <c r="AF29" s="245"/>
      <c r="AG29" s="245"/>
      <c r="AH29" s="245"/>
      <c r="AI29" s="245"/>
      <c r="AJ29" s="244"/>
      <c r="AL29" s="273" t="s">
        <v>497</v>
      </c>
      <c r="AM29" s="267">
        <v>18</v>
      </c>
      <c r="AN29" s="274">
        <v>1507</v>
      </c>
      <c r="AO29" s="299" t="s">
        <v>415</v>
      </c>
      <c r="AP29" s="290"/>
      <c r="AQ29" s="277">
        <v>1.99</v>
      </c>
      <c r="AR29" s="290"/>
      <c r="AS29" s="277">
        <v>1.99</v>
      </c>
      <c r="AT29" s="277">
        <v>5</v>
      </c>
      <c r="AU29" s="289">
        <v>6.99</v>
      </c>
      <c r="AV29" s="278">
        <v>2</v>
      </c>
      <c r="AW29" s="278">
        <v>2.99</v>
      </c>
      <c r="AX29" s="278">
        <v>2</v>
      </c>
      <c r="AY29" s="278">
        <v>2.99</v>
      </c>
      <c r="AZ29" s="278">
        <v>4</v>
      </c>
      <c r="BA29" s="278">
        <v>4.99</v>
      </c>
      <c r="BB29" s="278">
        <v>4</v>
      </c>
      <c r="BC29" s="278">
        <v>4.99</v>
      </c>
      <c r="BD29" s="304"/>
      <c r="BE29" s="291"/>
    </row>
    <row r="30" spans="1:57" x14ac:dyDescent="0.25">
      <c r="A30" s="163"/>
      <c r="B30" s="181"/>
      <c r="C30" s="181"/>
      <c r="D30" s="201"/>
      <c r="E30" s="182"/>
      <c r="F30" s="181"/>
      <c r="G30" s="182"/>
      <c r="H30" s="207"/>
      <c r="I30" s="182"/>
      <c r="J30" s="182"/>
      <c r="K30" s="163"/>
      <c r="L30" s="163"/>
      <c r="M30" s="163"/>
      <c r="N30" s="163"/>
      <c r="O30" s="163"/>
      <c r="P30" s="163"/>
      <c r="Q30" s="181"/>
      <c r="R30" s="181"/>
      <c r="S30" s="181"/>
      <c r="T30" s="181"/>
      <c r="U30" s="181"/>
      <c r="V30" s="181"/>
      <c r="W30" s="181"/>
      <c r="X30" s="181"/>
      <c r="Y30" s="182"/>
      <c r="Z30" s="182"/>
      <c r="AA30" s="182"/>
      <c r="AB30" s="182"/>
      <c r="AC30" s="182"/>
      <c r="AD30" s="240"/>
      <c r="AE30" s="240"/>
      <c r="AF30" s="240"/>
      <c r="AG30" s="240"/>
      <c r="AH30" s="246"/>
      <c r="AI30" s="246"/>
      <c r="AJ30" s="247"/>
      <c r="AL30" s="273" t="s">
        <v>498</v>
      </c>
      <c r="AM30" s="267">
        <v>19</v>
      </c>
      <c r="AN30" s="274">
        <v>1392</v>
      </c>
      <c r="AO30" s="299" t="s">
        <v>499</v>
      </c>
      <c r="AP30" s="288"/>
      <c r="AQ30" s="277">
        <v>1.99</v>
      </c>
      <c r="AR30" s="277">
        <v>4</v>
      </c>
      <c r="AS30" s="286">
        <v>5.99</v>
      </c>
      <c r="AT30" s="281">
        <v>4</v>
      </c>
      <c r="AU30" s="281">
        <v>4.99</v>
      </c>
      <c r="AV30" s="278">
        <v>1</v>
      </c>
      <c r="AW30" s="278">
        <v>1.99</v>
      </c>
      <c r="AX30" s="278">
        <v>5</v>
      </c>
      <c r="AY30" s="278">
        <v>5.99</v>
      </c>
      <c r="AZ30" s="278">
        <v>2</v>
      </c>
      <c r="BA30" s="278">
        <v>2.99</v>
      </c>
      <c r="BB30" s="288"/>
      <c r="BC30" s="288"/>
      <c r="BD30" s="288"/>
      <c r="BE30" s="163"/>
    </row>
    <row r="31" spans="1:57" x14ac:dyDescent="0.25">
      <c r="A31" s="163"/>
      <c r="B31" s="248" t="s">
        <v>458</v>
      </c>
      <c r="C31" s="181"/>
      <c r="D31" s="181"/>
      <c r="E31" s="182"/>
      <c r="F31" s="181"/>
      <c r="G31" s="182"/>
      <c r="H31" s="451"/>
      <c r="I31" s="451"/>
      <c r="J31" s="451"/>
      <c r="K31" s="451"/>
      <c r="L31" s="451"/>
      <c r="M31" s="451"/>
      <c r="N31" s="451"/>
      <c r="O31" s="451"/>
      <c r="P31" s="163"/>
      <c r="Q31" s="165"/>
      <c r="R31" s="165"/>
      <c r="S31" s="181"/>
      <c r="T31" s="181"/>
      <c r="U31" s="181"/>
      <c r="V31" s="181"/>
      <c r="W31" s="181"/>
      <c r="X31" s="181"/>
      <c r="Y31" s="182"/>
      <c r="Z31" s="182"/>
      <c r="AA31" s="182"/>
      <c r="AB31" s="182"/>
      <c r="AC31" s="182"/>
      <c r="AD31" s="240"/>
      <c r="AE31" s="240"/>
      <c r="AF31" s="249"/>
      <c r="AG31" s="249"/>
      <c r="AH31" s="240"/>
      <c r="AI31" s="240"/>
      <c r="AJ31" s="207"/>
      <c r="AL31" s="273" t="s">
        <v>500</v>
      </c>
      <c r="AM31" s="267">
        <v>18</v>
      </c>
      <c r="AN31" s="274">
        <v>1470</v>
      </c>
      <c r="AO31" s="299"/>
      <c r="AP31" s="288"/>
      <c r="AQ31" s="277">
        <v>1.99</v>
      </c>
      <c r="AR31" s="278">
        <v>3</v>
      </c>
      <c r="AS31" s="278">
        <v>3.99</v>
      </c>
      <c r="AT31" s="278">
        <v>3</v>
      </c>
      <c r="AU31" s="278">
        <v>3.99</v>
      </c>
      <c r="AV31" s="281">
        <v>6</v>
      </c>
      <c r="AW31" s="282">
        <v>6.99</v>
      </c>
      <c r="AX31" s="278">
        <v>2</v>
      </c>
      <c r="AY31" s="278">
        <v>2.99</v>
      </c>
      <c r="AZ31" s="278">
        <v>4</v>
      </c>
      <c r="BA31" s="278">
        <v>4.99</v>
      </c>
      <c r="BB31" s="288"/>
      <c r="BC31" s="277">
        <v>3.99</v>
      </c>
      <c r="BD31" s="292" t="s">
        <v>501</v>
      </c>
    </row>
    <row r="32" spans="1:57" x14ac:dyDescent="0.25">
      <c r="A32" s="250"/>
      <c r="B32" s="251">
        <f ca="1">TODAY()</f>
        <v>43696</v>
      </c>
      <c r="C32" s="181"/>
      <c r="D32" s="181"/>
      <c r="E32" s="252"/>
      <c r="F32" s="181"/>
      <c r="G32" s="253"/>
      <c r="H32" s="254"/>
      <c r="I32" s="253"/>
      <c r="J32" s="253"/>
      <c r="K32" s="181"/>
      <c r="L32" s="181"/>
      <c r="M32" s="181"/>
      <c r="N32" s="181"/>
      <c r="O32" s="181"/>
      <c r="P32" s="181"/>
      <c r="Q32" s="165"/>
      <c r="R32" s="165"/>
      <c r="S32" s="181"/>
      <c r="T32" s="181"/>
      <c r="U32" s="181"/>
      <c r="V32" s="181"/>
      <c r="W32" s="253"/>
      <c r="X32" s="253"/>
      <c r="Y32" s="253"/>
      <c r="Z32" s="253"/>
      <c r="AA32" s="253"/>
      <c r="AB32" s="253"/>
      <c r="AC32" s="253"/>
      <c r="AD32" s="240"/>
      <c r="AE32" s="240"/>
      <c r="AF32" s="240"/>
      <c r="AG32" s="240"/>
      <c r="AH32" s="240"/>
      <c r="AI32" s="240"/>
      <c r="AJ32" s="207"/>
      <c r="AL32" s="273" t="s">
        <v>502</v>
      </c>
      <c r="AM32" s="267">
        <v>17</v>
      </c>
      <c r="AN32" s="274">
        <v>1357</v>
      </c>
      <c r="AO32" s="299" t="s">
        <v>475</v>
      </c>
      <c r="AP32" s="288"/>
      <c r="AQ32" s="288"/>
      <c r="AR32" s="288"/>
      <c r="AS32" s="277">
        <v>2.99</v>
      </c>
      <c r="AT32" s="281">
        <v>5</v>
      </c>
      <c r="AU32" s="284">
        <v>5.99</v>
      </c>
      <c r="AV32" s="281">
        <v>6</v>
      </c>
      <c r="AW32" s="282">
        <v>6.99</v>
      </c>
      <c r="AX32" s="278">
        <v>3</v>
      </c>
      <c r="AY32" s="278">
        <v>3.99</v>
      </c>
      <c r="AZ32" s="278">
        <v>3</v>
      </c>
      <c r="BA32" s="278">
        <v>3.99</v>
      </c>
      <c r="BB32" s="288"/>
      <c r="BC32" s="277">
        <v>2.99</v>
      </c>
      <c r="BD32" s="292">
        <v>42287</v>
      </c>
    </row>
    <row r="33" spans="1:56" x14ac:dyDescent="0.25">
      <c r="A33" s="163"/>
      <c r="B33" s="201">
        <f ca="1">411+B36</f>
        <v>2698</v>
      </c>
      <c r="C33" s="181"/>
      <c r="D33" s="181"/>
      <c r="E33" s="182"/>
      <c r="F33" s="181"/>
      <c r="G33" s="253"/>
      <c r="H33" s="254"/>
      <c r="I33" s="253"/>
      <c r="J33" s="253"/>
      <c r="K33" s="181"/>
      <c r="L33" s="181"/>
      <c r="M33" s="181"/>
      <c r="N33" s="181"/>
      <c r="O33" s="181"/>
      <c r="P33" s="181"/>
      <c r="Q33" s="165"/>
      <c r="R33" s="165"/>
      <c r="S33" s="181"/>
      <c r="T33" s="181"/>
      <c r="U33" s="181"/>
      <c r="V33" s="181"/>
      <c r="W33" s="181"/>
      <c r="X33" s="253"/>
      <c r="Y33" s="253"/>
      <c r="Z33" s="253"/>
      <c r="AA33" s="253"/>
      <c r="AB33" s="253"/>
      <c r="AC33" s="253"/>
      <c r="AD33" s="255"/>
      <c r="AE33" s="255"/>
      <c r="AF33" s="240"/>
      <c r="AG33" s="240"/>
      <c r="AH33" s="240"/>
      <c r="AI33" s="240"/>
      <c r="AJ33" s="207"/>
      <c r="AL33" s="273" t="s">
        <v>503</v>
      </c>
      <c r="AM33" s="267">
        <v>17</v>
      </c>
      <c r="AN33" s="274">
        <v>1358</v>
      </c>
      <c r="AO33" s="299" t="s">
        <v>478</v>
      </c>
      <c r="AP33" s="288"/>
      <c r="AQ33" s="288"/>
      <c r="AR33" s="281">
        <v>4</v>
      </c>
      <c r="AS33" s="281">
        <v>4.99</v>
      </c>
      <c r="AT33" s="281">
        <v>5</v>
      </c>
      <c r="AU33" s="284">
        <v>5.99</v>
      </c>
      <c r="AV33" s="278">
        <v>2</v>
      </c>
      <c r="AW33" s="278">
        <v>2.99</v>
      </c>
      <c r="AX33" s="278">
        <v>3</v>
      </c>
      <c r="AY33" s="278">
        <v>3.99</v>
      </c>
      <c r="AZ33" s="278">
        <v>3</v>
      </c>
      <c r="BA33" s="278">
        <v>3.99</v>
      </c>
      <c r="BB33" s="278">
        <v>3</v>
      </c>
      <c r="BC33" s="278">
        <v>3.99</v>
      </c>
      <c r="BD33" s="292" t="s">
        <v>501</v>
      </c>
    </row>
    <row r="34" spans="1:56" x14ac:dyDescent="0.25">
      <c r="A34" s="163"/>
      <c r="B34" s="181"/>
      <c r="C34" s="181"/>
      <c r="D34" s="181"/>
      <c r="E34" s="182"/>
      <c r="F34" s="181"/>
      <c r="G34" s="182"/>
      <c r="H34" s="207"/>
      <c r="I34" s="182"/>
      <c r="J34" s="182"/>
      <c r="K34" s="181"/>
      <c r="L34" s="181"/>
      <c r="M34" s="181"/>
      <c r="N34" s="181"/>
      <c r="O34" s="181"/>
      <c r="P34" s="181"/>
      <c r="Q34" s="165"/>
      <c r="R34" s="165"/>
      <c r="S34" s="181"/>
      <c r="T34" s="181"/>
      <c r="U34" s="165"/>
      <c r="V34" s="181"/>
      <c r="W34" s="181"/>
      <c r="X34" s="181"/>
      <c r="Y34" s="182"/>
      <c r="Z34" s="182"/>
      <c r="AA34" s="182"/>
      <c r="AB34" s="182"/>
      <c r="AC34" s="182"/>
      <c r="AD34" s="240"/>
      <c r="AE34" s="240"/>
      <c r="AF34" s="245"/>
      <c r="AG34" s="245"/>
      <c r="AH34" s="240"/>
      <c r="AI34" s="240"/>
      <c r="AJ34" s="207"/>
      <c r="AL34" s="273" t="s">
        <v>504</v>
      </c>
      <c r="AM34" s="267">
        <v>17</v>
      </c>
      <c r="AN34" s="274">
        <v>1417</v>
      </c>
      <c r="AO34" s="299" t="s">
        <v>486</v>
      </c>
      <c r="AP34" s="276"/>
      <c r="AQ34" s="276"/>
      <c r="AR34" s="276"/>
      <c r="AS34" s="277">
        <v>2.99</v>
      </c>
      <c r="AT34" s="281">
        <v>5</v>
      </c>
      <c r="AU34" s="284">
        <v>5.99</v>
      </c>
      <c r="AV34" s="278">
        <v>3</v>
      </c>
      <c r="AW34" s="278">
        <v>3.99</v>
      </c>
      <c r="AX34" s="278">
        <v>3</v>
      </c>
      <c r="AY34" s="278">
        <v>3.99</v>
      </c>
      <c r="AZ34" s="276"/>
      <c r="BA34" s="277">
        <v>4.99</v>
      </c>
      <c r="BB34" s="276"/>
      <c r="BC34" s="277">
        <v>3.99</v>
      </c>
      <c r="BD34" s="292" t="s">
        <v>501</v>
      </c>
    </row>
    <row r="35" spans="1:56" x14ac:dyDescent="0.25">
      <c r="A35" s="163"/>
      <c r="B35" s="256">
        <v>41409</v>
      </c>
      <c r="C35" s="181"/>
      <c r="D35" s="181"/>
      <c r="E35" s="182"/>
      <c r="F35" s="181"/>
      <c r="G35" s="182"/>
      <c r="H35" s="207"/>
      <c r="I35" s="182"/>
      <c r="J35" s="182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2"/>
      <c r="Z35" s="182"/>
      <c r="AA35" s="182"/>
      <c r="AB35" s="182"/>
      <c r="AC35" s="182"/>
      <c r="AD35" s="240"/>
      <c r="AE35" s="240"/>
      <c r="AF35" s="240"/>
      <c r="AG35" s="240"/>
      <c r="AH35" s="240"/>
      <c r="AI35" s="240"/>
      <c r="AJ35" s="207"/>
      <c r="AL35" s="273" t="s">
        <v>505</v>
      </c>
      <c r="AM35" s="267">
        <v>17</v>
      </c>
      <c r="AN35" s="274">
        <v>1296</v>
      </c>
      <c r="AO35" s="299"/>
      <c r="AP35" s="288"/>
      <c r="AQ35" s="277">
        <v>1.99</v>
      </c>
      <c r="AR35" s="288"/>
      <c r="AS35" s="277">
        <v>2.99</v>
      </c>
      <c r="AT35" s="278">
        <v>6</v>
      </c>
      <c r="AU35" s="279">
        <v>6.99</v>
      </c>
      <c r="AV35" s="278">
        <v>3</v>
      </c>
      <c r="AW35" s="278">
        <v>3.99</v>
      </c>
      <c r="AX35" s="281">
        <v>5</v>
      </c>
      <c r="AY35" s="284">
        <v>5.99</v>
      </c>
      <c r="AZ35" s="278">
        <v>4</v>
      </c>
      <c r="BA35" s="278">
        <v>4.99</v>
      </c>
      <c r="BB35" s="278">
        <v>1</v>
      </c>
      <c r="BC35" s="278">
        <v>1.99</v>
      </c>
      <c r="BD35" s="292">
        <v>42348</v>
      </c>
    </row>
    <row r="36" spans="1:56" x14ac:dyDescent="0.25">
      <c r="A36" s="163"/>
      <c r="B36" s="257">
        <f ca="1">B32-B35</f>
        <v>2287</v>
      </c>
      <c r="C36" s="181"/>
      <c r="D36" s="201"/>
      <c r="E36" s="182"/>
      <c r="F36" s="181"/>
      <c r="G36" s="258"/>
      <c r="H36" s="207"/>
      <c r="I36" s="182"/>
      <c r="J36" s="182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2"/>
      <c r="Z36" s="182"/>
      <c r="AA36" s="182"/>
      <c r="AB36" s="182"/>
      <c r="AC36" s="182"/>
      <c r="AD36" s="240"/>
      <c r="AE36" s="240"/>
      <c r="AF36" s="240"/>
      <c r="AG36" s="240"/>
      <c r="AH36" s="240"/>
      <c r="AI36" s="240"/>
      <c r="AJ36" s="207"/>
      <c r="AL36" s="273" t="s">
        <v>506</v>
      </c>
      <c r="AM36" s="267">
        <v>17</v>
      </c>
      <c r="AN36" s="274">
        <v>1312</v>
      </c>
      <c r="AO36" s="299" t="s">
        <v>499</v>
      </c>
      <c r="AP36" s="288"/>
      <c r="AQ36" s="277">
        <v>1.99</v>
      </c>
      <c r="AR36" s="281">
        <v>2</v>
      </c>
      <c r="AS36" s="281">
        <v>2.99</v>
      </c>
      <c r="AT36" s="281">
        <v>6</v>
      </c>
      <c r="AU36" s="282">
        <v>6.99</v>
      </c>
      <c r="AV36" s="288"/>
      <c r="AW36" s="288">
        <v>2.99</v>
      </c>
      <c r="AX36" s="277">
        <v>3</v>
      </c>
      <c r="AY36" s="288">
        <v>3.99</v>
      </c>
      <c r="AZ36" s="278">
        <v>4</v>
      </c>
      <c r="BA36" s="278">
        <v>4.99</v>
      </c>
      <c r="BB36" s="288"/>
      <c r="BC36" s="288"/>
      <c r="BD36" s="292">
        <v>42358</v>
      </c>
    </row>
    <row r="37" spans="1:56" x14ac:dyDescent="0.25">
      <c r="A37" s="163"/>
      <c r="B37" s="181"/>
      <c r="C37" s="181"/>
      <c r="D37" s="181"/>
      <c r="E37" s="182"/>
      <c r="F37" s="181"/>
      <c r="G37" s="182"/>
      <c r="H37" s="207"/>
      <c r="I37" s="182"/>
      <c r="J37" s="182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2"/>
      <c r="Z37" s="182"/>
      <c r="AA37" s="182"/>
      <c r="AB37" s="182"/>
      <c r="AC37" s="182"/>
      <c r="AD37" s="240"/>
      <c r="AE37" s="240"/>
      <c r="AF37" s="240"/>
      <c r="AG37" s="240"/>
      <c r="AH37" s="240"/>
      <c r="AI37" s="240"/>
      <c r="AJ37" s="207"/>
      <c r="AL37" s="273" t="s">
        <v>507</v>
      </c>
      <c r="AM37" s="267">
        <v>17</v>
      </c>
      <c r="AN37" s="274">
        <v>1277</v>
      </c>
      <c r="AO37" s="299"/>
      <c r="AP37" s="288"/>
      <c r="AQ37" s="288"/>
      <c r="AR37" s="288"/>
      <c r="AS37" s="277">
        <v>2.99</v>
      </c>
      <c r="AT37" s="281">
        <v>5</v>
      </c>
      <c r="AU37" s="284">
        <v>5.99</v>
      </c>
      <c r="AV37" s="288"/>
      <c r="AW37" s="277">
        <v>3.99</v>
      </c>
      <c r="AX37" s="281">
        <v>5</v>
      </c>
      <c r="AY37" s="284">
        <v>5.99</v>
      </c>
      <c r="AZ37" s="281">
        <v>5</v>
      </c>
      <c r="BA37" s="284">
        <v>5.99</v>
      </c>
      <c r="BB37" s="288"/>
      <c r="BC37" s="288"/>
      <c r="BD37" s="292">
        <v>42369</v>
      </c>
    </row>
    <row r="38" spans="1:56" x14ac:dyDescent="0.25">
      <c r="A38" s="163"/>
      <c r="B38" s="181"/>
      <c r="C38" s="181"/>
      <c r="D38" s="181"/>
      <c r="E38" s="182"/>
      <c r="F38" s="181"/>
      <c r="G38" s="182"/>
      <c r="H38" s="207"/>
      <c r="I38" s="182"/>
      <c r="J38" s="182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2"/>
      <c r="Z38" s="182"/>
      <c r="AA38" s="182"/>
      <c r="AB38" s="182"/>
      <c r="AC38" s="182"/>
      <c r="AD38" s="240"/>
      <c r="AE38" s="240"/>
      <c r="AF38" s="240"/>
      <c r="AG38" s="240"/>
      <c r="AH38" s="240"/>
      <c r="AI38" s="240"/>
      <c r="AJ38" s="207"/>
      <c r="AL38" s="273" t="s">
        <v>508</v>
      </c>
      <c r="AM38" s="267">
        <v>18</v>
      </c>
      <c r="AN38" s="274">
        <v>1366</v>
      </c>
      <c r="AO38" s="299"/>
      <c r="AP38" s="276"/>
      <c r="AQ38" s="277">
        <v>0.99</v>
      </c>
      <c r="AR38" s="277">
        <v>4</v>
      </c>
      <c r="AS38" s="289">
        <v>6.99</v>
      </c>
      <c r="AT38" s="281">
        <v>5</v>
      </c>
      <c r="AU38" s="284">
        <v>5.99</v>
      </c>
      <c r="AV38" s="276"/>
      <c r="AW38" s="277">
        <v>3.99</v>
      </c>
      <c r="AX38" s="278">
        <v>3</v>
      </c>
      <c r="AY38" s="278">
        <v>3.99</v>
      </c>
      <c r="AZ38" s="278">
        <v>6</v>
      </c>
      <c r="BA38" s="279">
        <v>6.99</v>
      </c>
      <c r="BB38" s="276"/>
      <c r="BC38" s="277">
        <v>4.99</v>
      </c>
      <c r="BD38" s="292" t="s">
        <v>501</v>
      </c>
    </row>
    <row r="39" spans="1:56" x14ac:dyDescent="0.25">
      <c r="A39" s="163"/>
      <c r="B39" s="181"/>
      <c r="C39" s="181"/>
      <c r="D39" s="181"/>
      <c r="E39" s="182"/>
      <c r="F39" s="181"/>
      <c r="G39" s="182"/>
      <c r="H39" s="207"/>
      <c r="I39" s="182"/>
      <c r="J39" s="182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2"/>
      <c r="Z39" s="182"/>
      <c r="AA39" s="182"/>
      <c r="AB39" s="182"/>
      <c r="AC39" s="182"/>
      <c r="AD39" s="240"/>
      <c r="AE39" s="240"/>
      <c r="AF39" s="240"/>
      <c r="AG39" s="240"/>
      <c r="AH39" s="240"/>
      <c r="AI39" s="240"/>
      <c r="AJ39" s="207"/>
      <c r="AL39" s="273" t="s">
        <v>509</v>
      </c>
      <c r="AM39" s="267">
        <v>17</v>
      </c>
      <c r="AN39" s="274">
        <v>1283</v>
      </c>
      <c r="AO39" s="299"/>
      <c r="AP39" s="288"/>
      <c r="AQ39" s="277">
        <v>1.99</v>
      </c>
      <c r="AR39" s="281">
        <v>4</v>
      </c>
      <c r="AS39" s="281">
        <v>4.99</v>
      </c>
      <c r="AT39" s="278">
        <v>2</v>
      </c>
      <c r="AU39" s="278">
        <v>2.99</v>
      </c>
      <c r="AV39" s="278">
        <v>3</v>
      </c>
      <c r="AW39" s="278">
        <v>3.99</v>
      </c>
      <c r="AX39" s="281">
        <v>6</v>
      </c>
      <c r="AY39" s="282">
        <v>6.99</v>
      </c>
      <c r="AZ39" s="278">
        <v>3</v>
      </c>
      <c r="BA39" s="278">
        <v>3.99</v>
      </c>
      <c r="BB39" s="288"/>
      <c r="BC39" s="277">
        <v>2.99</v>
      </c>
      <c r="BD39" s="292">
        <v>42361</v>
      </c>
    </row>
    <row r="40" spans="1:56" x14ac:dyDescent="0.25">
      <c r="AL40" s="273" t="s">
        <v>510</v>
      </c>
      <c r="AM40" s="267">
        <v>16</v>
      </c>
      <c r="AN40" s="274">
        <v>1347</v>
      </c>
      <c r="AO40" s="299"/>
      <c r="AP40" s="288"/>
      <c r="AQ40" s="288"/>
      <c r="AR40" s="277">
        <v>4</v>
      </c>
      <c r="AS40" s="286">
        <v>5.99</v>
      </c>
      <c r="AT40" s="281">
        <v>2</v>
      </c>
      <c r="AU40" s="281">
        <v>2.99</v>
      </c>
      <c r="AV40" s="278">
        <v>4</v>
      </c>
      <c r="AW40" s="278">
        <v>4.99</v>
      </c>
      <c r="AX40" s="281">
        <v>6</v>
      </c>
      <c r="AY40" s="282">
        <v>6.99</v>
      </c>
      <c r="AZ40" s="278">
        <v>4</v>
      </c>
      <c r="BA40" s="278">
        <v>4.99</v>
      </c>
      <c r="BB40" s="288"/>
      <c r="BC40" s="288"/>
      <c r="BD40" s="292">
        <v>42409</v>
      </c>
    </row>
    <row r="41" spans="1:56" x14ac:dyDescent="0.25">
      <c r="AL41" s="273" t="s">
        <v>511</v>
      </c>
      <c r="AM41" s="267">
        <v>17</v>
      </c>
      <c r="AN41" s="274">
        <v>1269</v>
      </c>
      <c r="AO41" s="299" t="s">
        <v>478</v>
      </c>
      <c r="AP41" s="276"/>
      <c r="AQ41" s="277">
        <v>1.99</v>
      </c>
      <c r="AR41" s="281">
        <v>5</v>
      </c>
      <c r="AS41" s="284">
        <v>5.99</v>
      </c>
      <c r="AT41" s="278">
        <v>5</v>
      </c>
      <c r="AU41" s="279">
        <v>5.99</v>
      </c>
      <c r="AV41" s="281">
        <v>3</v>
      </c>
      <c r="AW41" s="281">
        <v>3.99</v>
      </c>
      <c r="AX41" s="278">
        <v>2</v>
      </c>
      <c r="AY41" s="278">
        <v>2.99</v>
      </c>
      <c r="AZ41" s="278">
        <v>2</v>
      </c>
      <c r="BA41" s="278">
        <v>2.99</v>
      </c>
      <c r="BB41" s="276"/>
      <c r="BC41" s="276"/>
      <c r="BD41" s="292">
        <v>42375</v>
      </c>
    </row>
    <row r="42" spans="1:56" x14ac:dyDescent="0.25">
      <c r="AL42" s="273" t="s">
        <v>512</v>
      </c>
      <c r="AM42" s="267">
        <v>17</v>
      </c>
      <c r="AN42" s="274">
        <v>1213</v>
      </c>
      <c r="AO42" s="299" t="s">
        <v>478</v>
      </c>
      <c r="AP42" s="288"/>
      <c r="AQ42" s="288"/>
      <c r="AR42" s="288"/>
      <c r="AS42" s="277">
        <v>2.99</v>
      </c>
      <c r="AT42" s="281">
        <v>5</v>
      </c>
      <c r="AU42" s="284">
        <v>5.99</v>
      </c>
      <c r="AV42" s="288"/>
      <c r="AW42" s="277">
        <v>2.99</v>
      </c>
      <c r="AX42" s="281">
        <v>3</v>
      </c>
      <c r="AY42" s="288">
        <v>3.99</v>
      </c>
      <c r="AZ42" s="281">
        <v>6</v>
      </c>
      <c r="BA42" s="282">
        <v>6.99</v>
      </c>
      <c r="BB42" s="278">
        <v>2</v>
      </c>
      <c r="BC42" s="278">
        <v>2.99</v>
      </c>
      <c r="BD42" s="292">
        <v>42431</v>
      </c>
    </row>
    <row r="43" spans="1:56" x14ac:dyDescent="0.25">
      <c r="AL43" s="273" t="s">
        <v>513</v>
      </c>
      <c r="AM43" s="267">
        <v>17</v>
      </c>
      <c r="AN43" s="274">
        <v>1214</v>
      </c>
      <c r="AO43" s="299"/>
      <c r="AP43" s="288"/>
      <c r="AQ43" s="277">
        <v>1.99</v>
      </c>
      <c r="AR43" s="281">
        <v>4</v>
      </c>
      <c r="AS43" s="281">
        <v>4.99</v>
      </c>
      <c r="AT43" s="278">
        <v>5</v>
      </c>
      <c r="AU43" s="279">
        <v>5.99</v>
      </c>
      <c r="AV43" s="288"/>
      <c r="AW43" s="277">
        <v>4.99</v>
      </c>
      <c r="AX43" s="281">
        <v>5</v>
      </c>
      <c r="AY43" s="284">
        <v>5.99</v>
      </c>
      <c r="AZ43" s="278">
        <v>3</v>
      </c>
      <c r="BA43" s="278">
        <v>3.99</v>
      </c>
      <c r="BB43" s="278">
        <v>2</v>
      </c>
      <c r="BC43" s="278">
        <v>2.99</v>
      </c>
      <c r="BD43" s="292">
        <v>42430</v>
      </c>
    </row>
    <row r="44" spans="1:56" x14ac:dyDescent="0.25">
      <c r="AL44" s="273" t="s">
        <v>514</v>
      </c>
      <c r="AM44" s="267">
        <v>17</v>
      </c>
      <c r="AN44" s="274">
        <v>1221</v>
      </c>
      <c r="AO44" s="299"/>
      <c r="AP44" s="288"/>
      <c r="AQ44" s="288"/>
      <c r="AR44" s="278">
        <v>3</v>
      </c>
      <c r="AS44" s="278">
        <v>3.99</v>
      </c>
      <c r="AT44" s="281">
        <v>4</v>
      </c>
      <c r="AU44" s="281">
        <v>4.99</v>
      </c>
      <c r="AV44" s="281">
        <v>4</v>
      </c>
      <c r="AW44" s="281">
        <v>4.99</v>
      </c>
      <c r="AX44" s="288"/>
      <c r="AY44" s="277">
        <v>4.99</v>
      </c>
      <c r="AZ44" s="281">
        <v>5</v>
      </c>
      <c r="BA44" s="284">
        <v>5.99</v>
      </c>
      <c r="BB44" s="278">
        <v>1</v>
      </c>
      <c r="BC44" s="278">
        <v>1.99</v>
      </c>
      <c r="BD44" s="292">
        <v>42516</v>
      </c>
    </row>
    <row r="45" spans="1:56" x14ac:dyDescent="0.25">
      <c r="AL45" s="273" t="s">
        <v>515</v>
      </c>
      <c r="AM45" s="267">
        <v>16</v>
      </c>
      <c r="AN45" s="274">
        <v>1228</v>
      </c>
      <c r="AO45" s="299" t="s">
        <v>475</v>
      </c>
      <c r="AP45" s="288"/>
      <c r="AQ45" s="277">
        <v>1.99</v>
      </c>
      <c r="AR45" s="281">
        <v>5</v>
      </c>
      <c r="AS45" s="284">
        <v>5.99</v>
      </c>
      <c r="AT45" s="281">
        <v>5</v>
      </c>
      <c r="AU45" s="284">
        <v>5.99</v>
      </c>
      <c r="AV45" s="281">
        <v>3</v>
      </c>
      <c r="AW45" s="281">
        <v>3.99</v>
      </c>
      <c r="AX45" s="281">
        <v>3</v>
      </c>
      <c r="AY45" s="281">
        <v>3.99</v>
      </c>
      <c r="AZ45" s="278">
        <v>1</v>
      </c>
      <c r="BA45" s="278">
        <v>1.99</v>
      </c>
      <c r="BB45" s="288"/>
      <c r="BC45" s="288"/>
      <c r="BD45" s="292">
        <v>42528</v>
      </c>
    </row>
    <row r="46" spans="1:56" x14ac:dyDescent="0.25">
      <c r="AL46" s="273" t="s">
        <v>516</v>
      </c>
      <c r="AM46" s="267">
        <v>18</v>
      </c>
      <c r="AN46" s="274">
        <v>1205</v>
      </c>
      <c r="AO46" s="299"/>
      <c r="AP46" s="288"/>
      <c r="AQ46" s="288"/>
      <c r="AR46" s="281">
        <v>6</v>
      </c>
      <c r="AS46" s="282">
        <v>6.99</v>
      </c>
      <c r="AT46" s="278">
        <v>4</v>
      </c>
      <c r="AU46" s="278">
        <v>4.99</v>
      </c>
      <c r="AV46" s="288"/>
      <c r="AW46" s="277">
        <v>2.99</v>
      </c>
      <c r="AX46" s="281">
        <v>3</v>
      </c>
      <c r="AY46" s="281">
        <v>3.99</v>
      </c>
      <c r="AZ46" s="278">
        <v>2</v>
      </c>
      <c r="BA46" s="278">
        <v>2.99</v>
      </c>
      <c r="BB46" s="278">
        <v>2</v>
      </c>
      <c r="BC46" s="278">
        <v>2.99</v>
      </c>
      <c r="BD46" s="292">
        <v>42327</v>
      </c>
    </row>
    <row r="47" spans="1:56" x14ac:dyDescent="0.25">
      <c r="AL47" s="273" t="s">
        <v>517</v>
      </c>
      <c r="AM47" s="267">
        <v>17</v>
      </c>
      <c r="AN47" s="274">
        <v>1042</v>
      </c>
      <c r="AO47" s="299"/>
      <c r="AP47" s="288"/>
      <c r="AQ47" s="288"/>
      <c r="AR47" s="278">
        <v>4</v>
      </c>
      <c r="AS47" s="278">
        <v>4.99</v>
      </c>
      <c r="AT47" s="278">
        <v>5</v>
      </c>
      <c r="AU47" s="279">
        <v>5.99</v>
      </c>
      <c r="AV47" s="288"/>
      <c r="AW47" s="277">
        <v>2.99</v>
      </c>
      <c r="AX47" s="288"/>
      <c r="AY47" s="277">
        <v>3.99</v>
      </c>
      <c r="AZ47" s="278">
        <v>3</v>
      </c>
      <c r="BA47" s="278">
        <v>3.99</v>
      </c>
      <c r="BB47" s="288"/>
      <c r="BC47" s="288"/>
      <c r="BD47" s="292">
        <v>42602</v>
      </c>
    </row>
    <row r="48" spans="1:56" x14ac:dyDescent="0.25">
      <c r="AL48" s="273" t="s">
        <v>518</v>
      </c>
      <c r="AM48" s="267">
        <v>19</v>
      </c>
      <c r="AN48" s="274">
        <v>1021</v>
      </c>
      <c r="AO48" s="299"/>
      <c r="AP48" s="288"/>
      <c r="AQ48" s="288"/>
      <c r="AR48" s="278">
        <v>4</v>
      </c>
      <c r="AS48" s="278">
        <v>4.99</v>
      </c>
      <c r="AT48" s="281">
        <v>4</v>
      </c>
      <c r="AU48" s="281">
        <v>4.99</v>
      </c>
      <c r="AV48" s="288"/>
      <c r="AW48" s="277">
        <v>4.99</v>
      </c>
      <c r="AX48" s="277">
        <v>3</v>
      </c>
      <c r="AY48" s="277">
        <v>4.99</v>
      </c>
      <c r="AZ48" s="278">
        <v>2</v>
      </c>
      <c r="BA48" s="278">
        <v>2.99</v>
      </c>
      <c r="BB48" s="288"/>
      <c r="BC48" s="277">
        <v>2.99</v>
      </c>
      <c r="BD48" s="292">
        <v>42429</v>
      </c>
    </row>
    <row r="49" spans="38:56" x14ac:dyDescent="0.25">
      <c r="AL49" s="273" t="s">
        <v>519</v>
      </c>
      <c r="AM49" s="267">
        <v>18</v>
      </c>
      <c r="AN49" s="274">
        <v>1127</v>
      </c>
      <c r="AO49" s="299"/>
      <c r="AP49" s="288"/>
      <c r="AQ49" s="288"/>
      <c r="AR49" s="278">
        <v>4</v>
      </c>
      <c r="AS49" s="278">
        <v>4.99</v>
      </c>
      <c r="AT49" s="278">
        <v>4</v>
      </c>
      <c r="AU49" s="278">
        <v>4.99</v>
      </c>
      <c r="AV49" s="288"/>
      <c r="AW49" s="277">
        <v>3.99</v>
      </c>
      <c r="AX49" s="277">
        <v>4</v>
      </c>
      <c r="AY49" s="286">
        <v>5.99</v>
      </c>
      <c r="AZ49" s="278">
        <v>4</v>
      </c>
      <c r="BA49" s="278">
        <v>4.99</v>
      </c>
      <c r="BB49" s="288"/>
      <c r="BC49" s="289">
        <v>6.99</v>
      </c>
      <c r="BD49" s="292">
        <v>42405</v>
      </c>
    </row>
    <row r="50" spans="38:56" x14ac:dyDescent="0.25">
      <c r="AL50" s="273" t="s">
        <v>520</v>
      </c>
      <c r="AM50" s="267">
        <v>17</v>
      </c>
      <c r="AN50" s="274">
        <v>1013</v>
      </c>
      <c r="AO50" s="299"/>
      <c r="AP50" s="288"/>
      <c r="AQ50" s="277">
        <v>1.99</v>
      </c>
      <c r="AR50" s="278">
        <v>6</v>
      </c>
      <c r="AS50" s="279">
        <v>6.99</v>
      </c>
      <c r="AT50" s="281">
        <v>4</v>
      </c>
      <c r="AU50" s="281">
        <v>4.99</v>
      </c>
      <c r="AV50" s="278">
        <v>3</v>
      </c>
      <c r="AW50" s="278">
        <v>3.99</v>
      </c>
      <c r="AX50" s="288"/>
      <c r="AY50" s="288"/>
      <c r="AZ50" s="278">
        <v>4</v>
      </c>
      <c r="BA50" s="278">
        <v>4.99</v>
      </c>
      <c r="BB50" s="288"/>
      <c r="BC50" s="277">
        <v>3.99</v>
      </c>
      <c r="BD50" s="292">
        <v>42631</v>
      </c>
    </row>
    <row r="51" spans="38:56" x14ac:dyDescent="0.25">
      <c r="AL51" s="273" t="s">
        <v>521</v>
      </c>
      <c r="AM51" s="267">
        <v>18</v>
      </c>
      <c r="AN51" s="274">
        <v>1024</v>
      </c>
      <c r="AO51" s="299" t="s">
        <v>415</v>
      </c>
      <c r="AP51" s="288"/>
      <c r="AQ51" s="288">
        <v>1.99</v>
      </c>
      <c r="AR51" s="278">
        <v>4</v>
      </c>
      <c r="AS51" s="278">
        <v>4.99</v>
      </c>
      <c r="AT51" s="281">
        <v>3</v>
      </c>
      <c r="AU51" s="281">
        <v>3.99</v>
      </c>
      <c r="AV51" s="288"/>
      <c r="AW51" s="289">
        <v>6.99</v>
      </c>
      <c r="AX51" s="288"/>
      <c r="AY51" s="288">
        <v>5.99</v>
      </c>
      <c r="AZ51" s="288"/>
      <c r="BA51" s="277">
        <v>2.99</v>
      </c>
      <c r="BB51" s="288"/>
      <c r="BC51" s="288"/>
      <c r="BD51" s="292">
        <v>42610</v>
      </c>
    </row>
    <row r="52" spans="38:56" x14ac:dyDescent="0.25">
      <c r="AL52" s="273" t="s">
        <v>522</v>
      </c>
      <c r="AM52" s="267">
        <v>18</v>
      </c>
      <c r="AN52" s="274">
        <v>1049</v>
      </c>
      <c r="AO52" s="299"/>
      <c r="AP52" s="288"/>
      <c r="AQ52" s="277">
        <v>0.99</v>
      </c>
      <c r="AR52" s="278">
        <v>1</v>
      </c>
      <c r="AS52" s="278">
        <v>1.99</v>
      </c>
      <c r="AT52" s="281">
        <v>6</v>
      </c>
      <c r="AU52" s="282">
        <v>6.99</v>
      </c>
      <c r="AV52" s="281">
        <v>4</v>
      </c>
      <c r="AW52" s="281">
        <v>4.99</v>
      </c>
      <c r="AX52" s="288"/>
      <c r="AY52" s="277">
        <v>4.99</v>
      </c>
      <c r="AZ52" s="278">
        <v>4</v>
      </c>
      <c r="BA52" s="278">
        <v>4.99</v>
      </c>
      <c r="BB52" s="288"/>
      <c r="BC52" s="277">
        <v>1.99</v>
      </c>
      <c r="BD52" s="292">
        <v>42597</v>
      </c>
    </row>
    <row r="53" spans="38:56" x14ac:dyDescent="0.25">
      <c r="AL53" s="273" t="s">
        <v>523</v>
      </c>
      <c r="AM53" s="267">
        <v>17</v>
      </c>
      <c r="AN53" s="274">
        <v>1042</v>
      </c>
      <c r="AO53" s="299"/>
      <c r="AP53" s="288"/>
      <c r="AQ53" s="277">
        <v>1.99</v>
      </c>
      <c r="AR53" s="277">
        <v>2</v>
      </c>
      <c r="AS53" s="277">
        <v>3.99</v>
      </c>
      <c r="AT53" s="278">
        <v>5</v>
      </c>
      <c r="AU53" s="279">
        <v>5.99</v>
      </c>
      <c r="AV53" s="288"/>
      <c r="AW53" s="277">
        <v>2.99</v>
      </c>
      <c r="AX53" s="288"/>
      <c r="AY53" s="277">
        <v>3.99</v>
      </c>
      <c r="AZ53" s="281">
        <v>5</v>
      </c>
      <c r="BA53" s="284">
        <v>5.99</v>
      </c>
      <c r="BB53" s="288"/>
      <c r="BC53" s="288"/>
      <c r="BD53" s="292">
        <v>42667</v>
      </c>
    </row>
    <row r="54" spans="38:56" x14ac:dyDescent="0.25">
      <c r="AL54" s="273" t="s">
        <v>524</v>
      </c>
      <c r="AM54" s="267">
        <v>18</v>
      </c>
      <c r="AN54" s="274">
        <v>1049</v>
      </c>
      <c r="AO54" s="299"/>
      <c r="AP54" s="277">
        <v>4</v>
      </c>
      <c r="AQ54" s="289">
        <v>6.99</v>
      </c>
      <c r="AR54" s="278">
        <v>4</v>
      </c>
      <c r="AS54" s="278">
        <v>4.99</v>
      </c>
      <c r="AT54" s="288"/>
      <c r="AU54" s="277">
        <v>0.99</v>
      </c>
      <c r="AV54" s="288"/>
      <c r="AW54" s="277">
        <v>1.99</v>
      </c>
      <c r="AX54" s="281">
        <v>1</v>
      </c>
      <c r="AY54" s="281">
        <v>1.99</v>
      </c>
      <c r="AZ54" s="278">
        <v>1</v>
      </c>
      <c r="BA54" s="278">
        <v>1.99</v>
      </c>
      <c r="BB54" s="278">
        <v>2</v>
      </c>
      <c r="BC54" s="278">
        <v>2.99</v>
      </c>
      <c r="BD54" s="292">
        <v>42483</v>
      </c>
    </row>
    <row r="55" spans="38:56" x14ac:dyDescent="0.25">
      <c r="AL55" s="273" t="s">
        <v>525</v>
      </c>
      <c r="AM55" s="267">
        <v>17</v>
      </c>
      <c r="AN55" s="274">
        <v>911</v>
      </c>
      <c r="AO55" s="299"/>
      <c r="AP55" s="288"/>
      <c r="AQ55" s="277">
        <v>1.99</v>
      </c>
      <c r="AR55" s="281">
        <v>4</v>
      </c>
      <c r="AS55" s="281">
        <v>4.99</v>
      </c>
      <c r="AT55" s="281">
        <v>6</v>
      </c>
      <c r="AU55" s="282">
        <v>6.99</v>
      </c>
      <c r="AV55" s="278">
        <v>5</v>
      </c>
      <c r="AW55" s="279">
        <v>5.99</v>
      </c>
      <c r="AX55" s="281">
        <v>4</v>
      </c>
      <c r="AY55" s="281">
        <v>4.99</v>
      </c>
      <c r="AZ55" s="278">
        <v>3</v>
      </c>
      <c r="BA55" s="278">
        <v>3.99</v>
      </c>
      <c r="BB55" s="288"/>
      <c r="BC55" s="288"/>
      <c r="BD55" s="292">
        <v>42733</v>
      </c>
    </row>
    <row r="56" spans="38:56" x14ac:dyDescent="0.25">
      <c r="AL56" s="273" t="s">
        <v>526</v>
      </c>
      <c r="AM56" s="267">
        <v>17</v>
      </c>
      <c r="AN56" s="274">
        <v>914</v>
      </c>
      <c r="AO56" s="299" t="s">
        <v>471</v>
      </c>
      <c r="AP56" s="288"/>
      <c r="AQ56" s="277">
        <v>1.99</v>
      </c>
      <c r="AR56" s="288"/>
      <c r="AS56" s="288">
        <v>4.99</v>
      </c>
      <c r="AT56" s="281">
        <v>5</v>
      </c>
      <c r="AU56" s="284">
        <v>5.99</v>
      </c>
      <c r="AV56" s="281">
        <v>2</v>
      </c>
      <c r="AW56" s="281">
        <v>2.99</v>
      </c>
      <c r="AX56" s="288"/>
      <c r="AY56" s="288"/>
      <c r="AZ56" s="278">
        <v>2</v>
      </c>
      <c r="BA56" s="278">
        <v>2.99</v>
      </c>
      <c r="BB56" s="288"/>
      <c r="BC56" s="288"/>
      <c r="BD56" s="292">
        <v>42737</v>
      </c>
    </row>
    <row r="57" spans="38:56" x14ac:dyDescent="0.25">
      <c r="AL57" s="273" t="s">
        <v>527</v>
      </c>
      <c r="AM57" s="267">
        <v>17</v>
      </c>
      <c r="AN57" s="274">
        <v>954</v>
      </c>
      <c r="AO57" s="299"/>
      <c r="AP57" s="288"/>
      <c r="AQ57" s="288"/>
      <c r="AR57" s="281">
        <v>5</v>
      </c>
      <c r="AS57" s="284">
        <v>5.99</v>
      </c>
      <c r="AT57" s="278">
        <v>2</v>
      </c>
      <c r="AU57" s="278">
        <v>2.99</v>
      </c>
      <c r="AV57" s="278">
        <v>3</v>
      </c>
      <c r="AW57" s="278">
        <v>3.99</v>
      </c>
      <c r="AX57" s="277">
        <v>2</v>
      </c>
      <c r="AY57" s="277">
        <v>3.99</v>
      </c>
      <c r="AZ57" s="278">
        <v>2</v>
      </c>
      <c r="BA57" s="278">
        <v>2.99</v>
      </c>
      <c r="BB57" s="288"/>
      <c r="BC57" s="288"/>
      <c r="BD57" s="292">
        <v>42690</v>
      </c>
    </row>
    <row r="58" spans="38:56" x14ac:dyDescent="0.25">
      <c r="AL58" s="273" t="s">
        <v>528</v>
      </c>
      <c r="AM58" s="267">
        <v>19</v>
      </c>
      <c r="AN58" s="274">
        <v>909</v>
      </c>
      <c r="AO58" s="299" t="s">
        <v>486</v>
      </c>
      <c r="AP58" s="288"/>
      <c r="AQ58" s="277">
        <v>1.99</v>
      </c>
      <c r="AR58" s="278">
        <v>2</v>
      </c>
      <c r="AS58" s="278">
        <v>2.99</v>
      </c>
      <c r="AT58" s="278">
        <v>5</v>
      </c>
      <c r="AU58" s="279">
        <v>5.99</v>
      </c>
      <c r="AV58" s="288"/>
      <c r="AW58" s="277">
        <v>2.99</v>
      </c>
      <c r="AX58" s="277">
        <v>4</v>
      </c>
      <c r="AY58" s="289">
        <v>7</v>
      </c>
      <c r="AZ58" s="278">
        <v>1</v>
      </c>
      <c r="BA58" s="278">
        <v>1.99</v>
      </c>
      <c r="BB58" s="288"/>
      <c r="BC58" s="288"/>
      <c r="BD58" s="292">
        <v>42654</v>
      </c>
    </row>
    <row r="59" spans="38:56" x14ac:dyDescent="0.25">
      <c r="AL59" s="273" t="s">
        <v>529</v>
      </c>
      <c r="AM59" s="267">
        <v>16</v>
      </c>
      <c r="AN59" s="274">
        <v>992</v>
      </c>
      <c r="AO59" s="299"/>
      <c r="AP59" s="288"/>
      <c r="AQ59" s="277">
        <v>1.99</v>
      </c>
      <c r="AR59" s="281">
        <v>2</v>
      </c>
      <c r="AS59" s="281">
        <v>2.99</v>
      </c>
      <c r="AT59" s="281">
        <v>4</v>
      </c>
      <c r="AU59" s="281">
        <v>4.99</v>
      </c>
      <c r="AV59" s="278">
        <v>4</v>
      </c>
      <c r="AW59" s="278">
        <v>4.99</v>
      </c>
      <c r="AX59" s="281">
        <v>5</v>
      </c>
      <c r="AY59" s="284">
        <v>5.99</v>
      </c>
      <c r="AZ59" s="278">
        <v>3</v>
      </c>
      <c r="BA59" s="278">
        <v>3.99</v>
      </c>
      <c r="BB59" s="288"/>
      <c r="BC59" s="288"/>
      <c r="BD59" s="292">
        <v>42764</v>
      </c>
    </row>
    <row r="60" spans="38:56" x14ac:dyDescent="0.25">
      <c r="AL60" s="273" t="s">
        <v>530</v>
      </c>
      <c r="AM60" s="267">
        <v>16</v>
      </c>
      <c r="AN60" s="274">
        <v>980</v>
      </c>
      <c r="AO60" s="299"/>
      <c r="AP60" s="288"/>
      <c r="AQ60" s="277">
        <v>1.99</v>
      </c>
      <c r="AR60" s="278">
        <v>3</v>
      </c>
      <c r="AS60" s="278">
        <v>3.99</v>
      </c>
      <c r="AT60" s="281">
        <v>6</v>
      </c>
      <c r="AU60" s="282">
        <v>6.99</v>
      </c>
      <c r="AV60" s="278">
        <v>2</v>
      </c>
      <c r="AW60" s="278">
        <v>2.99</v>
      </c>
      <c r="AX60" s="288"/>
      <c r="AY60" s="277">
        <v>2.99</v>
      </c>
      <c r="AZ60" s="278">
        <v>4</v>
      </c>
      <c r="BA60" s="278">
        <v>4.99</v>
      </c>
      <c r="BB60" s="288"/>
      <c r="BC60" s="277">
        <v>3.99</v>
      </c>
      <c r="BD60" s="292">
        <v>42776</v>
      </c>
    </row>
    <row r="61" spans="38:56" x14ac:dyDescent="0.25">
      <c r="AL61" s="273" t="s">
        <v>531</v>
      </c>
      <c r="AM61" s="267">
        <v>17</v>
      </c>
      <c r="AN61" s="274">
        <v>936</v>
      </c>
      <c r="AO61" s="299"/>
      <c r="AP61" s="288"/>
      <c r="AQ61" s="277">
        <v>1.99</v>
      </c>
      <c r="AR61" s="281">
        <v>5</v>
      </c>
      <c r="AS61" s="284">
        <v>5.99</v>
      </c>
      <c r="AT61" s="281">
        <v>3</v>
      </c>
      <c r="AU61" s="281">
        <v>3.99</v>
      </c>
      <c r="AV61" s="288"/>
      <c r="AW61" s="277">
        <v>2.99</v>
      </c>
      <c r="AX61" s="281">
        <v>4</v>
      </c>
      <c r="AY61" s="281">
        <v>4.99</v>
      </c>
      <c r="AZ61" s="288"/>
      <c r="BA61" s="286">
        <v>5.99</v>
      </c>
      <c r="BB61" s="288"/>
      <c r="BC61" s="277">
        <v>2.99</v>
      </c>
      <c r="BD61" s="292">
        <v>42754</v>
      </c>
    </row>
    <row r="62" spans="38:56" x14ac:dyDescent="0.25">
      <c r="AL62" s="273" t="s">
        <v>532</v>
      </c>
      <c r="AM62" s="267">
        <v>17</v>
      </c>
      <c r="AN62" s="274">
        <v>840</v>
      </c>
      <c r="AO62" s="299"/>
      <c r="AP62" s="288"/>
      <c r="AQ62" s="277">
        <v>1.99</v>
      </c>
      <c r="AR62" s="277">
        <v>6</v>
      </c>
      <c r="AS62" s="289">
        <v>7</v>
      </c>
      <c r="AT62" s="288"/>
      <c r="AU62" s="277">
        <v>2.99</v>
      </c>
      <c r="AV62" s="281">
        <v>5</v>
      </c>
      <c r="AW62" s="284">
        <v>5.99</v>
      </c>
      <c r="AX62" s="281">
        <v>3</v>
      </c>
      <c r="AY62" s="281">
        <v>3.99</v>
      </c>
      <c r="AZ62" s="278">
        <v>3</v>
      </c>
      <c r="BA62" s="278">
        <v>3.99</v>
      </c>
      <c r="BB62" s="288"/>
      <c r="BC62" s="277">
        <v>3.99</v>
      </c>
      <c r="BD62" s="292">
        <v>42804</v>
      </c>
    </row>
    <row r="63" spans="38:56" x14ac:dyDescent="0.25">
      <c r="AL63" s="273" t="s">
        <v>533</v>
      </c>
      <c r="AM63" s="267">
        <v>16</v>
      </c>
      <c r="AN63" s="274">
        <v>944</v>
      </c>
      <c r="AO63" s="299"/>
      <c r="AP63" s="288"/>
      <c r="AQ63" s="288">
        <v>1.99</v>
      </c>
      <c r="AR63" s="278">
        <v>2</v>
      </c>
      <c r="AS63" s="278">
        <v>2.99</v>
      </c>
      <c r="AT63" s="281">
        <v>5</v>
      </c>
      <c r="AU63" s="284">
        <v>5.99</v>
      </c>
      <c r="AV63" s="278">
        <v>4</v>
      </c>
      <c r="AW63" s="278">
        <v>4.99</v>
      </c>
      <c r="AX63" s="278">
        <v>3</v>
      </c>
      <c r="AY63" s="278">
        <v>3.99</v>
      </c>
      <c r="AZ63" s="278">
        <v>3</v>
      </c>
      <c r="BA63" s="278">
        <v>3.99</v>
      </c>
      <c r="BB63" s="288"/>
      <c r="BC63" s="288">
        <v>4.99</v>
      </c>
      <c r="BD63" s="292">
        <v>42812</v>
      </c>
    </row>
    <row r="64" spans="38:56" x14ac:dyDescent="0.25">
      <c r="AL64" s="273" t="s">
        <v>534</v>
      </c>
      <c r="AM64" s="267">
        <v>17</v>
      </c>
      <c r="AN64" s="274">
        <v>887</v>
      </c>
      <c r="AO64" s="299"/>
      <c r="AP64" s="288"/>
      <c r="AQ64" s="288"/>
      <c r="AR64" s="278">
        <v>4</v>
      </c>
      <c r="AS64" s="278">
        <v>4.99</v>
      </c>
      <c r="AT64" s="281">
        <v>4</v>
      </c>
      <c r="AU64" s="281">
        <v>4.99</v>
      </c>
      <c r="AV64" s="288"/>
      <c r="AW64" s="277">
        <v>4.99</v>
      </c>
      <c r="AX64" s="277">
        <v>5</v>
      </c>
      <c r="AY64" s="289">
        <v>6.99</v>
      </c>
      <c r="AZ64" s="278">
        <v>3</v>
      </c>
      <c r="BA64" s="278">
        <v>3.99</v>
      </c>
      <c r="BB64" s="288"/>
      <c r="BC64" s="288"/>
      <c r="BD64" s="292">
        <v>42779</v>
      </c>
    </row>
    <row r="65" spans="38:59" x14ac:dyDescent="0.25">
      <c r="AL65" s="273" t="s">
        <v>535</v>
      </c>
      <c r="AM65" s="267">
        <v>17</v>
      </c>
      <c r="AN65" s="274">
        <v>804</v>
      </c>
      <c r="AO65" s="299" t="s">
        <v>471</v>
      </c>
      <c r="AP65" s="288"/>
      <c r="AQ65" s="288"/>
      <c r="AR65" s="278">
        <v>2</v>
      </c>
      <c r="AS65" s="278">
        <v>2.99</v>
      </c>
      <c r="AT65" s="281">
        <v>4</v>
      </c>
      <c r="AU65" s="281">
        <v>4.99</v>
      </c>
      <c r="AV65" s="278">
        <v>3</v>
      </c>
      <c r="AW65" s="278">
        <v>3.99</v>
      </c>
      <c r="AX65" s="281">
        <v>6</v>
      </c>
      <c r="AY65" s="282">
        <v>6.99</v>
      </c>
      <c r="AZ65" s="278">
        <v>3</v>
      </c>
      <c r="BA65" s="278">
        <v>3.99</v>
      </c>
      <c r="BB65" s="288"/>
      <c r="BC65" s="277">
        <v>2.99</v>
      </c>
      <c r="BD65" s="292">
        <v>42840</v>
      </c>
    </row>
    <row r="66" spans="38:59" x14ac:dyDescent="0.25">
      <c r="AL66" s="273" t="s">
        <v>536</v>
      </c>
      <c r="AM66" s="267">
        <v>17</v>
      </c>
      <c r="AN66" s="274">
        <v>886</v>
      </c>
      <c r="AO66" s="299"/>
      <c r="AP66" s="288"/>
      <c r="AQ66" s="288"/>
      <c r="AR66" s="281">
        <v>4</v>
      </c>
      <c r="AS66" s="281">
        <v>4.99</v>
      </c>
      <c r="AT66" s="281">
        <v>4</v>
      </c>
      <c r="AU66" s="281">
        <v>4.99</v>
      </c>
      <c r="AV66" s="277">
        <v>5</v>
      </c>
      <c r="AW66" s="289">
        <v>6.99</v>
      </c>
      <c r="AX66" s="288"/>
      <c r="AY66" s="277">
        <v>3.99</v>
      </c>
      <c r="AZ66" s="278">
        <v>3</v>
      </c>
      <c r="BA66" s="278">
        <v>3.99</v>
      </c>
      <c r="BB66" s="288"/>
      <c r="BC66" s="288"/>
      <c r="BD66" s="292">
        <v>42828</v>
      </c>
    </row>
    <row r="67" spans="38:59" x14ac:dyDescent="0.25">
      <c r="AL67" s="273" t="s">
        <v>537</v>
      </c>
      <c r="AM67" s="267">
        <v>17</v>
      </c>
      <c r="AN67" s="274">
        <v>785</v>
      </c>
      <c r="AO67" s="299"/>
      <c r="AP67" s="288"/>
      <c r="AQ67" s="288"/>
      <c r="AR67" s="281">
        <v>4</v>
      </c>
      <c r="AS67" s="281">
        <v>4.99</v>
      </c>
      <c r="AT67" s="281">
        <v>5</v>
      </c>
      <c r="AU67" s="284">
        <v>5.99</v>
      </c>
      <c r="AV67" s="288"/>
      <c r="AW67" s="288"/>
      <c r="AX67" s="288"/>
      <c r="AY67" s="288"/>
      <c r="AZ67" s="288"/>
      <c r="BA67" s="277">
        <v>4.99</v>
      </c>
      <c r="BB67" s="288"/>
      <c r="BC67" s="288"/>
      <c r="BD67" s="292">
        <v>42863</v>
      </c>
    </row>
    <row r="68" spans="38:59" x14ac:dyDescent="0.25">
      <c r="AL68" s="273" t="s">
        <v>538</v>
      </c>
      <c r="AM68" s="267">
        <v>16</v>
      </c>
      <c r="AN68" s="274">
        <v>883</v>
      </c>
      <c r="AO68" s="299" t="s">
        <v>471</v>
      </c>
      <c r="AP68" s="288"/>
      <c r="AQ68" s="288"/>
      <c r="AR68" s="281">
        <v>4</v>
      </c>
      <c r="AS68" s="281">
        <v>4.99</v>
      </c>
      <c r="AT68" s="281">
        <v>3</v>
      </c>
      <c r="AU68" s="281">
        <v>3.99</v>
      </c>
      <c r="AV68" s="288"/>
      <c r="AW68" s="277">
        <v>2.99</v>
      </c>
      <c r="AX68" s="281">
        <v>5</v>
      </c>
      <c r="AY68" s="284">
        <v>5.99</v>
      </c>
      <c r="AZ68" s="281">
        <v>5</v>
      </c>
      <c r="BA68" s="284">
        <v>5.99</v>
      </c>
      <c r="BB68" s="288"/>
      <c r="BC68" s="288"/>
      <c r="BD68" s="292">
        <v>42873</v>
      </c>
    </row>
    <row r="69" spans="38:59" x14ac:dyDescent="0.25">
      <c r="AL69" s="273" t="s">
        <v>539</v>
      </c>
      <c r="AM69" s="267">
        <v>17</v>
      </c>
      <c r="AN69" s="274">
        <v>787</v>
      </c>
      <c r="AO69" s="299" t="s">
        <v>540</v>
      </c>
      <c r="AP69" s="288"/>
      <c r="AQ69" s="277">
        <v>1.99</v>
      </c>
      <c r="AR69" s="281">
        <v>4</v>
      </c>
      <c r="AS69" s="281">
        <v>4.99</v>
      </c>
      <c r="AT69" s="277">
        <v>6</v>
      </c>
      <c r="AU69" s="289">
        <v>7</v>
      </c>
      <c r="AV69" s="288"/>
      <c r="AW69" s="277">
        <v>3.99</v>
      </c>
      <c r="AX69" s="281">
        <v>3</v>
      </c>
      <c r="AY69" s="281">
        <v>3.99</v>
      </c>
      <c r="AZ69" s="278">
        <v>2</v>
      </c>
      <c r="BA69" s="278">
        <v>2.99</v>
      </c>
      <c r="BB69" s="288"/>
      <c r="BC69" s="288"/>
      <c r="BD69" s="292">
        <v>42886</v>
      </c>
    </row>
    <row r="70" spans="38:59" x14ac:dyDescent="0.25">
      <c r="AL70" s="273" t="s">
        <v>541</v>
      </c>
      <c r="AM70" s="267">
        <v>17</v>
      </c>
      <c r="AN70" s="274">
        <v>812</v>
      </c>
      <c r="AO70" s="299" t="s">
        <v>415</v>
      </c>
      <c r="AP70" s="288"/>
      <c r="AQ70" s="288"/>
      <c r="AR70" s="288"/>
      <c r="AS70" s="277">
        <v>4.99</v>
      </c>
      <c r="AT70" s="281">
        <v>5</v>
      </c>
      <c r="AU70" s="284">
        <v>5.99</v>
      </c>
      <c r="AV70" s="288"/>
      <c r="AW70" s="277">
        <v>2.99</v>
      </c>
      <c r="AX70" s="288"/>
      <c r="AY70" s="288">
        <v>2.99</v>
      </c>
      <c r="AZ70" s="277">
        <v>4</v>
      </c>
      <c r="BA70" s="286">
        <v>5.99</v>
      </c>
      <c r="BB70" s="288"/>
      <c r="BC70" s="288"/>
      <c r="BD70" s="292">
        <v>42912</v>
      </c>
    </row>
    <row r="71" spans="38:59" x14ac:dyDescent="0.25">
      <c r="AL71" s="273" t="s">
        <v>542</v>
      </c>
      <c r="AM71" s="267">
        <v>17</v>
      </c>
      <c r="AN71" s="274">
        <v>-1523</v>
      </c>
      <c r="AO71" s="299" t="s">
        <v>478</v>
      </c>
      <c r="AP71" s="288"/>
      <c r="AQ71" s="277">
        <v>1.99</v>
      </c>
      <c r="AR71" s="278">
        <v>4</v>
      </c>
      <c r="AS71" s="278">
        <v>4.99</v>
      </c>
      <c r="AT71" s="288"/>
      <c r="AU71" s="288"/>
      <c r="AV71" s="288"/>
      <c r="AW71" s="277">
        <v>1.99</v>
      </c>
      <c r="AX71" s="281">
        <v>6</v>
      </c>
      <c r="AY71" s="282">
        <v>6.99</v>
      </c>
      <c r="AZ71" s="278">
        <v>3</v>
      </c>
      <c r="BA71" s="278">
        <v>3.99</v>
      </c>
      <c r="BB71" s="288"/>
      <c r="BC71" s="277">
        <v>2.99</v>
      </c>
      <c r="BD71" s="292">
        <v>45167</v>
      </c>
    </row>
    <row r="72" spans="38:59" x14ac:dyDescent="0.25">
      <c r="AL72" s="273" t="s">
        <v>543</v>
      </c>
      <c r="AM72" s="267">
        <v>18</v>
      </c>
      <c r="AN72" s="274">
        <v>793</v>
      </c>
      <c r="AO72" s="299"/>
      <c r="AP72" s="288"/>
      <c r="AQ72" s="286">
        <v>5.99</v>
      </c>
      <c r="AR72" s="281">
        <v>4</v>
      </c>
      <c r="AS72" s="281">
        <v>4.99</v>
      </c>
      <c r="AT72" s="278">
        <v>1</v>
      </c>
      <c r="AU72" s="278">
        <v>1.99</v>
      </c>
      <c r="AV72" s="278">
        <v>0</v>
      </c>
      <c r="AW72" s="278">
        <v>0.99</v>
      </c>
      <c r="AX72" s="278">
        <v>0</v>
      </c>
      <c r="AY72" s="278">
        <v>0.99</v>
      </c>
      <c r="AZ72" s="278">
        <v>0</v>
      </c>
      <c r="BA72" s="278">
        <v>0.99</v>
      </c>
      <c r="BB72" s="288"/>
      <c r="BC72" s="288"/>
      <c r="BD72" s="292">
        <v>42739</v>
      </c>
    </row>
    <row r="73" spans="38:59" x14ac:dyDescent="0.25">
      <c r="AL73" s="273" t="s">
        <v>544</v>
      </c>
      <c r="AM73" s="267">
        <v>18</v>
      </c>
      <c r="AN73" s="274">
        <v>770</v>
      </c>
      <c r="AO73" s="299" t="s">
        <v>478</v>
      </c>
      <c r="AP73" s="288"/>
      <c r="AQ73" s="288"/>
      <c r="AR73" s="278">
        <v>3</v>
      </c>
      <c r="AS73" s="278">
        <v>3.99</v>
      </c>
      <c r="AT73" s="281">
        <v>5</v>
      </c>
      <c r="AU73" s="284">
        <v>5.99</v>
      </c>
      <c r="AV73" s="288"/>
      <c r="AW73" s="289">
        <v>6.99</v>
      </c>
      <c r="AX73" s="277">
        <v>2</v>
      </c>
      <c r="AY73" s="288"/>
      <c r="AZ73" s="278">
        <v>3</v>
      </c>
      <c r="BA73" s="278">
        <v>3.99</v>
      </c>
      <c r="BB73" s="288"/>
      <c r="BC73" s="288"/>
      <c r="BD73" s="292">
        <v>42835</v>
      </c>
    </row>
    <row r="74" spans="38:59" x14ac:dyDescent="0.25">
      <c r="AL74" s="273" t="s">
        <v>545</v>
      </c>
      <c r="AM74" s="267">
        <v>16</v>
      </c>
      <c r="AN74" s="274">
        <v>778</v>
      </c>
      <c r="AO74" s="299"/>
      <c r="AP74" s="288"/>
      <c r="AQ74" s="288"/>
      <c r="AR74" s="288"/>
      <c r="AS74" s="277">
        <v>2.99</v>
      </c>
      <c r="AT74" s="281">
        <v>3</v>
      </c>
      <c r="AU74" s="288">
        <v>3.99</v>
      </c>
      <c r="AV74" s="288"/>
      <c r="AW74" s="277">
        <v>3.99</v>
      </c>
      <c r="AX74" s="281">
        <v>6</v>
      </c>
      <c r="AY74" s="282">
        <v>6.99</v>
      </c>
      <c r="AZ74" s="278">
        <v>4</v>
      </c>
      <c r="BA74" s="278">
        <v>4.99</v>
      </c>
      <c r="BB74" s="288"/>
      <c r="BC74" s="288"/>
      <c r="BD74" s="292">
        <v>42978</v>
      </c>
    </row>
    <row r="75" spans="38:59" x14ac:dyDescent="0.25">
      <c r="AL75" s="273" t="s">
        <v>546</v>
      </c>
      <c r="AM75" s="267">
        <v>16</v>
      </c>
      <c r="AN75" s="274">
        <v>745</v>
      </c>
      <c r="AO75" s="299" t="s">
        <v>478</v>
      </c>
      <c r="AP75" s="288"/>
      <c r="AQ75" s="277">
        <v>1.99</v>
      </c>
      <c r="AR75" s="288"/>
      <c r="AS75" s="277">
        <v>2.99</v>
      </c>
      <c r="AT75" s="278">
        <v>3</v>
      </c>
      <c r="AU75" s="278">
        <v>3.99</v>
      </c>
      <c r="AV75" s="281">
        <v>3</v>
      </c>
      <c r="AW75" s="294">
        <v>3.99</v>
      </c>
      <c r="AX75" s="281">
        <v>5</v>
      </c>
      <c r="AY75" s="284">
        <v>5.99</v>
      </c>
      <c r="AZ75" s="281">
        <v>6</v>
      </c>
      <c r="BA75" s="282">
        <v>6.99</v>
      </c>
      <c r="BB75" s="288"/>
      <c r="BC75" s="288"/>
      <c r="BD75" s="292">
        <v>43011</v>
      </c>
    </row>
    <row r="76" spans="38:59" x14ac:dyDescent="0.25">
      <c r="AL76" s="273" t="s">
        <v>547</v>
      </c>
      <c r="AM76" s="267">
        <v>16</v>
      </c>
      <c r="AN76" s="274">
        <v>725</v>
      </c>
      <c r="AO76" s="299"/>
      <c r="AP76" s="288"/>
      <c r="AQ76" s="288"/>
      <c r="AR76" s="288"/>
      <c r="AS76" s="277">
        <v>3.99</v>
      </c>
      <c r="AT76" s="281">
        <v>3</v>
      </c>
      <c r="AU76" s="281">
        <v>3.99</v>
      </c>
      <c r="AV76" s="281">
        <v>6</v>
      </c>
      <c r="AW76" s="282">
        <v>6.99</v>
      </c>
      <c r="AX76" s="278">
        <v>1</v>
      </c>
      <c r="AY76" s="278">
        <v>1.99</v>
      </c>
      <c r="AZ76" s="277">
        <v>4</v>
      </c>
      <c r="BA76" s="286">
        <v>5.99</v>
      </c>
      <c r="BB76" s="288"/>
      <c r="BC76" s="277">
        <v>2.99</v>
      </c>
      <c r="BD76" s="292">
        <v>43031</v>
      </c>
    </row>
    <row r="77" spans="38:59" x14ac:dyDescent="0.25">
      <c r="AL77" s="273" t="s">
        <v>548</v>
      </c>
      <c r="AM77" s="267">
        <v>18</v>
      </c>
      <c r="AN77" s="274">
        <v>706</v>
      </c>
      <c r="AO77" s="299"/>
      <c r="AP77" s="288"/>
      <c r="AQ77" s="277">
        <v>1.99</v>
      </c>
      <c r="AR77" s="277">
        <v>3</v>
      </c>
      <c r="AS77" s="277">
        <v>4.99</v>
      </c>
      <c r="AT77" s="278">
        <v>3</v>
      </c>
      <c r="AU77" s="278">
        <v>3.99</v>
      </c>
      <c r="AV77" s="277">
        <v>5</v>
      </c>
      <c r="AW77" s="289">
        <v>6.99</v>
      </c>
      <c r="AX77" s="278">
        <v>2</v>
      </c>
      <c r="AY77" s="278">
        <v>2.99</v>
      </c>
      <c r="AZ77" s="288"/>
      <c r="BA77" s="277">
        <v>2.99</v>
      </c>
      <c r="BB77" s="288"/>
      <c r="BC77" s="288">
        <v>3.99</v>
      </c>
      <c r="BD77" s="292">
        <v>42928</v>
      </c>
    </row>
    <row r="78" spans="38:59" x14ac:dyDescent="0.25">
      <c r="AL78" s="273" t="s">
        <v>549</v>
      </c>
      <c r="AM78" s="267">
        <v>17</v>
      </c>
      <c r="AN78" s="274">
        <v>585</v>
      </c>
      <c r="AO78" s="299"/>
      <c r="AP78" s="288"/>
      <c r="AQ78" s="277">
        <v>1.99</v>
      </c>
      <c r="AR78" s="288"/>
      <c r="AS78" s="277">
        <v>3.99</v>
      </c>
      <c r="AT78" s="277">
        <v>6</v>
      </c>
      <c r="AU78" s="289">
        <v>7</v>
      </c>
      <c r="AV78" s="281">
        <v>6</v>
      </c>
      <c r="AW78" s="282">
        <v>6.99</v>
      </c>
      <c r="AX78" s="281">
        <v>2</v>
      </c>
      <c r="AY78" s="281">
        <v>2.99</v>
      </c>
      <c r="AZ78" s="278">
        <v>4</v>
      </c>
      <c r="BA78" s="278">
        <v>4.99</v>
      </c>
      <c r="BB78" s="288"/>
      <c r="BC78" s="277">
        <v>4.99</v>
      </c>
      <c r="BD78" s="292">
        <v>43059</v>
      </c>
    </row>
    <row r="79" spans="38:59" x14ac:dyDescent="0.25">
      <c r="AL79" s="273" t="s">
        <v>550</v>
      </c>
      <c r="AM79" s="267">
        <v>16</v>
      </c>
      <c r="AN79" s="274">
        <v>656</v>
      </c>
      <c r="AO79" s="299"/>
      <c r="AP79" s="288"/>
      <c r="AQ79" s="277">
        <v>1.99</v>
      </c>
      <c r="AR79" s="278">
        <v>2</v>
      </c>
      <c r="AS79" s="278">
        <v>2.99</v>
      </c>
      <c r="AT79" s="278">
        <v>4</v>
      </c>
      <c r="AU79" s="278">
        <v>4.99</v>
      </c>
      <c r="AV79" s="281">
        <v>3</v>
      </c>
      <c r="AW79" s="281">
        <v>3.99</v>
      </c>
      <c r="AX79" s="281">
        <v>5</v>
      </c>
      <c r="AY79" s="284">
        <v>5.99</v>
      </c>
      <c r="AZ79" s="278">
        <v>1</v>
      </c>
      <c r="BA79" s="278">
        <v>1.99</v>
      </c>
      <c r="BB79" s="288"/>
      <c r="BC79" s="288"/>
      <c r="BD79" s="292">
        <v>43100</v>
      </c>
      <c r="BE79" s="163"/>
      <c r="BF79" s="163"/>
      <c r="BG79" s="163"/>
    </row>
    <row r="80" spans="38:59" x14ac:dyDescent="0.25">
      <c r="AL80" s="273" t="s">
        <v>551</v>
      </c>
      <c r="AM80" s="267">
        <v>17</v>
      </c>
      <c r="AN80" s="274">
        <v>535</v>
      </c>
      <c r="AO80" s="299"/>
      <c r="AP80" s="288"/>
      <c r="AQ80" s="288"/>
      <c r="AR80" s="288"/>
      <c r="AS80" s="277">
        <v>2.99</v>
      </c>
      <c r="AT80" s="281">
        <v>6</v>
      </c>
      <c r="AU80" s="282">
        <v>6.6</v>
      </c>
      <c r="AV80" s="281">
        <v>5</v>
      </c>
      <c r="AW80" s="284">
        <v>5.99</v>
      </c>
      <c r="AX80" s="281">
        <v>4</v>
      </c>
      <c r="AY80" s="281">
        <v>4.99</v>
      </c>
      <c r="AZ80" s="288"/>
      <c r="BA80" s="277">
        <v>2.99</v>
      </c>
      <c r="BB80" s="288"/>
      <c r="BC80" s="288"/>
      <c r="BD80" s="292">
        <v>43109</v>
      </c>
      <c r="BE80" s="163"/>
      <c r="BF80" s="163"/>
      <c r="BG80" s="163"/>
    </row>
    <row r="81" spans="38:59" x14ac:dyDescent="0.25">
      <c r="AL81" s="273" t="s">
        <v>552</v>
      </c>
      <c r="AM81" s="267">
        <v>16</v>
      </c>
      <c r="AN81" s="274">
        <v>581</v>
      </c>
      <c r="AO81" s="299" t="s">
        <v>553</v>
      </c>
      <c r="AP81" s="288"/>
      <c r="AQ81" s="288"/>
      <c r="AR81" s="288"/>
      <c r="AS81" s="277">
        <v>3.99</v>
      </c>
      <c r="AT81" s="278">
        <v>4</v>
      </c>
      <c r="AU81" s="278">
        <v>4.99</v>
      </c>
      <c r="AV81" s="288"/>
      <c r="AW81" s="286">
        <v>5.99</v>
      </c>
      <c r="AX81" s="281">
        <v>1</v>
      </c>
      <c r="AY81" s="281">
        <v>1.99</v>
      </c>
      <c r="AZ81" s="288"/>
      <c r="BA81" s="277">
        <v>3.99</v>
      </c>
      <c r="BB81" s="288"/>
      <c r="BC81" s="288"/>
      <c r="BD81" s="292">
        <v>43175</v>
      </c>
      <c r="BE81" s="163"/>
      <c r="BF81" s="163"/>
      <c r="BG81" s="163"/>
    </row>
    <row r="82" spans="38:59" x14ac:dyDescent="0.25">
      <c r="AL82" s="273" t="s">
        <v>554</v>
      </c>
      <c r="AM82" s="267">
        <v>17</v>
      </c>
      <c r="AN82" s="274">
        <v>473</v>
      </c>
      <c r="AO82" s="299" t="s">
        <v>553</v>
      </c>
      <c r="AP82" s="288"/>
      <c r="AQ82" s="277">
        <v>0.99</v>
      </c>
      <c r="AR82" s="278">
        <v>3</v>
      </c>
      <c r="AS82" s="278">
        <v>3.99</v>
      </c>
      <c r="AT82" s="278">
        <v>5</v>
      </c>
      <c r="AU82" s="278">
        <v>5.99</v>
      </c>
      <c r="AV82" s="288"/>
      <c r="AW82" s="277">
        <v>2.99</v>
      </c>
      <c r="AX82" s="288"/>
      <c r="AY82" s="288"/>
      <c r="AZ82" s="278">
        <v>2</v>
      </c>
      <c r="BA82" s="278">
        <v>2.99</v>
      </c>
      <c r="BB82" s="288"/>
      <c r="BC82" s="288"/>
      <c r="BD82" s="292">
        <v>43192</v>
      </c>
      <c r="BE82" s="163"/>
      <c r="BF82" s="163"/>
      <c r="BG82" s="163"/>
    </row>
    <row r="83" spans="38:59" x14ac:dyDescent="0.25">
      <c r="AL83" s="273" t="s">
        <v>555</v>
      </c>
      <c r="AM83" s="267">
        <v>18</v>
      </c>
      <c r="AN83" s="274">
        <v>539</v>
      </c>
      <c r="AO83" s="299"/>
      <c r="AP83" s="288"/>
      <c r="AQ83" s="277">
        <v>1.99</v>
      </c>
      <c r="AR83" s="278">
        <v>3</v>
      </c>
      <c r="AS83" s="278">
        <v>3.99</v>
      </c>
      <c r="AT83" s="278">
        <v>4</v>
      </c>
      <c r="AU83" s="278">
        <v>4.99</v>
      </c>
      <c r="AV83" s="278">
        <v>2</v>
      </c>
      <c r="AW83" s="278">
        <v>2.99</v>
      </c>
      <c r="AX83" s="278">
        <v>4</v>
      </c>
      <c r="AY83" s="278">
        <v>4.99</v>
      </c>
      <c r="AZ83" s="281">
        <v>4</v>
      </c>
      <c r="BA83" s="281">
        <v>4.99</v>
      </c>
      <c r="BB83" s="288"/>
      <c r="BC83" s="277">
        <v>2.99</v>
      </c>
      <c r="BD83" s="292">
        <v>42919</v>
      </c>
      <c r="BE83" s="163"/>
      <c r="BF83" s="163"/>
      <c r="BG83" s="163"/>
    </row>
    <row r="84" spans="38:59" x14ac:dyDescent="0.25">
      <c r="AL84" s="273" t="s">
        <v>556</v>
      </c>
      <c r="AM84" s="267">
        <v>18</v>
      </c>
      <c r="AN84" s="274">
        <v>539</v>
      </c>
      <c r="AO84" s="299" t="s">
        <v>101</v>
      </c>
      <c r="AP84" s="288"/>
      <c r="AQ84" s="277">
        <v>0.99</v>
      </c>
      <c r="AR84" s="281">
        <v>3</v>
      </c>
      <c r="AS84" s="281">
        <v>3.99</v>
      </c>
      <c r="AT84" s="281">
        <v>3</v>
      </c>
      <c r="AU84" s="281">
        <v>3.99</v>
      </c>
      <c r="AV84" s="281">
        <v>3</v>
      </c>
      <c r="AW84" s="281">
        <v>3.99</v>
      </c>
      <c r="AX84" s="277">
        <v>4</v>
      </c>
      <c r="AY84" s="289">
        <v>7</v>
      </c>
      <c r="AZ84" s="288"/>
      <c r="BA84" s="286">
        <v>5.99</v>
      </c>
      <c r="BB84" s="288"/>
      <c r="BC84" s="277">
        <v>1.99</v>
      </c>
      <c r="BD84" s="292">
        <v>43067</v>
      </c>
      <c r="BE84" s="163"/>
      <c r="BF84" s="163"/>
      <c r="BG84" s="163"/>
    </row>
    <row r="85" spans="38:59" x14ac:dyDescent="0.25">
      <c r="AL85" s="273" t="s">
        <v>557</v>
      </c>
      <c r="AM85" s="267">
        <v>18</v>
      </c>
      <c r="AN85" s="274">
        <v>-1718</v>
      </c>
      <c r="AO85" s="299" t="s">
        <v>471</v>
      </c>
      <c r="AP85" s="288"/>
      <c r="AQ85" s="277">
        <v>1.99</v>
      </c>
      <c r="AR85" s="278">
        <v>2</v>
      </c>
      <c r="AS85" s="278">
        <v>2.99</v>
      </c>
      <c r="AT85" s="278">
        <v>4</v>
      </c>
      <c r="AU85" s="278">
        <v>4.99</v>
      </c>
      <c r="AV85" s="288"/>
      <c r="AW85" s="277">
        <v>3.99</v>
      </c>
      <c r="AX85" s="277">
        <v>2</v>
      </c>
      <c r="AY85" s="277">
        <v>3.99</v>
      </c>
      <c r="AZ85" s="288"/>
      <c r="BA85" s="277">
        <v>2.99</v>
      </c>
      <c r="BB85" s="288"/>
      <c r="BC85" s="288"/>
      <c r="BD85" s="292">
        <v>45250</v>
      </c>
      <c r="BE85" s="163"/>
      <c r="BF85" s="163"/>
      <c r="BG85" s="163"/>
    </row>
    <row r="86" spans="38:59" x14ac:dyDescent="0.25">
      <c r="AL86" s="273" t="s">
        <v>558</v>
      </c>
      <c r="AM86" s="267">
        <v>17</v>
      </c>
      <c r="AN86" s="274">
        <v>423</v>
      </c>
      <c r="AO86" s="299"/>
      <c r="AP86" s="288"/>
      <c r="AQ86" s="277">
        <v>1.99</v>
      </c>
      <c r="AR86" s="281">
        <v>4</v>
      </c>
      <c r="AS86" s="281">
        <v>4.99</v>
      </c>
      <c r="AT86" s="278">
        <v>3</v>
      </c>
      <c r="AU86" s="278">
        <v>3.99</v>
      </c>
      <c r="AV86" s="277">
        <v>5</v>
      </c>
      <c r="AW86" s="289">
        <v>6.99</v>
      </c>
      <c r="AX86" s="278">
        <v>1</v>
      </c>
      <c r="AY86" s="278">
        <v>1.99</v>
      </c>
      <c r="AZ86" s="278">
        <v>1</v>
      </c>
      <c r="BA86" s="278">
        <v>1.99</v>
      </c>
      <c r="BB86" s="288"/>
      <c r="BC86" s="288"/>
      <c r="BD86" s="292">
        <v>43221</v>
      </c>
      <c r="BE86" s="163"/>
      <c r="BF86" s="163"/>
      <c r="BG86" s="163"/>
    </row>
    <row r="87" spans="38:59" x14ac:dyDescent="0.25">
      <c r="AL87" s="273" t="s">
        <v>559</v>
      </c>
      <c r="AM87" s="267">
        <v>18</v>
      </c>
      <c r="AN87" s="274">
        <v>413</v>
      </c>
      <c r="AO87" s="299"/>
      <c r="AP87" s="288"/>
      <c r="AQ87" s="277">
        <v>0.99</v>
      </c>
      <c r="AR87" s="281">
        <v>6</v>
      </c>
      <c r="AS87" s="282">
        <v>6.99</v>
      </c>
      <c r="AT87" s="281">
        <v>4</v>
      </c>
      <c r="AU87" s="281">
        <v>4.99</v>
      </c>
      <c r="AV87" s="277">
        <v>4</v>
      </c>
      <c r="AW87" s="286">
        <v>5.99</v>
      </c>
      <c r="AX87" s="288"/>
      <c r="AY87" s="277">
        <v>3.99</v>
      </c>
      <c r="AZ87" s="288"/>
      <c r="BA87" s="277">
        <v>4.99</v>
      </c>
      <c r="BB87" s="288"/>
      <c r="BC87" s="277">
        <v>2.99</v>
      </c>
      <c r="BD87" s="292">
        <v>43143</v>
      </c>
      <c r="BE87" s="163"/>
      <c r="BF87" s="163"/>
      <c r="BG87" s="163"/>
    </row>
    <row r="88" spans="38:59" x14ac:dyDescent="0.25">
      <c r="AL88" s="273" t="s">
        <v>560</v>
      </c>
      <c r="AM88" s="267">
        <v>16</v>
      </c>
      <c r="AN88" s="274">
        <v>467</v>
      </c>
      <c r="AO88" s="299" t="s">
        <v>0</v>
      </c>
      <c r="AP88" s="288"/>
      <c r="AQ88" s="277">
        <v>0.99</v>
      </c>
      <c r="AR88" s="281">
        <v>7</v>
      </c>
      <c r="AS88" s="282">
        <v>7</v>
      </c>
      <c r="AT88" s="281">
        <v>4</v>
      </c>
      <c r="AU88" s="281">
        <v>4.99</v>
      </c>
      <c r="AV88" s="281">
        <v>4</v>
      </c>
      <c r="AW88" s="281">
        <v>4.99</v>
      </c>
      <c r="AX88" s="278">
        <v>3</v>
      </c>
      <c r="AY88" s="278">
        <v>3.99</v>
      </c>
      <c r="AZ88" s="288"/>
      <c r="BA88" s="277">
        <v>2.99</v>
      </c>
      <c r="BB88" s="288"/>
      <c r="BC88" s="277">
        <v>3.99</v>
      </c>
      <c r="BD88" s="292">
        <v>43289</v>
      </c>
      <c r="BE88" s="163"/>
      <c r="BF88" s="163"/>
      <c r="BG88" s="163"/>
    </row>
    <row r="89" spans="38:59" x14ac:dyDescent="0.25">
      <c r="AL89" s="273" t="s">
        <v>561</v>
      </c>
      <c r="AM89" s="267">
        <v>16</v>
      </c>
      <c r="AN89" s="274">
        <v>386</v>
      </c>
      <c r="AO89" s="299"/>
      <c r="AP89" s="288"/>
      <c r="AQ89" s="288"/>
      <c r="AR89" s="277">
        <v>3</v>
      </c>
      <c r="AS89" s="288"/>
      <c r="AT89" s="288"/>
      <c r="AU89" s="288"/>
      <c r="AV89" s="288"/>
      <c r="AW89" s="277">
        <v>3.99</v>
      </c>
      <c r="AX89" s="277">
        <v>4</v>
      </c>
      <c r="AY89" s="289">
        <v>6.99</v>
      </c>
      <c r="AZ89" s="288"/>
      <c r="BA89" s="277">
        <v>4.99</v>
      </c>
      <c r="BB89" s="288"/>
      <c r="BC89" s="288"/>
      <c r="BD89" s="292">
        <v>43370</v>
      </c>
      <c r="BE89" s="163"/>
      <c r="BF89" s="163"/>
      <c r="BG89" s="163"/>
    </row>
    <row r="90" spans="38:59" x14ac:dyDescent="0.25">
      <c r="AL90" s="273" t="s">
        <v>562</v>
      </c>
      <c r="AM90" s="267">
        <v>16</v>
      </c>
      <c r="AN90" s="274">
        <v>429</v>
      </c>
      <c r="AO90" s="299"/>
      <c r="AP90" s="288"/>
      <c r="AQ90" s="277">
        <v>1.99</v>
      </c>
      <c r="AR90" s="278">
        <v>4</v>
      </c>
      <c r="AS90" s="278">
        <v>4.99</v>
      </c>
      <c r="AT90" s="288"/>
      <c r="AU90" s="277">
        <v>4.99</v>
      </c>
      <c r="AV90" s="281">
        <v>5</v>
      </c>
      <c r="AW90" s="284">
        <v>5.99</v>
      </c>
      <c r="AX90" s="288"/>
      <c r="AY90" s="277">
        <v>2.99</v>
      </c>
      <c r="AZ90" s="288"/>
      <c r="BA90" s="277">
        <v>3.99</v>
      </c>
      <c r="BB90" s="288"/>
      <c r="BC90" s="288"/>
      <c r="BD90" s="292">
        <v>43327</v>
      </c>
      <c r="BE90" s="163"/>
      <c r="BF90" s="163"/>
      <c r="BG90" s="163"/>
    </row>
    <row r="91" spans="38:59" x14ac:dyDescent="0.25">
      <c r="AL91" s="273" t="s">
        <v>190</v>
      </c>
      <c r="AM91" s="267">
        <v>17</v>
      </c>
      <c r="AN91" s="274">
        <v>211</v>
      </c>
      <c r="AO91" s="299" t="s">
        <v>44</v>
      </c>
      <c r="AP91" s="288"/>
      <c r="AQ91" s="277">
        <v>1.99</v>
      </c>
      <c r="AR91" s="305">
        <v>2</v>
      </c>
      <c r="AS91" s="278">
        <v>2.99</v>
      </c>
      <c r="AT91" s="306" t="s">
        <v>563</v>
      </c>
      <c r="AU91" s="307">
        <v>5.99</v>
      </c>
      <c r="AV91" s="306">
        <v>5.5</v>
      </c>
      <c r="AW91" s="307">
        <v>5.5</v>
      </c>
      <c r="AX91" s="306">
        <v>4.4000000000000004</v>
      </c>
      <c r="AY91" s="278">
        <v>4.4000000000000004</v>
      </c>
      <c r="AZ91" s="306">
        <v>3</v>
      </c>
      <c r="BA91" s="278">
        <v>3.99</v>
      </c>
      <c r="BB91" s="288"/>
      <c r="BC91" s="288"/>
      <c r="BD91" s="292">
        <v>43433</v>
      </c>
      <c r="BE91" s="163"/>
      <c r="BF91" s="163"/>
      <c r="BG91" s="163"/>
    </row>
    <row r="92" spans="38:59" x14ac:dyDescent="0.25">
      <c r="AL92" s="273" t="s">
        <v>564</v>
      </c>
      <c r="AM92" s="267">
        <v>17</v>
      </c>
      <c r="AN92" s="274">
        <v>172</v>
      </c>
      <c r="AO92" s="299"/>
      <c r="AP92" s="288"/>
      <c r="AQ92" s="277">
        <v>0.99</v>
      </c>
      <c r="AR92" s="288"/>
      <c r="AS92" s="277">
        <v>3.99</v>
      </c>
      <c r="AT92" s="305">
        <v>2</v>
      </c>
      <c r="AU92" s="278">
        <v>2.99</v>
      </c>
      <c r="AV92" s="308">
        <v>5</v>
      </c>
      <c r="AW92" s="289">
        <v>6.99</v>
      </c>
      <c r="AX92" s="306">
        <v>5</v>
      </c>
      <c r="AY92" s="279">
        <v>5.99</v>
      </c>
      <c r="AZ92" s="309">
        <v>6</v>
      </c>
      <c r="BA92" s="282">
        <v>6.99</v>
      </c>
      <c r="BB92" s="306">
        <v>4</v>
      </c>
      <c r="BC92" s="278">
        <v>4.99</v>
      </c>
      <c r="BD92" s="292">
        <v>43472</v>
      </c>
      <c r="BE92" s="163"/>
      <c r="BF92" s="163"/>
      <c r="BG92" s="163"/>
    </row>
    <row r="93" spans="38:59" x14ac:dyDescent="0.25">
      <c r="AL93" s="273" t="s">
        <v>565</v>
      </c>
      <c r="AM93" s="267">
        <v>16</v>
      </c>
      <c r="AN93" s="274">
        <v>271</v>
      </c>
      <c r="AO93" s="299"/>
      <c r="AP93" s="288"/>
      <c r="AQ93" s="277">
        <v>1.99</v>
      </c>
      <c r="AR93" s="306">
        <v>5.0999999999999996</v>
      </c>
      <c r="AS93" s="279">
        <v>5.99</v>
      </c>
      <c r="AT93" s="309">
        <v>6.5</v>
      </c>
      <c r="AU93" s="282">
        <v>6.99</v>
      </c>
      <c r="AV93" s="306">
        <v>3</v>
      </c>
      <c r="AW93" s="278">
        <v>3.99</v>
      </c>
      <c r="AX93" s="305">
        <v>2</v>
      </c>
      <c r="AY93" s="278">
        <v>2.99</v>
      </c>
      <c r="AZ93" s="306">
        <v>3</v>
      </c>
      <c r="BA93" s="278">
        <v>3.99</v>
      </c>
      <c r="BB93" s="288"/>
      <c r="BC93" s="288"/>
      <c r="BD93" s="292">
        <v>43485</v>
      </c>
      <c r="BE93" s="163"/>
      <c r="BF93" s="163"/>
      <c r="BG93" s="163"/>
    </row>
    <row r="94" spans="38:59" x14ac:dyDescent="0.25">
      <c r="AL94" s="273" t="s">
        <v>566</v>
      </c>
      <c r="AM94" s="267">
        <v>18</v>
      </c>
      <c r="AN94" s="274">
        <v>257</v>
      </c>
      <c r="AO94" s="299"/>
      <c r="AP94" s="288"/>
      <c r="AQ94" s="277">
        <v>1.99</v>
      </c>
      <c r="AR94" s="288"/>
      <c r="AS94" s="277">
        <v>4.99</v>
      </c>
      <c r="AT94" s="308">
        <v>5</v>
      </c>
      <c r="AU94" s="289">
        <v>6.99</v>
      </c>
      <c r="AV94" s="288"/>
      <c r="AW94" s="277">
        <v>2.99</v>
      </c>
      <c r="AX94" s="306">
        <v>3</v>
      </c>
      <c r="AY94" s="278">
        <v>3.99</v>
      </c>
      <c r="AZ94" s="288"/>
      <c r="BA94" s="289">
        <v>6.99</v>
      </c>
      <c r="BB94" s="305">
        <v>2</v>
      </c>
      <c r="BC94" s="278">
        <v>2.99</v>
      </c>
      <c r="BD94" s="292">
        <v>43644</v>
      </c>
      <c r="BE94" s="163"/>
      <c r="BF94" s="163"/>
      <c r="BG94" s="163"/>
    </row>
    <row r="95" spans="38:59" x14ac:dyDescent="0.25">
      <c r="AL95" s="273" t="s">
        <v>567</v>
      </c>
      <c r="AM95" s="267">
        <v>19</v>
      </c>
      <c r="AN95" s="274">
        <v>148</v>
      </c>
      <c r="AO95" s="299"/>
      <c r="AP95" s="288"/>
      <c r="AQ95" s="277">
        <v>1.99</v>
      </c>
      <c r="AR95" s="306">
        <v>4</v>
      </c>
      <c r="AS95" s="278">
        <v>4.99</v>
      </c>
      <c r="AT95" s="288"/>
      <c r="AU95" s="277">
        <v>4.99</v>
      </c>
      <c r="AV95" s="288"/>
      <c r="AW95" s="277">
        <v>4.99</v>
      </c>
      <c r="AX95" s="306">
        <v>3</v>
      </c>
      <c r="AY95" s="278">
        <v>3.99</v>
      </c>
      <c r="AZ95" s="308">
        <v>3</v>
      </c>
      <c r="BA95" s="277">
        <v>4.99</v>
      </c>
      <c r="BB95" s="306">
        <v>1</v>
      </c>
      <c r="BC95" s="278">
        <v>1.99</v>
      </c>
      <c r="BD95" s="292">
        <v>43644</v>
      </c>
      <c r="BE95" s="163"/>
      <c r="BF95" s="163"/>
      <c r="BG95" s="163"/>
    </row>
    <row r="96" spans="38:59" x14ac:dyDescent="0.25">
      <c r="AL96" s="273" t="s">
        <v>568</v>
      </c>
      <c r="AM96" s="267">
        <v>19</v>
      </c>
      <c r="AN96" s="274">
        <v>135</v>
      </c>
      <c r="AO96" s="299"/>
      <c r="AP96" s="288"/>
      <c r="AQ96" s="277">
        <v>0.99</v>
      </c>
      <c r="AR96" s="306">
        <v>4</v>
      </c>
      <c r="AS96" s="278">
        <v>4.99</v>
      </c>
      <c r="AT96" s="306">
        <v>4</v>
      </c>
      <c r="AU96" s="278">
        <v>4.99</v>
      </c>
      <c r="AV96" s="305">
        <v>2</v>
      </c>
      <c r="AW96" s="278">
        <v>2.99</v>
      </c>
      <c r="AX96" s="288"/>
      <c r="AY96" s="286">
        <v>5.99</v>
      </c>
      <c r="AZ96" s="306">
        <v>4</v>
      </c>
      <c r="BA96" s="278">
        <v>4.99</v>
      </c>
      <c r="BB96" s="305">
        <v>2</v>
      </c>
      <c r="BC96" s="278">
        <v>2.99</v>
      </c>
      <c r="BD96" s="292">
        <v>43644</v>
      </c>
      <c r="BE96" s="163"/>
      <c r="BF96" s="163"/>
      <c r="BG96" s="163"/>
    </row>
    <row r="97" spans="38:59" x14ac:dyDescent="0.25">
      <c r="AL97" s="273" t="s">
        <v>569</v>
      </c>
      <c r="AM97" s="267">
        <v>16</v>
      </c>
      <c r="AN97" s="274">
        <v>167</v>
      </c>
      <c r="AO97" s="299"/>
      <c r="AP97" s="288"/>
      <c r="AQ97" s="277">
        <v>0.99</v>
      </c>
      <c r="AR97" s="306">
        <v>1</v>
      </c>
      <c r="AS97" s="278">
        <v>1.99</v>
      </c>
      <c r="AT97" s="309">
        <v>5</v>
      </c>
      <c r="AU97" s="284">
        <v>5.99</v>
      </c>
      <c r="AV97" s="309">
        <v>6</v>
      </c>
      <c r="AW97" s="282">
        <v>6.99</v>
      </c>
      <c r="AX97" s="309">
        <v>4</v>
      </c>
      <c r="AY97" s="281">
        <v>4.99</v>
      </c>
      <c r="AZ97" s="309" t="s">
        <v>570</v>
      </c>
      <c r="BA97" s="281">
        <v>3.99</v>
      </c>
      <c r="BB97" s="288"/>
      <c r="BC97" s="288"/>
      <c r="BD97" s="292">
        <v>43589</v>
      </c>
      <c r="BE97" s="163"/>
      <c r="BF97" s="163"/>
      <c r="BG97" s="163"/>
    </row>
    <row r="98" spans="38:59" x14ac:dyDescent="0.25">
      <c r="AL98" s="273" t="s">
        <v>338</v>
      </c>
      <c r="AM98" s="267">
        <v>18</v>
      </c>
      <c r="AN98" s="274">
        <f>88-444+[1]Jugadores!AM33-112-112-102-6+17-112-5+3-112-35+68-112-112+88-112-8+34-80-7+47-36-112-112-112-27-70-21-2-179+69-112-112+50-112-112</f>
        <v>-2126</v>
      </c>
      <c r="AO98" s="299"/>
      <c r="AP98" s="308">
        <v>4</v>
      </c>
      <c r="AQ98" s="289">
        <v>6.99</v>
      </c>
      <c r="AR98" s="309">
        <v>3</v>
      </c>
      <c r="AS98" s="281">
        <v>3.99</v>
      </c>
      <c r="AT98" s="306">
        <v>0</v>
      </c>
      <c r="AU98" s="278">
        <v>0.99</v>
      </c>
      <c r="AV98" s="306">
        <v>0</v>
      </c>
      <c r="AW98" s="278">
        <v>0.99</v>
      </c>
      <c r="AX98" s="288"/>
      <c r="AY98" s="277">
        <v>1.99</v>
      </c>
      <c r="AZ98" s="306">
        <v>1</v>
      </c>
      <c r="BA98" s="278">
        <v>1.99</v>
      </c>
      <c r="BB98" s="288"/>
      <c r="BC98" s="288"/>
      <c r="BD98" s="292">
        <v>43644</v>
      </c>
      <c r="BE98" s="163"/>
      <c r="BF98" s="163"/>
      <c r="BG98" s="163"/>
    </row>
    <row r="99" spans="38:59" x14ac:dyDescent="0.25">
      <c r="AL99" s="273" t="s">
        <v>571</v>
      </c>
      <c r="AM99" s="267">
        <v>18</v>
      </c>
      <c r="AN99" s="274">
        <f>88-444+[1]Jugadores!AM33-112-112-102-6+17-112-5+3-112-35+68-112-112+88-112-8+34-80-7+47-36-112-112-112-27-70-21-2-179+33+39-112+43-112-112-112</f>
        <v>-2130</v>
      </c>
      <c r="AO99" s="299"/>
      <c r="AP99" s="288"/>
      <c r="AQ99" s="288"/>
      <c r="AR99" s="308">
        <v>5</v>
      </c>
      <c r="AS99" s="289">
        <v>6.99</v>
      </c>
      <c r="AT99" s="306">
        <v>2</v>
      </c>
      <c r="AU99" s="278">
        <v>2.99</v>
      </c>
      <c r="AV99" s="305">
        <v>2</v>
      </c>
      <c r="AW99" s="278">
        <v>2.99</v>
      </c>
      <c r="AX99" s="305">
        <v>2</v>
      </c>
      <c r="AY99" s="278">
        <v>2.99</v>
      </c>
      <c r="AZ99" s="309">
        <v>4</v>
      </c>
      <c r="BA99" s="281">
        <v>4.99</v>
      </c>
      <c r="BB99" s="288"/>
      <c r="BC99" s="288"/>
      <c r="BD99" s="292">
        <v>43644</v>
      </c>
      <c r="BE99" s="163"/>
      <c r="BF99" s="163"/>
      <c r="BG99" s="163"/>
    </row>
    <row r="100" spans="38:59" x14ac:dyDescent="0.25">
      <c r="AL100" s="273" t="s">
        <v>572</v>
      </c>
      <c r="AM100" s="267">
        <v>16</v>
      </c>
      <c r="AN100" s="274">
        <f>88-444+[1]Jugadores!AM33-1629-102</f>
        <v>-2087</v>
      </c>
      <c r="AO100" s="299"/>
      <c r="AP100" s="293"/>
      <c r="AQ100" s="293"/>
      <c r="AR100" s="308">
        <v>5</v>
      </c>
      <c r="AS100" s="289">
        <v>6.99</v>
      </c>
      <c r="AT100" s="306">
        <v>3.3</v>
      </c>
      <c r="AU100" s="278">
        <v>3.99</v>
      </c>
      <c r="AV100" s="309">
        <v>1</v>
      </c>
      <c r="AW100" s="281">
        <v>1.99</v>
      </c>
      <c r="AX100" s="306">
        <v>3</v>
      </c>
      <c r="AY100" s="278">
        <v>3.99</v>
      </c>
      <c r="AZ100" s="293"/>
      <c r="BA100" s="286">
        <v>5.99</v>
      </c>
      <c r="BB100" s="293"/>
      <c r="BC100" s="293"/>
      <c r="BD100" s="292">
        <v>45870</v>
      </c>
      <c r="BE100" s="163"/>
      <c r="BF100" s="163"/>
      <c r="BG100" s="163"/>
    </row>
    <row r="101" spans="38:59" x14ac:dyDescent="0.25">
      <c r="AL101" s="273" t="s">
        <v>573</v>
      </c>
      <c r="AM101" s="267">
        <v>16</v>
      </c>
      <c r="AN101" s="274">
        <f>88-444+[1]Jugadores!AM33-1629-112</f>
        <v>-2097</v>
      </c>
      <c r="AO101" s="299"/>
      <c r="AP101" s="288"/>
      <c r="AQ101" s="288"/>
      <c r="AR101" s="308">
        <v>4</v>
      </c>
      <c r="AS101" s="286">
        <v>5.99</v>
      </c>
      <c r="AT101" s="306">
        <v>3</v>
      </c>
      <c r="AU101" s="278">
        <v>3.99</v>
      </c>
      <c r="AV101" s="306">
        <v>4</v>
      </c>
      <c r="AW101" s="278">
        <v>4.99</v>
      </c>
      <c r="AX101" s="305">
        <v>2</v>
      </c>
      <c r="AY101" s="278">
        <v>2.99</v>
      </c>
      <c r="AZ101" s="288"/>
      <c r="BA101" s="277">
        <v>3.99</v>
      </c>
      <c r="BB101" s="288"/>
      <c r="BC101" s="277">
        <v>4.99</v>
      </c>
      <c r="BD101" s="292">
        <v>45853</v>
      </c>
      <c r="BE101" s="163"/>
      <c r="BF101" s="163"/>
      <c r="BG101" s="163"/>
    </row>
    <row r="102" spans="38:59" x14ac:dyDescent="0.25">
      <c r="AL102" s="273" t="s">
        <v>574</v>
      </c>
      <c r="AM102" s="267">
        <v>16</v>
      </c>
      <c r="AN102" s="274">
        <f>42-584+[1]Jugadores!AM33-112-112+6-112+3-112+21-112+67-112-6-40-34-12-105+55-75+11-112-112+4-112-30-112-112-9-112+100-103-112</f>
        <v>-2145</v>
      </c>
      <c r="AO102" s="299"/>
      <c r="AP102" s="288"/>
      <c r="AQ102" s="288"/>
      <c r="AR102" s="309">
        <v>5</v>
      </c>
      <c r="AS102" s="284">
        <v>5.99</v>
      </c>
      <c r="AT102" s="306">
        <v>4</v>
      </c>
      <c r="AU102" s="278">
        <v>4.99</v>
      </c>
      <c r="AV102" s="288"/>
      <c r="AW102" s="277">
        <v>1.99</v>
      </c>
      <c r="AX102" s="288"/>
      <c r="AY102" s="277">
        <v>3.99</v>
      </c>
      <c r="AZ102" s="308">
        <v>3</v>
      </c>
      <c r="BA102" s="288"/>
      <c r="BB102" s="288"/>
      <c r="BC102" s="288"/>
      <c r="BD102" s="292">
        <v>45901</v>
      </c>
      <c r="BE102" s="163"/>
      <c r="BF102" s="163"/>
      <c r="BG102" s="163"/>
    </row>
    <row r="103" spans="38:59" x14ac:dyDescent="0.25">
      <c r="AL103" s="273" t="s">
        <v>575</v>
      </c>
      <c r="AM103" s="267">
        <v>18</v>
      </c>
      <c r="AN103" s="274">
        <f>42-584+[1]Jugadores!AM33-112-112+6-112+3-112+21-112+67-112-6-40-34-12-105+55+11-112+1-23-112-112-112-115-42-112-112-112</f>
        <v>-2211</v>
      </c>
      <c r="AO103" s="299" t="s">
        <v>0</v>
      </c>
      <c r="AP103" s="288"/>
      <c r="AQ103" s="277">
        <v>1.99</v>
      </c>
      <c r="AR103" s="305">
        <v>2</v>
      </c>
      <c r="AS103" s="278">
        <v>2.99</v>
      </c>
      <c r="AT103" s="305">
        <v>2</v>
      </c>
      <c r="AU103" s="278">
        <v>2.99</v>
      </c>
      <c r="AV103" s="306">
        <v>3</v>
      </c>
      <c r="AW103" s="278">
        <v>3.99</v>
      </c>
      <c r="AX103" s="308">
        <v>4</v>
      </c>
      <c r="AY103" s="286">
        <v>5.99</v>
      </c>
      <c r="AZ103" s="288"/>
      <c r="BA103" s="277">
        <v>3.99</v>
      </c>
      <c r="BB103" s="288"/>
      <c r="BC103" s="277">
        <v>4.99</v>
      </c>
      <c r="BD103" s="292">
        <v>43644</v>
      </c>
      <c r="BE103" s="163"/>
      <c r="BF103" s="163"/>
      <c r="BG103" s="163"/>
    </row>
    <row r="104" spans="38:59" x14ac:dyDescent="0.25">
      <c r="AL104" s="273" t="s">
        <v>576</v>
      </c>
      <c r="AM104" s="267">
        <v>16</v>
      </c>
      <c r="AN104" s="274">
        <f>88-444+[1]Jugadores!AM33-112-112-102-6+17-112-5+3-112-35+68-112-112+88-112-8+34-80-7+47-36-112-57-112+76-112-115-6-112-70-112-112-86+1-80</f>
        <v>-2171</v>
      </c>
      <c r="AO104" s="299" t="s">
        <v>192</v>
      </c>
      <c r="AP104" s="293"/>
      <c r="AQ104" s="277">
        <v>1.99</v>
      </c>
      <c r="AR104" s="305">
        <v>2</v>
      </c>
      <c r="AS104" s="278">
        <v>2.99</v>
      </c>
      <c r="AT104" s="308">
        <v>3</v>
      </c>
      <c r="AU104" s="277">
        <v>4.99</v>
      </c>
      <c r="AV104" s="293"/>
      <c r="AW104" s="289">
        <v>6.99</v>
      </c>
      <c r="AX104" s="293"/>
      <c r="AY104" s="277">
        <v>4.99</v>
      </c>
      <c r="AZ104" s="308">
        <v>3</v>
      </c>
      <c r="BA104" s="277">
        <v>4.99</v>
      </c>
      <c r="BB104" s="293"/>
      <c r="BC104" s="293"/>
      <c r="BD104" s="292">
        <v>45934</v>
      </c>
      <c r="BE104" s="163"/>
      <c r="BF104" s="163"/>
      <c r="BG104" s="163"/>
    </row>
    <row r="105" spans="38:59" x14ac:dyDescent="0.25">
      <c r="AL105" s="273" t="s">
        <v>577</v>
      </c>
      <c r="AM105" s="267">
        <v>17</v>
      </c>
      <c r="AN105" s="274">
        <f>88-444+[1]Jugadores!AM33-112-112-102-6+17-112-5+3-112-35+68-112-112+88-112-8+34-80-7+47-36-112-112-112-27-70-21-2-179+33+15-112-75+7-112+52-28-112-36-112</f>
        <v>-2277</v>
      </c>
      <c r="AO105" s="299"/>
      <c r="AP105" s="288"/>
      <c r="AQ105" s="277">
        <v>0.99</v>
      </c>
      <c r="AR105" s="308">
        <v>4</v>
      </c>
      <c r="AS105" s="286">
        <v>5.99</v>
      </c>
      <c r="AT105" s="306">
        <v>2</v>
      </c>
      <c r="AU105" s="278">
        <v>2.99</v>
      </c>
      <c r="AV105" s="306">
        <v>4</v>
      </c>
      <c r="AW105" s="278">
        <v>4.99</v>
      </c>
      <c r="AX105" s="306">
        <v>2</v>
      </c>
      <c r="AY105" s="278">
        <v>2.99</v>
      </c>
      <c r="AZ105" s="308">
        <v>5</v>
      </c>
      <c r="BA105" s="289">
        <v>6.99</v>
      </c>
      <c r="BB105" s="288"/>
      <c r="BC105" s="288"/>
      <c r="BD105" s="292">
        <v>43644</v>
      </c>
      <c r="BE105" s="163"/>
      <c r="BF105" s="163"/>
      <c r="BG105" s="163"/>
    </row>
    <row r="106" spans="38:59" x14ac:dyDescent="0.25">
      <c r="AL106" s="273" t="s">
        <v>578</v>
      </c>
      <c r="AM106" s="267">
        <v>18</v>
      </c>
      <c r="AN106" s="274">
        <f>42-584+[1]Jugadores!AM33-112-112+6-112+3-112+21-112+67-112-6-40-34-12-105+55+11-112+1-23-112-112-112-115-52-112-112-112</f>
        <v>-2221</v>
      </c>
      <c r="AO106" s="299"/>
      <c r="AP106" s="288"/>
      <c r="AQ106" s="277">
        <v>1.99</v>
      </c>
      <c r="AR106" s="309">
        <v>5</v>
      </c>
      <c r="AS106" s="284">
        <v>5.99</v>
      </c>
      <c r="AT106" s="306">
        <v>4.0999999999999996</v>
      </c>
      <c r="AU106" s="278">
        <v>4.99</v>
      </c>
      <c r="AV106" s="305">
        <v>2</v>
      </c>
      <c r="AW106" s="278">
        <v>2.99</v>
      </c>
      <c r="AX106" s="288"/>
      <c r="AY106" s="286">
        <v>5.99</v>
      </c>
      <c r="AZ106" s="309">
        <v>3</v>
      </c>
      <c r="BA106" s="281">
        <v>3.99</v>
      </c>
      <c r="BB106" s="288"/>
      <c r="BC106" s="277">
        <v>2.99</v>
      </c>
      <c r="BD106" s="292">
        <v>43644</v>
      </c>
      <c r="BE106" s="163"/>
      <c r="BF106" s="163"/>
      <c r="BG106" s="163"/>
    </row>
    <row r="107" spans="38:59" x14ac:dyDescent="0.25">
      <c r="AL107" s="273" t="s">
        <v>579</v>
      </c>
      <c r="AM107" s="267">
        <v>18</v>
      </c>
      <c r="AN107" s="274">
        <f>[1]Jugadores!AM33-2150+2-112</f>
        <v>-2260</v>
      </c>
      <c r="AO107" s="299" t="s">
        <v>101</v>
      </c>
      <c r="AP107" s="288"/>
      <c r="AQ107" s="277">
        <v>1.99</v>
      </c>
      <c r="AR107" s="305">
        <v>2</v>
      </c>
      <c r="AS107" s="278">
        <v>2.99</v>
      </c>
      <c r="AT107" s="306">
        <v>3</v>
      </c>
      <c r="AU107" s="278">
        <v>3.99</v>
      </c>
      <c r="AV107" s="306">
        <v>3</v>
      </c>
      <c r="AW107" s="278">
        <v>3.99</v>
      </c>
      <c r="AX107" s="305">
        <v>2</v>
      </c>
      <c r="AY107" s="278">
        <v>2.99</v>
      </c>
      <c r="AZ107" s="306">
        <v>5</v>
      </c>
      <c r="BA107" s="279">
        <v>5.99</v>
      </c>
      <c r="BB107" s="288"/>
      <c r="BC107" s="288"/>
      <c r="BD107" s="292">
        <v>43644</v>
      </c>
      <c r="BE107" s="163"/>
      <c r="BF107" s="163"/>
      <c r="BG107" s="163"/>
    </row>
    <row r="108" spans="38:59" x14ac:dyDescent="0.25">
      <c r="AL108" s="273" t="s">
        <v>580</v>
      </c>
      <c r="AM108" s="267">
        <v>17</v>
      </c>
      <c r="AN108" s="274">
        <f>88+AL143-2254-112-112</f>
        <v>-2390</v>
      </c>
      <c r="AO108" s="299"/>
      <c r="AP108" s="288"/>
      <c r="AQ108" s="277">
        <v>0.99</v>
      </c>
      <c r="AR108" s="306">
        <v>2</v>
      </c>
      <c r="AS108" s="278">
        <v>2.99</v>
      </c>
      <c r="AT108" s="306">
        <v>4</v>
      </c>
      <c r="AU108" s="278">
        <v>4.99</v>
      </c>
      <c r="AV108" s="306">
        <v>2</v>
      </c>
      <c r="AW108" s="278">
        <v>2.99</v>
      </c>
      <c r="AX108" s="306">
        <v>3</v>
      </c>
      <c r="AY108" s="278">
        <v>3.99</v>
      </c>
      <c r="AZ108" s="309">
        <v>5</v>
      </c>
      <c r="BA108" s="284">
        <v>5.99</v>
      </c>
      <c r="BB108" s="288"/>
      <c r="BC108" s="288"/>
      <c r="BD108" s="292">
        <v>43644</v>
      </c>
      <c r="BE108" s="163"/>
      <c r="BF108" s="163"/>
      <c r="BG108" s="163"/>
    </row>
    <row r="109" spans="38:59" x14ac:dyDescent="0.25">
      <c r="AL109" s="273" t="s">
        <v>581</v>
      </c>
      <c r="AM109" s="267">
        <v>17</v>
      </c>
      <c r="AN109" s="274">
        <f>88-444+[1]Jugadores!AM33-112-112-102-6+17-112-5+3-112-35+68-112-112+88-112-8+34-80-7+47-36-112-112-112-27-70-21-2-179+33+39-112-112+20-112+7-69+8-212-112</f>
        <v>-2419</v>
      </c>
      <c r="AO109" s="299"/>
      <c r="AP109" s="293"/>
      <c r="AQ109" s="277">
        <v>0.99</v>
      </c>
      <c r="AR109" s="309">
        <v>3</v>
      </c>
      <c r="AS109" s="281">
        <v>3.99</v>
      </c>
      <c r="AT109" s="293"/>
      <c r="AU109" s="277">
        <v>3.99</v>
      </c>
      <c r="AV109" s="306">
        <v>6</v>
      </c>
      <c r="AW109" s="279">
        <v>6.99</v>
      </c>
      <c r="AX109" s="306">
        <v>4</v>
      </c>
      <c r="AY109" s="278">
        <v>4.99</v>
      </c>
      <c r="AZ109" s="310">
        <v>1</v>
      </c>
      <c r="BA109" s="281">
        <v>1.99</v>
      </c>
      <c r="BB109" s="293"/>
      <c r="BC109" s="293"/>
      <c r="BD109" s="292">
        <v>46063</v>
      </c>
      <c r="BE109" s="163"/>
      <c r="BF109" s="163"/>
      <c r="BG109" s="163"/>
    </row>
    <row r="110" spans="38:59" x14ac:dyDescent="0.25">
      <c r="AL110" s="273" t="s">
        <v>582</v>
      </c>
      <c r="AM110" s="267">
        <v>16</v>
      </c>
      <c r="AN110" s="274">
        <f>-1500+[1]Jugadores!AM33-770+30-112</f>
        <v>-2352</v>
      </c>
      <c r="AO110" s="299" t="s">
        <v>192</v>
      </c>
      <c r="AP110" s="288"/>
      <c r="AQ110" s="277">
        <v>1.99</v>
      </c>
      <c r="AR110" s="308">
        <v>3</v>
      </c>
      <c r="AS110" s="277">
        <v>4.99</v>
      </c>
      <c r="AT110" s="288"/>
      <c r="AU110" s="277">
        <v>2.99</v>
      </c>
      <c r="AV110" s="306">
        <v>5</v>
      </c>
      <c r="AW110" s="279">
        <v>5.99</v>
      </c>
      <c r="AX110" s="306">
        <v>4</v>
      </c>
      <c r="AY110" s="278">
        <v>4.99</v>
      </c>
      <c r="AZ110" s="306">
        <v>4</v>
      </c>
      <c r="BA110" s="278">
        <v>4.99</v>
      </c>
      <c r="BB110" s="288"/>
      <c r="BC110" s="288"/>
      <c r="BD110" s="292">
        <v>41322</v>
      </c>
      <c r="BE110" s="163"/>
      <c r="BF110" s="163"/>
      <c r="BG110" s="163"/>
    </row>
    <row r="111" spans="38:59" x14ac:dyDescent="0.25">
      <c r="AL111" s="273" t="s">
        <v>583</v>
      </c>
      <c r="AM111" s="267">
        <v>16</v>
      </c>
      <c r="AN111" s="274">
        <f>-1500+[1]Jugadores!AM33-770-112</f>
        <v>-2382</v>
      </c>
      <c r="AO111" s="299" t="s">
        <v>440</v>
      </c>
      <c r="AP111" s="288"/>
      <c r="AQ111" s="277">
        <v>1.99</v>
      </c>
      <c r="AR111" s="308">
        <v>4</v>
      </c>
      <c r="AS111" s="286">
        <v>5.99</v>
      </c>
      <c r="AT111" s="305">
        <v>2</v>
      </c>
      <c r="AU111" s="278">
        <v>2.99</v>
      </c>
      <c r="AV111" s="305">
        <v>2</v>
      </c>
      <c r="AW111" s="278">
        <v>2.99</v>
      </c>
      <c r="AX111" s="309">
        <v>4</v>
      </c>
      <c r="AY111" s="281">
        <v>4.99</v>
      </c>
      <c r="AZ111" s="309">
        <v>5</v>
      </c>
      <c r="BA111" s="284">
        <v>5.99</v>
      </c>
      <c r="BB111" s="288"/>
      <c r="BC111" s="288"/>
      <c r="BD111" s="292">
        <v>46138</v>
      </c>
      <c r="BE111" s="163"/>
      <c r="BF111" s="163"/>
      <c r="BG111" s="163"/>
    </row>
    <row r="112" spans="38:59" x14ac:dyDescent="0.25">
      <c r="AL112" s="273" t="s">
        <v>584</v>
      </c>
      <c r="AM112" s="267">
        <v>16</v>
      </c>
      <c r="AN112" s="274">
        <f>[1]Jugadores!AM33-2100-6-93+31-112-26+34-112</f>
        <v>-2384</v>
      </c>
      <c r="AO112" s="299"/>
      <c r="AP112" s="288"/>
      <c r="AQ112" s="277">
        <v>1.99</v>
      </c>
      <c r="AR112" s="306">
        <v>3</v>
      </c>
      <c r="AS112" s="278">
        <v>3.99</v>
      </c>
      <c r="AT112" s="288"/>
      <c r="AU112" s="277">
        <v>2.99</v>
      </c>
      <c r="AV112" s="309">
        <v>6</v>
      </c>
      <c r="AW112" s="282">
        <v>6.99</v>
      </c>
      <c r="AX112" s="309">
        <v>2</v>
      </c>
      <c r="AY112" s="281">
        <v>2.99</v>
      </c>
      <c r="AZ112" s="308">
        <v>4</v>
      </c>
      <c r="BA112" s="289">
        <v>6.99</v>
      </c>
      <c r="BB112" s="288"/>
      <c r="BC112" s="288"/>
      <c r="BD112" s="292">
        <v>46140</v>
      </c>
      <c r="BE112" s="163"/>
      <c r="BF112" s="163"/>
      <c r="BG112" s="163"/>
    </row>
    <row r="113" spans="38:59" x14ac:dyDescent="0.25">
      <c r="AL113" s="273" t="s">
        <v>585</v>
      </c>
      <c r="AM113" s="267">
        <v>16</v>
      </c>
      <c r="AN113" s="274">
        <f>[1]Jugadores!AM33-2100-6-93+31-112-26-44-112</f>
        <v>-2462</v>
      </c>
      <c r="AO113" s="299" t="s">
        <v>440</v>
      </c>
      <c r="AP113" s="288"/>
      <c r="AQ113" s="288"/>
      <c r="AR113" s="309">
        <v>1</v>
      </c>
      <c r="AS113" s="281">
        <v>1.99</v>
      </c>
      <c r="AT113" s="288"/>
      <c r="AU113" s="277">
        <v>2.99</v>
      </c>
      <c r="AV113" s="306">
        <v>6</v>
      </c>
      <c r="AW113" s="279">
        <v>6.99</v>
      </c>
      <c r="AX113" s="288"/>
      <c r="AY113" s="277">
        <v>2.99</v>
      </c>
      <c r="AZ113" s="306">
        <v>4</v>
      </c>
      <c r="BA113" s="278">
        <v>4.99</v>
      </c>
      <c r="BB113" s="288"/>
      <c r="BC113" s="288"/>
      <c r="BD113" s="292">
        <v>46218</v>
      </c>
      <c r="BE113" s="163"/>
      <c r="BF113" s="163"/>
      <c r="BG113" s="163"/>
    </row>
    <row r="114" spans="38:59" x14ac:dyDescent="0.25">
      <c r="AL114" s="273" t="s">
        <v>586</v>
      </c>
      <c r="AM114" s="267">
        <v>18</v>
      </c>
      <c r="AN114" s="274">
        <f>88+[1]Jugadores!AM33-2254-112-112+6-112-112</f>
        <v>-2608</v>
      </c>
      <c r="AO114" s="299" t="s">
        <v>101</v>
      </c>
      <c r="AP114" s="288"/>
      <c r="AQ114" s="288"/>
      <c r="AR114" s="308">
        <v>5</v>
      </c>
      <c r="AS114" s="289">
        <v>6.99</v>
      </c>
      <c r="AT114" s="308">
        <v>5</v>
      </c>
      <c r="AU114" s="289">
        <v>6.99</v>
      </c>
      <c r="AV114" s="306">
        <v>2</v>
      </c>
      <c r="AW114" s="278">
        <v>2.99</v>
      </c>
      <c r="AX114" s="308">
        <v>5</v>
      </c>
      <c r="AY114" s="289">
        <v>6.99</v>
      </c>
      <c r="AZ114" s="306">
        <v>3</v>
      </c>
      <c r="BA114" s="278">
        <v>3.99</v>
      </c>
      <c r="BB114" s="288"/>
      <c r="BC114" s="288"/>
      <c r="BD114" s="292">
        <v>43644</v>
      </c>
      <c r="BE114" s="163"/>
      <c r="BF114" s="163"/>
      <c r="BG114" s="163"/>
    </row>
    <row r="115" spans="38:59" x14ac:dyDescent="0.25">
      <c r="AL115" s="273" t="s">
        <v>587</v>
      </c>
      <c r="AM115" s="267">
        <v>16</v>
      </c>
      <c r="AN115" s="274">
        <f>88+[1]Jugadores!AM33-2254-112-112+6-112</f>
        <v>-2496</v>
      </c>
      <c r="AO115" s="299" t="s">
        <v>192</v>
      </c>
      <c r="AP115" s="288"/>
      <c r="AQ115" s="277">
        <v>2.99</v>
      </c>
      <c r="AR115" s="308">
        <v>4</v>
      </c>
      <c r="AS115" s="289">
        <v>6.99</v>
      </c>
      <c r="AT115" s="288"/>
      <c r="AU115" s="288"/>
      <c r="AV115" s="309">
        <v>3</v>
      </c>
      <c r="AW115" s="281">
        <v>3.99</v>
      </c>
      <c r="AX115" s="288"/>
      <c r="AY115" s="277">
        <v>4.99</v>
      </c>
      <c r="AZ115" s="308">
        <v>2</v>
      </c>
      <c r="BA115" s="288"/>
      <c r="BB115" s="288"/>
      <c r="BC115" s="288"/>
      <c r="BD115" s="292">
        <v>46252</v>
      </c>
      <c r="BE115" s="163"/>
      <c r="BF115" s="163"/>
      <c r="BG115" s="163"/>
    </row>
    <row r="116" spans="38:59" x14ac:dyDescent="0.25">
      <c r="AL116" s="273" t="s">
        <v>425</v>
      </c>
      <c r="AM116" s="267">
        <v>17</v>
      </c>
      <c r="AN116" s="274">
        <v>3</v>
      </c>
      <c r="AO116" s="299"/>
      <c r="AP116" s="288"/>
      <c r="AQ116" s="288"/>
      <c r="AR116" s="309">
        <v>5</v>
      </c>
      <c r="AS116" s="284">
        <v>5.99</v>
      </c>
      <c r="AT116" s="309">
        <v>4</v>
      </c>
      <c r="AU116" s="281">
        <v>4.99</v>
      </c>
      <c r="AV116" s="309">
        <v>5</v>
      </c>
      <c r="AW116" s="284">
        <v>5.99</v>
      </c>
      <c r="AX116" s="306">
        <v>2</v>
      </c>
      <c r="AY116" s="278">
        <v>2.99</v>
      </c>
      <c r="AZ116" s="288"/>
      <c r="BA116" s="277">
        <v>3.99</v>
      </c>
      <c r="BB116" s="288"/>
      <c r="BC116" s="288"/>
      <c r="BD116" s="292">
        <v>43648</v>
      </c>
    </row>
  </sheetData>
  <mergeCells count="1">
    <mergeCell ref="H31:O31"/>
  </mergeCells>
  <conditionalFormatting sqref="AD3:AI3 AD7:AI10 AD14:AI18 AD21:AI28">
    <cfRule type="cellIs" dxfId="47" priority="701" stopIfTrue="1" operator="between">
      <formula>4</formula>
      <formula>5</formula>
    </cfRule>
    <cfRule type="cellIs" dxfId="46" priority="702" stopIfTrue="1" operator="lessThan">
      <formula>4</formula>
    </cfRule>
    <cfRule type="cellIs" dxfId="45" priority="703" stopIfTrue="1" operator="greaterThan">
      <formula>5</formula>
    </cfRule>
  </conditionalFormatting>
  <conditionalFormatting sqref="F3 F7:F10 F14:F18 F21:F28">
    <cfRule type="cellIs" dxfId="44" priority="700" stopIfTrue="1" operator="greaterThan">
      <formula>50</formula>
    </cfRule>
  </conditionalFormatting>
  <conditionalFormatting sqref="F3 F7:F10 F14:F18 F21:F28">
    <cfRule type="cellIs" dxfId="43" priority="698" stopIfTrue="1" operator="lessThan">
      <formula>1</formula>
    </cfRule>
    <cfRule type="cellIs" dxfId="42" priority="699" stopIfTrue="1" operator="between">
      <formula>1</formula>
      <formula>50</formula>
    </cfRule>
  </conditionalFormatting>
  <conditionalFormatting sqref="AD10:AI10">
    <cfRule type="cellIs" dxfId="41" priority="689" stopIfTrue="1" operator="between">
      <formula>4</formula>
      <formula>5</formula>
    </cfRule>
    <cfRule type="cellIs" dxfId="40" priority="690" stopIfTrue="1" operator="lessThan">
      <formula>4</formula>
    </cfRule>
    <cfRule type="cellIs" dxfId="39" priority="691" stopIfTrue="1" operator="greaterThan">
      <formula>5</formula>
    </cfRule>
  </conditionalFormatting>
  <conditionalFormatting sqref="AD16:AI16">
    <cfRule type="cellIs" dxfId="38" priority="686" stopIfTrue="1" operator="between">
      <formula>4</formula>
      <formula>5</formula>
    </cfRule>
    <cfRule type="cellIs" dxfId="37" priority="687" stopIfTrue="1" operator="lessThan">
      <formula>4</formula>
    </cfRule>
    <cfRule type="cellIs" dxfId="36" priority="688" stopIfTrue="1" operator="greaterThan">
      <formula>5</formula>
    </cfRule>
  </conditionalFormatting>
  <conditionalFormatting sqref="BD31:BD43">
    <cfRule type="cellIs" dxfId="35" priority="30" stopIfTrue="1" operator="lessThan">
      <formula>4</formula>
    </cfRule>
    <cfRule type="cellIs" dxfId="34" priority="31" stopIfTrue="1" operator="greaterThan">
      <formula>6.4</formula>
    </cfRule>
  </conditionalFormatting>
  <conditionalFormatting sqref="BD31:BD43">
    <cfRule type="cellIs" dxfId="33" priority="28" stopIfTrue="1" operator="lessThan">
      <formula>4</formula>
    </cfRule>
    <cfRule type="cellIs" dxfId="32" priority="29" stopIfTrue="1" operator="greaterThan">
      <formula>6.4</formula>
    </cfRule>
  </conditionalFormatting>
  <conditionalFormatting sqref="BD31:BD43">
    <cfRule type="cellIs" dxfId="31" priority="26" stopIfTrue="1" operator="lessThan">
      <formula>4</formula>
    </cfRule>
    <cfRule type="cellIs" dxfId="30" priority="27" stopIfTrue="1" operator="greaterThan">
      <formula>6.4</formula>
    </cfRule>
  </conditionalFormatting>
  <conditionalFormatting sqref="BD31:BD43">
    <cfRule type="cellIs" dxfId="29" priority="24" stopIfTrue="1" operator="lessThan">
      <formula>4</formula>
    </cfRule>
    <cfRule type="cellIs" dxfId="28" priority="25" stopIfTrue="1" operator="greaterThan">
      <formula>6.4</formula>
    </cfRule>
  </conditionalFormatting>
  <conditionalFormatting sqref="BD31:BD43">
    <cfRule type="cellIs" dxfId="27" priority="22" stopIfTrue="1" operator="lessThan">
      <formula>4</formula>
    </cfRule>
    <cfRule type="cellIs" dxfId="26" priority="23" stopIfTrue="1" operator="greaterThan">
      <formula>6.4</formula>
    </cfRule>
  </conditionalFormatting>
  <conditionalFormatting sqref="BD31:BD43">
    <cfRule type="cellIs" dxfId="25" priority="20" stopIfTrue="1" operator="lessThan">
      <formula>4</formula>
    </cfRule>
    <cfRule type="cellIs" dxfId="24" priority="21" stopIfTrue="1" operator="greaterThan">
      <formula>6.4</formula>
    </cfRule>
  </conditionalFormatting>
  <conditionalFormatting sqref="BD31:BD43">
    <cfRule type="cellIs" dxfId="23" priority="18" stopIfTrue="1" operator="lessThan">
      <formula>4</formula>
    </cfRule>
    <cfRule type="cellIs" dxfId="22" priority="19" stopIfTrue="1" operator="greaterThan">
      <formula>6.4</formula>
    </cfRule>
  </conditionalFormatting>
  <conditionalFormatting sqref="AD14:AI14">
    <cfRule type="cellIs" dxfId="21" priority="7" stopIfTrue="1" operator="between">
      <formula>4</formula>
      <formula>5</formula>
    </cfRule>
    <cfRule type="cellIs" dxfId="20" priority="8" stopIfTrue="1" operator="lessThan">
      <formula>4</formula>
    </cfRule>
    <cfRule type="cellIs" dxfId="19" priority="9" stopIfTrue="1" operator="greaterThan">
      <formula>5</formula>
    </cfRule>
  </conditionalFormatting>
  <conditionalFormatting sqref="F14">
    <cfRule type="cellIs" dxfId="18" priority="3" stopIfTrue="1" operator="greaterThan">
      <formula>50</formula>
    </cfRule>
  </conditionalFormatting>
  <conditionalFormatting sqref="F14">
    <cfRule type="cellIs" dxfId="17" priority="1" stopIfTrue="1" operator="lessThan">
      <formula>1</formula>
    </cfRule>
    <cfRule type="cellIs" dxfId="16" priority="2" stopIfTrue="1" operator="between">
      <formula>1</formula>
      <formula>50</formula>
    </cfRule>
  </conditionalFormatting>
  <conditionalFormatting sqref="Y3:Z3 Y7:Z10 Y14:Z18 Y21:Z28">
    <cfRule type="colorScale" priority="5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6D45-5D29-403B-85C8-15FC2156DFCE}">
  <sheetPr>
    <tabColor rgb="FFFF0000"/>
  </sheetPr>
  <dimension ref="A1:AS36"/>
  <sheetViews>
    <sheetView zoomScaleNormal="100" workbookViewId="0">
      <selection activeCell="P16" sqref="P16"/>
    </sheetView>
  </sheetViews>
  <sheetFormatPr baseColWidth="10" defaultColWidth="11.42578125" defaultRowHeight="15" x14ac:dyDescent="0.25"/>
  <cols>
    <col min="1" max="1" width="5.140625" bestFit="1" customWidth="1"/>
    <col min="2" max="2" width="6.140625" bestFit="1" customWidth="1"/>
    <col min="3" max="3" width="8" bestFit="1" customWidth="1"/>
    <col min="4" max="4" width="13.5703125" bestFit="1" customWidth="1"/>
    <col min="5" max="5" width="4.5703125" bestFit="1" customWidth="1"/>
    <col min="6" max="6" width="5" bestFit="1" customWidth="1"/>
    <col min="7" max="11" width="5.5703125" bestFit="1" customWidth="1"/>
    <col min="12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3" max="23" width="7.28515625" customWidth="1"/>
    <col min="24" max="24" width="5.140625" bestFit="1" customWidth="1"/>
    <col min="25" max="25" width="4.5703125" bestFit="1" customWidth="1"/>
    <col min="26" max="26" width="5.7109375" bestFit="1" customWidth="1"/>
    <col min="27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style="60" bestFit="1" customWidth="1"/>
    <col min="44" max="45" width="6.140625" style="60" customWidth="1"/>
  </cols>
  <sheetData>
    <row r="1" spans="1:45" x14ac:dyDescent="0.25">
      <c r="N1" s="90">
        <f>SUM(N3:N17)</f>
        <v>131110</v>
      </c>
      <c r="AH1" s="90">
        <f>SUM(AH3:AH17)</f>
        <v>178515.48</v>
      </c>
    </row>
    <row r="2" spans="1:45" x14ac:dyDescent="0.25">
      <c r="A2" s="124" t="s">
        <v>96</v>
      </c>
      <c r="B2" s="124" t="s">
        <v>2</v>
      </c>
      <c r="C2" s="124" t="s">
        <v>64</v>
      </c>
      <c r="D2" s="124" t="s">
        <v>97</v>
      </c>
      <c r="E2" s="124" t="s">
        <v>197</v>
      </c>
      <c r="F2" s="124" t="s">
        <v>198</v>
      </c>
      <c r="G2" s="124" t="s">
        <v>15</v>
      </c>
      <c r="H2" s="124" t="s">
        <v>16</v>
      </c>
      <c r="I2" s="124" t="s">
        <v>17</v>
      </c>
      <c r="J2" s="124" t="s">
        <v>18</v>
      </c>
      <c r="K2" s="124" t="s">
        <v>19</v>
      </c>
      <c r="L2" s="124" t="s">
        <v>20</v>
      </c>
      <c r="M2" s="124" t="s">
        <v>6</v>
      </c>
      <c r="N2" s="124" t="s">
        <v>50</v>
      </c>
      <c r="O2" s="124" t="s">
        <v>199</v>
      </c>
      <c r="P2" s="124" t="s">
        <v>200</v>
      </c>
      <c r="Q2" s="124" t="s">
        <v>201</v>
      </c>
      <c r="R2" s="124" t="s">
        <v>202</v>
      </c>
      <c r="S2" s="124" t="s">
        <v>203</v>
      </c>
      <c r="T2" s="124" t="s">
        <v>204</v>
      </c>
      <c r="U2" s="124" t="s">
        <v>205</v>
      </c>
      <c r="V2" s="124" t="s">
        <v>206</v>
      </c>
      <c r="X2" s="10" t="s">
        <v>96</v>
      </c>
      <c r="Y2" s="10" t="s">
        <v>197</v>
      </c>
      <c r="Z2" s="10" t="s">
        <v>198</v>
      </c>
      <c r="AA2" s="10" t="s">
        <v>15</v>
      </c>
      <c r="AB2" s="10" t="s">
        <v>16</v>
      </c>
      <c r="AC2" s="10" t="s">
        <v>17</v>
      </c>
      <c r="AD2" s="10" t="s">
        <v>18</v>
      </c>
      <c r="AE2" s="10" t="s">
        <v>19</v>
      </c>
      <c r="AF2" s="10" t="s">
        <v>20</v>
      </c>
      <c r="AG2" s="10" t="s">
        <v>6</v>
      </c>
      <c r="AH2" s="10" t="s">
        <v>50</v>
      </c>
      <c r="AI2" s="10" t="s">
        <v>199</v>
      </c>
      <c r="AJ2" s="10" t="s">
        <v>200</v>
      </c>
      <c r="AK2" s="10" t="s">
        <v>201</v>
      </c>
      <c r="AL2" s="10" t="s">
        <v>202</v>
      </c>
      <c r="AM2" s="10" t="s">
        <v>203</v>
      </c>
      <c r="AN2" s="10" t="s">
        <v>204</v>
      </c>
      <c r="AO2" s="10" t="s">
        <v>205</v>
      </c>
      <c r="AP2" s="10" t="s">
        <v>206</v>
      </c>
    </row>
    <row r="3" spans="1:45" x14ac:dyDescent="0.25">
      <c r="A3" t="s">
        <v>28</v>
      </c>
      <c r="B3" s="15" t="s">
        <v>27</v>
      </c>
      <c r="C3" s="17"/>
      <c r="D3" s="17" t="s">
        <v>360</v>
      </c>
      <c r="E3" s="3">
        <f>Plantilla!E4</f>
        <v>22</v>
      </c>
      <c r="F3" s="25">
        <f ca="1">Plantilla!F4</f>
        <v>107</v>
      </c>
      <c r="G3" s="105">
        <f>Plantilla!X4</f>
        <v>15</v>
      </c>
      <c r="H3" s="105">
        <f>Plantilla!Y4</f>
        <v>11.111111111111111</v>
      </c>
      <c r="I3" s="105">
        <f>Plantilla!Z4</f>
        <v>0</v>
      </c>
      <c r="J3" s="105">
        <f>Plantilla!AA4</f>
        <v>0</v>
      </c>
      <c r="K3" s="105">
        <f>Plantilla!AB4</f>
        <v>0</v>
      </c>
      <c r="L3" s="105">
        <f>Plantilla!AC4</f>
        <v>1</v>
      </c>
      <c r="M3" s="105">
        <f>Plantilla!AD4</f>
        <v>1</v>
      </c>
      <c r="N3" s="42">
        <f>Plantilla!V4</f>
        <v>27520</v>
      </c>
      <c r="O3" s="120">
        <v>51.5</v>
      </c>
      <c r="P3" s="120">
        <v>49</v>
      </c>
      <c r="Q3" s="120">
        <v>0</v>
      </c>
      <c r="R3" s="89">
        <v>0</v>
      </c>
      <c r="S3" s="89">
        <v>0</v>
      </c>
      <c r="T3" s="89">
        <v>0</v>
      </c>
      <c r="U3" s="89">
        <v>0</v>
      </c>
      <c r="V3" s="127">
        <f>SUM(O3:U3)</f>
        <v>100.5</v>
      </c>
      <c r="X3" t="s">
        <v>28</v>
      </c>
      <c r="Y3" s="17">
        <f>E3+1</f>
        <v>23</v>
      </c>
      <c r="Z3" s="3">
        <f ca="1">F3+(7*$AR$8)-122</f>
        <v>48</v>
      </c>
      <c r="AA3" s="61">
        <f>G3</f>
        <v>15</v>
      </c>
      <c r="AB3" s="61">
        <f>11+6/10</f>
        <v>11.6</v>
      </c>
      <c r="AC3" s="61">
        <f t="shared" ref="AB3:AG18" si="0">I3</f>
        <v>0</v>
      </c>
      <c r="AD3" s="61">
        <f t="shared" si="0"/>
        <v>0</v>
      </c>
      <c r="AE3" s="61">
        <f t="shared" si="0"/>
        <v>0</v>
      </c>
      <c r="AF3" s="61">
        <f t="shared" si="0"/>
        <v>1</v>
      </c>
      <c r="AG3" s="61">
        <f t="shared" si="0"/>
        <v>1</v>
      </c>
      <c r="AH3" s="42">
        <f>(24270+2300)*1.008</f>
        <v>26782.560000000001</v>
      </c>
      <c r="AI3" s="120">
        <f>O3</f>
        <v>51.5</v>
      </c>
      <c r="AJ3" s="120">
        <f>P3+$AR$8</f>
        <v>58</v>
      </c>
      <c r="AK3" s="120">
        <f t="shared" ref="AK3:AO3" si="1">Q3</f>
        <v>0</v>
      </c>
      <c r="AL3" s="120">
        <f t="shared" si="1"/>
        <v>0</v>
      </c>
      <c r="AM3" s="120">
        <f t="shared" si="1"/>
        <v>0</v>
      </c>
      <c r="AN3" s="120">
        <f t="shared" si="1"/>
        <v>0</v>
      </c>
      <c r="AO3" s="120">
        <f t="shared" si="1"/>
        <v>0</v>
      </c>
      <c r="AP3" s="127">
        <f>SUM(AI3:AO3)</f>
        <v>109.5</v>
      </c>
    </row>
    <row r="4" spans="1:45" x14ac:dyDescent="0.25">
      <c r="A4" t="s">
        <v>31</v>
      </c>
      <c r="B4" s="15" t="s">
        <v>29</v>
      </c>
      <c r="C4" s="3"/>
      <c r="D4" s="3" t="s">
        <v>349</v>
      </c>
      <c r="E4" s="3">
        <f>Plantilla!E6</f>
        <v>22</v>
      </c>
      <c r="F4" s="3">
        <f ca="1">Plantilla!F6</f>
        <v>104</v>
      </c>
      <c r="G4" s="105">
        <f>Plantilla!X6</f>
        <v>0</v>
      </c>
      <c r="H4" s="105">
        <f>Plantilla!Y6</f>
        <v>15</v>
      </c>
      <c r="I4" s="105">
        <f>Plantilla!Z6</f>
        <v>5</v>
      </c>
      <c r="J4" s="105">
        <f>Plantilla!AA6</f>
        <v>5.4</v>
      </c>
      <c r="K4" s="105">
        <f>Plantilla!AB6</f>
        <v>6</v>
      </c>
      <c r="L4" s="105">
        <f>Plantilla!AC6</f>
        <v>2</v>
      </c>
      <c r="M4" s="105">
        <f>Plantilla!AD6</f>
        <v>1</v>
      </c>
      <c r="N4" s="42">
        <f>Plantilla!V6</f>
        <v>18250</v>
      </c>
      <c r="O4" s="120">
        <v>0</v>
      </c>
      <c r="P4" s="120">
        <v>95</v>
      </c>
      <c r="Q4" s="120">
        <v>9</v>
      </c>
      <c r="R4" s="89">
        <v>6</v>
      </c>
      <c r="S4" s="89">
        <v>10</v>
      </c>
      <c r="T4" s="89">
        <v>0</v>
      </c>
      <c r="U4" s="89">
        <v>0</v>
      </c>
      <c r="V4" s="127">
        <f t="shared" ref="V4:V13" si="2">SUM(O4:U4)</f>
        <v>120</v>
      </c>
      <c r="X4" t="s">
        <v>31</v>
      </c>
      <c r="Y4" s="17">
        <f t="shared" ref="Y4:Y15" si="3">E4+1</f>
        <v>23</v>
      </c>
      <c r="Z4" s="3">
        <f t="shared" ref="Z4:Z15" ca="1" si="4">F4+(7*$AR$8)-122</f>
        <v>45</v>
      </c>
      <c r="AA4" s="61">
        <f t="shared" ref="AA4:AA18" si="5">G4</f>
        <v>0</v>
      </c>
      <c r="AB4" s="61">
        <f>15+3/18</f>
        <v>15.166666666666666</v>
      </c>
      <c r="AC4" s="61">
        <f t="shared" si="0"/>
        <v>5</v>
      </c>
      <c r="AD4" s="61">
        <f>5+2/10</f>
        <v>5.2</v>
      </c>
      <c r="AE4" s="61">
        <f t="shared" si="0"/>
        <v>6</v>
      </c>
      <c r="AF4" s="61">
        <f t="shared" si="0"/>
        <v>2</v>
      </c>
      <c r="AG4" s="61">
        <f t="shared" si="0"/>
        <v>1</v>
      </c>
      <c r="AH4" s="42">
        <f>(28000+135+130+135)*1.004</f>
        <v>28513.599999999999</v>
      </c>
      <c r="AI4" s="122">
        <f t="shared" ref="AI4:AI18" si="6">O4</f>
        <v>0</v>
      </c>
      <c r="AJ4" s="122">
        <f t="shared" ref="AJ4:AJ15" si="7">P4+$AR$8</f>
        <v>104</v>
      </c>
      <c r="AK4" s="122">
        <f t="shared" ref="AK4:AK18" si="8">Q4</f>
        <v>9</v>
      </c>
      <c r="AL4" s="122">
        <f t="shared" ref="AL4:AL18" si="9">R4</f>
        <v>6</v>
      </c>
      <c r="AM4" s="122">
        <f t="shared" ref="AM4:AM18" si="10">S4</f>
        <v>10</v>
      </c>
      <c r="AN4" s="122">
        <f t="shared" ref="AN4:AN18" si="11">T4</f>
        <v>0</v>
      </c>
      <c r="AO4" s="122">
        <f t="shared" ref="AO4:AO18" si="12">U4</f>
        <v>0</v>
      </c>
      <c r="AP4" s="127">
        <f>SUM(AI4:AO4)</f>
        <v>129</v>
      </c>
    </row>
    <row r="5" spans="1:45" x14ac:dyDescent="0.25">
      <c r="A5" t="s">
        <v>32</v>
      </c>
      <c r="B5" s="15" t="s">
        <v>29</v>
      </c>
      <c r="C5" s="3"/>
      <c r="D5" s="3" t="s">
        <v>350</v>
      </c>
      <c r="E5" s="3">
        <f>Plantilla!E8</f>
        <v>23</v>
      </c>
      <c r="F5" s="3">
        <f ca="1">Plantilla!F8</f>
        <v>23</v>
      </c>
      <c r="G5" s="105">
        <f>Plantilla!X8</f>
        <v>0</v>
      </c>
      <c r="H5" s="105">
        <f>Plantilla!Y8</f>
        <v>13.083333333333334</v>
      </c>
      <c r="I5" s="105">
        <f>Plantilla!Z8</f>
        <v>3</v>
      </c>
      <c r="J5" s="105">
        <f>Plantilla!AA8</f>
        <v>7.1999999999999993</v>
      </c>
      <c r="K5" s="105">
        <f>Plantilla!AB8</f>
        <v>10.125</v>
      </c>
      <c r="L5" s="105">
        <f>Plantilla!AC8</f>
        <v>3</v>
      </c>
      <c r="M5" s="105">
        <f>Plantilla!AD8</f>
        <v>2</v>
      </c>
      <c r="N5" s="42">
        <f>Plantilla!V8</f>
        <v>11670</v>
      </c>
      <c r="O5" s="120">
        <v>0</v>
      </c>
      <c r="P5" s="120">
        <v>68</v>
      </c>
      <c r="Q5" s="120">
        <v>3</v>
      </c>
      <c r="R5" s="89">
        <v>11.5</v>
      </c>
      <c r="S5" s="89">
        <v>30</v>
      </c>
      <c r="T5" s="89">
        <v>2</v>
      </c>
      <c r="U5" s="89">
        <v>0</v>
      </c>
      <c r="V5" s="127">
        <f>SUM(O5:U5)</f>
        <v>114.5</v>
      </c>
      <c r="X5" t="s">
        <v>32</v>
      </c>
      <c r="Y5" s="17">
        <f t="shared" si="3"/>
        <v>24</v>
      </c>
      <c r="Z5" s="3">
        <f t="shared" ca="1" si="4"/>
        <v>-36</v>
      </c>
      <c r="AA5" s="61">
        <f t="shared" si="5"/>
        <v>0</v>
      </c>
      <c r="AB5" s="61">
        <f>13+5/12</f>
        <v>13.416666666666666</v>
      </c>
      <c r="AC5" s="61">
        <f t="shared" si="0"/>
        <v>3</v>
      </c>
      <c r="AD5" s="61">
        <f>7+1/12</f>
        <v>7.083333333333333</v>
      </c>
      <c r="AE5" s="61">
        <f t="shared" si="0"/>
        <v>10.125</v>
      </c>
      <c r="AF5" s="61">
        <f t="shared" si="0"/>
        <v>3</v>
      </c>
      <c r="AG5" s="61">
        <f t="shared" si="0"/>
        <v>2</v>
      </c>
      <c r="AH5" s="42">
        <f>(195+13000+190)*1.008</f>
        <v>13492.08</v>
      </c>
      <c r="AI5" s="122">
        <f t="shared" si="6"/>
        <v>0</v>
      </c>
      <c r="AJ5" s="122">
        <f t="shared" si="7"/>
        <v>77</v>
      </c>
      <c r="AK5" s="122">
        <f t="shared" si="8"/>
        <v>3</v>
      </c>
      <c r="AL5" s="122">
        <f t="shared" si="9"/>
        <v>11.5</v>
      </c>
      <c r="AM5" s="122">
        <f t="shared" si="10"/>
        <v>30</v>
      </c>
      <c r="AN5" s="122">
        <f t="shared" si="11"/>
        <v>2</v>
      </c>
      <c r="AO5" s="122">
        <f t="shared" si="12"/>
        <v>0</v>
      </c>
      <c r="AP5" s="127">
        <f>SUM(AI5:AO5)</f>
        <v>123.5</v>
      </c>
    </row>
    <row r="6" spans="1:45" x14ac:dyDescent="0.25">
      <c r="A6" t="s">
        <v>38</v>
      </c>
      <c r="B6" s="15" t="s">
        <v>29</v>
      </c>
      <c r="C6" s="3"/>
      <c r="D6" s="3" t="s">
        <v>353</v>
      </c>
      <c r="E6" s="3">
        <f>Plantilla!E7</f>
        <v>22</v>
      </c>
      <c r="F6" s="25">
        <f ca="1">Plantilla!F7</f>
        <v>85</v>
      </c>
      <c r="G6" s="105">
        <f>Plantilla!X7</f>
        <v>0</v>
      </c>
      <c r="H6" s="105">
        <f>Plantilla!Y7</f>
        <v>14.9375</v>
      </c>
      <c r="I6" s="105">
        <f>Plantilla!Z7</f>
        <v>5</v>
      </c>
      <c r="J6" s="105">
        <f>Plantilla!AA7</f>
        <v>7</v>
      </c>
      <c r="K6" s="105">
        <f>Plantilla!AB7</f>
        <v>5.25</v>
      </c>
      <c r="L6" s="105">
        <f>Plantilla!AC7</f>
        <v>1</v>
      </c>
      <c r="M6" s="105">
        <f>Plantilla!AD7</f>
        <v>0</v>
      </c>
      <c r="N6" s="42">
        <f>Plantilla!V7</f>
        <v>19870</v>
      </c>
      <c r="O6" s="120">
        <v>0</v>
      </c>
      <c r="P6" s="120">
        <v>94</v>
      </c>
      <c r="Q6" s="120">
        <v>9</v>
      </c>
      <c r="R6" s="89">
        <v>10.5</v>
      </c>
      <c r="S6" s="89">
        <v>8</v>
      </c>
      <c r="T6" s="89">
        <v>0</v>
      </c>
      <c r="U6" s="89">
        <v>0</v>
      </c>
      <c r="V6" s="127">
        <f>SUM(O6:U6)</f>
        <v>121.5</v>
      </c>
      <c r="X6" t="s">
        <v>38</v>
      </c>
      <c r="Y6" s="17">
        <f t="shared" si="3"/>
        <v>23</v>
      </c>
      <c r="Z6" s="3">
        <f t="shared" ca="1" si="4"/>
        <v>26</v>
      </c>
      <c r="AA6" s="61">
        <f t="shared" si="5"/>
        <v>0</v>
      </c>
      <c r="AB6" s="61">
        <f>15+3/18</f>
        <v>15.166666666666666</v>
      </c>
      <c r="AC6" s="61">
        <f t="shared" si="0"/>
        <v>5</v>
      </c>
      <c r="AD6" s="61">
        <f>J6+(0.5*AR9)/4</f>
        <v>7</v>
      </c>
      <c r="AE6" s="61">
        <f t="shared" si="0"/>
        <v>5.25</v>
      </c>
      <c r="AF6" s="61">
        <f t="shared" si="0"/>
        <v>1</v>
      </c>
      <c r="AG6" s="61">
        <f t="shared" si="0"/>
        <v>0</v>
      </c>
      <c r="AH6" s="42">
        <f>(28000+135+130+135)*1.004</f>
        <v>28513.599999999999</v>
      </c>
      <c r="AI6" s="122">
        <f t="shared" si="6"/>
        <v>0</v>
      </c>
      <c r="AJ6" s="122">
        <f t="shared" si="7"/>
        <v>103</v>
      </c>
      <c r="AK6" s="122">
        <f t="shared" si="8"/>
        <v>9</v>
      </c>
      <c r="AL6" s="122">
        <f t="shared" si="9"/>
        <v>10.5</v>
      </c>
      <c r="AM6" s="122">
        <f t="shared" si="10"/>
        <v>8</v>
      </c>
      <c r="AN6" s="122">
        <f t="shared" si="11"/>
        <v>0</v>
      </c>
      <c r="AO6" s="122">
        <f t="shared" si="12"/>
        <v>0</v>
      </c>
      <c r="AP6" s="127">
        <f>SUM(AI6:AO6)</f>
        <v>130.5</v>
      </c>
    </row>
    <row r="7" spans="1:45" x14ac:dyDescent="0.25">
      <c r="A7" t="s">
        <v>40</v>
      </c>
      <c r="B7" s="15" t="s">
        <v>29</v>
      </c>
      <c r="C7" s="3"/>
      <c r="D7" s="3" t="s">
        <v>357</v>
      </c>
      <c r="E7" s="3">
        <f>Plantilla!E9</f>
        <v>23</v>
      </c>
      <c r="F7" s="25">
        <f ca="1">Plantilla!F9</f>
        <v>8</v>
      </c>
      <c r="G7" s="105">
        <f>Plantilla!X9</f>
        <v>0</v>
      </c>
      <c r="H7" s="105">
        <f>Plantilla!Y9</f>
        <v>11.111111111111111</v>
      </c>
      <c r="I7" s="105">
        <f>Plantilla!Z9</f>
        <v>11</v>
      </c>
      <c r="J7" s="105">
        <f>Plantilla!AA9</f>
        <v>4</v>
      </c>
      <c r="K7" s="105">
        <f>Plantilla!AB9</f>
        <v>9.1428571428571423</v>
      </c>
      <c r="L7" s="105">
        <f>Plantilla!AC9</f>
        <v>4</v>
      </c>
      <c r="M7" s="105">
        <f>Plantilla!AD9</f>
        <v>1</v>
      </c>
      <c r="N7" s="42">
        <f>Plantilla!V9</f>
        <v>7670</v>
      </c>
      <c r="O7" s="120">
        <v>0</v>
      </c>
      <c r="P7" s="120">
        <v>47</v>
      </c>
      <c r="Q7" s="120">
        <v>40</v>
      </c>
      <c r="R7" s="89">
        <v>3.5</v>
      </c>
      <c r="S7" s="89">
        <v>24</v>
      </c>
      <c r="T7" s="89">
        <v>5</v>
      </c>
      <c r="U7" s="89">
        <v>0</v>
      </c>
      <c r="V7" s="127">
        <f t="shared" si="2"/>
        <v>119.5</v>
      </c>
      <c r="X7" t="s">
        <v>40</v>
      </c>
      <c r="Y7" s="17">
        <f t="shared" si="3"/>
        <v>24</v>
      </c>
      <c r="Z7" s="3">
        <f t="shared" ca="1" si="4"/>
        <v>-51</v>
      </c>
      <c r="AA7" s="61">
        <f t="shared" si="5"/>
        <v>0</v>
      </c>
      <c r="AB7" s="61">
        <f>11+7/10</f>
        <v>11.7</v>
      </c>
      <c r="AC7" s="61">
        <f t="shared" si="0"/>
        <v>11</v>
      </c>
      <c r="AD7" s="61">
        <f t="shared" si="0"/>
        <v>4</v>
      </c>
      <c r="AE7" s="61">
        <f t="shared" si="0"/>
        <v>9.1428571428571423</v>
      </c>
      <c r="AF7" s="61">
        <f t="shared" si="0"/>
        <v>4</v>
      </c>
      <c r="AG7" s="61">
        <f t="shared" si="0"/>
        <v>1</v>
      </c>
      <c r="AH7" s="42">
        <f>(6800+2505+145)*1.008</f>
        <v>9525.6</v>
      </c>
      <c r="AI7" s="122">
        <f t="shared" si="6"/>
        <v>0</v>
      </c>
      <c r="AJ7" s="122">
        <f t="shared" si="7"/>
        <v>56</v>
      </c>
      <c r="AK7" s="122">
        <f t="shared" si="8"/>
        <v>40</v>
      </c>
      <c r="AL7" s="122">
        <f t="shared" si="9"/>
        <v>3.5</v>
      </c>
      <c r="AM7" s="122">
        <f t="shared" si="10"/>
        <v>24</v>
      </c>
      <c r="AN7" s="122">
        <f t="shared" si="11"/>
        <v>5</v>
      </c>
      <c r="AO7" s="122">
        <f t="shared" si="12"/>
        <v>0</v>
      </c>
      <c r="AP7" s="127">
        <f t="shared" ref="AP7:AP13" si="13">SUM(AI7:AO7)</f>
        <v>128.5</v>
      </c>
      <c r="AR7" s="106" t="s">
        <v>242</v>
      </c>
      <c r="AS7" s="106" t="s">
        <v>243</v>
      </c>
    </row>
    <row r="8" spans="1:45" x14ac:dyDescent="0.25">
      <c r="A8" t="s">
        <v>37</v>
      </c>
      <c r="B8" s="15" t="s">
        <v>29</v>
      </c>
      <c r="C8" s="3"/>
      <c r="D8" s="3"/>
      <c r="E8" s="3"/>
      <c r="F8" s="3"/>
      <c r="G8" s="105">
        <v>0</v>
      </c>
      <c r="H8" s="73">
        <v>2</v>
      </c>
      <c r="I8" s="105">
        <v>2</v>
      </c>
      <c r="J8" s="73">
        <v>2</v>
      </c>
      <c r="K8" s="105">
        <v>2</v>
      </c>
      <c r="L8" s="73">
        <v>2</v>
      </c>
      <c r="M8" s="105">
        <v>2</v>
      </c>
      <c r="N8" s="42"/>
      <c r="O8" s="120">
        <v>0</v>
      </c>
      <c r="P8" s="120">
        <v>0</v>
      </c>
      <c r="Q8" s="120">
        <v>0</v>
      </c>
      <c r="R8" s="89">
        <v>0</v>
      </c>
      <c r="S8" s="89">
        <v>0</v>
      </c>
      <c r="T8" s="89">
        <v>0</v>
      </c>
      <c r="U8" s="89">
        <v>0</v>
      </c>
      <c r="V8" s="127">
        <f t="shared" si="2"/>
        <v>0</v>
      </c>
      <c r="X8" t="s">
        <v>37</v>
      </c>
      <c r="Y8" s="17"/>
      <c r="Z8" s="3"/>
      <c r="AA8" s="61">
        <f t="shared" si="5"/>
        <v>0</v>
      </c>
      <c r="AB8" s="61">
        <f t="shared" si="0"/>
        <v>2</v>
      </c>
      <c r="AC8" s="61">
        <f t="shared" si="0"/>
        <v>2</v>
      </c>
      <c r="AD8" s="61">
        <f t="shared" si="0"/>
        <v>2</v>
      </c>
      <c r="AE8" s="61">
        <f t="shared" si="0"/>
        <v>2</v>
      </c>
      <c r="AF8" s="61">
        <f t="shared" si="0"/>
        <v>2</v>
      </c>
      <c r="AG8" s="61">
        <f t="shared" si="0"/>
        <v>2</v>
      </c>
      <c r="AH8" s="42"/>
      <c r="AI8" s="122">
        <f t="shared" si="6"/>
        <v>0</v>
      </c>
      <c r="AJ8" s="122">
        <v>0</v>
      </c>
      <c r="AK8" s="122">
        <f t="shared" si="8"/>
        <v>0</v>
      </c>
      <c r="AL8" s="122">
        <f t="shared" si="9"/>
        <v>0</v>
      </c>
      <c r="AM8" s="122">
        <f t="shared" si="10"/>
        <v>0</v>
      </c>
      <c r="AN8" s="122">
        <f t="shared" si="11"/>
        <v>0</v>
      </c>
      <c r="AO8" s="122">
        <f t="shared" si="12"/>
        <v>0</v>
      </c>
      <c r="AP8" s="127">
        <f t="shared" si="13"/>
        <v>0</v>
      </c>
      <c r="AQ8" s="106" t="s">
        <v>29</v>
      </c>
      <c r="AR8" s="60">
        <v>9</v>
      </c>
      <c r="AS8" s="125">
        <f>AR8/16</f>
        <v>0.5625</v>
      </c>
    </row>
    <row r="9" spans="1:45" x14ac:dyDescent="0.25">
      <c r="A9" t="s">
        <v>34</v>
      </c>
      <c r="B9" s="15" t="s">
        <v>29</v>
      </c>
      <c r="C9" s="3" t="s">
        <v>192</v>
      </c>
      <c r="D9" s="3" t="s">
        <v>341</v>
      </c>
      <c r="E9" s="3">
        <f>Plantilla!E11</f>
        <v>22</v>
      </c>
      <c r="F9" s="3">
        <f ca="1">Plantilla!F11</f>
        <v>100</v>
      </c>
      <c r="G9" s="105">
        <f>Plantilla!X11</f>
        <v>0</v>
      </c>
      <c r="H9" s="105">
        <f>Plantilla!Y11</f>
        <v>12.4</v>
      </c>
      <c r="I9" s="105">
        <f>Plantilla!Z11</f>
        <v>4</v>
      </c>
      <c r="J9" s="105">
        <f>Plantilla!AA11</f>
        <v>12.666666666666666</v>
      </c>
      <c r="K9" s="105">
        <f>Plantilla!AB11</f>
        <v>4.5</v>
      </c>
      <c r="L9" s="105">
        <f>Plantilla!AC11</f>
        <v>7</v>
      </c>
      <c r="M9" s="105">
        <f>Plantilla!AD11</f>
        <v>3</v>
      </c>
      <c r="N9" s="42">
        <f>Plantilla!V11</f>
        <v>8650</v>
      </c>
      <c r="O9" s="120">
        <v>0</v>
      </c>
      <c r="P9" s="120">
        <v>60</v>
      </c>
      <c r="Q9" s="120">
        <v>6</v>
      </c>
      <c r="R9" s="89">
        <v>40.5</v>
      </c>
      <c r="S9" s="89">
        <v>6</v>
      </c>
      <c r="T9" s="89">
        <v>16</v>
      </c>
      <c r="U9" s="89">
        <v>1</v>
      </c>
      <c r="V9" s="127">
        <f t="shared" si="2"/>
        <v>129.5</v>
      </c>
      <c r="X9" t="s">
        <v>34</v>
      </c>
      <c r="Y9" s="17">
        <f t="shared" si="3"/>
        <v>23</v>
      </c>
      <c r="Z9" s="3">
        <f t="shared" ca="1" si="4"/>
        <v>41</v>
      </c>
      <c r="AA9" s="61">
        <f t="shared" si="5"/>
        <v>0</v>
      </c>
      <c r="AB9" s="61">
        <f>12+10/11</f>
        <v>12.909090909090908</v>
      </c>
      <c r="AC9" s="61">
        <f t="shared" si="0"/>
        <v>4</v>
      </c>
      <c r="AD9" s="61">
        <v>12.5</v>
      </c>
      <c r="AE9" s="61">
        <f t="shared" si="0"/>
        <v>4.5</v>
      </c>
      <c r="AF9" s="61">
        <f t="shared" si="0"/>
        <v>7</v>
      </c>
      <c r="AG9" s="61">
        <f t="shared" si="0"/>
        <v>3</v>
      </c>
      <c r="AH9" s="42">
        <f>(12930+2985+125+125+245)*1.012</f>
        <v>16606.920000000002</v>
      </c>
      <c r="AI9" s="122">
        <f t="shared" si="6"/>
        <v>0</v>
      </c>
      <c r="AJ9" s="122">
        <f t="shared" si="7"/>
        <v>69</v>
      </c>
      <c r="AK9" s="122">
        <f t="shared" si="8"/>
        <v>6</v>
      </c>
      <c r="AL9" s="122">
        <f t="shared" si="9"/>
        <v>40.5</v>
      </c>
      <c r="AM9" s="122">
        <f t="shared" si="10"/>
        <v>6</v>
      </c>
      <c r="AN9" s="122">
        <f t="shared" si="11"/>
        <v>16</v>
      </c>
      <c r="AO9" s="122">
        <f t="shared" si="12"/>
        <v>1</v>
      </c>
      <c r="AP9" s="127">
        <f t="shared" si="13"/>
        <v>138.5</v>
      </c>
      <c r="AR9" s="126"/>
      <c r="AS9" s="126"/>
    </row>
    <row r="10" spans="1:45" x14ac:dyDescent="0.25">
      <c r="A10" t="s">
        <v>30</v>
      </c>
      <c r="B10" s="15" t="s">
        <v>29</v>
      </c>
      <c r="C10" s="3" t="s">
        <v>192</v>
      </c>
      <c r="D10" s="3" t="s">
        <v>208</v>
      </c>
      <c r="E10" s="3">
        <f>Plantilla!E13</f>
        <v>22</v>
      </c>
      <c r="F10" s="3">
        <f ca="1">Plantilla!F13</f>
        <v>100</v>
      </c>
      <c r="G10" s="105">
        <f>Plantilla!X13</f>
        <v>0</v>
      </c>
      <c r="H10" s="105">
        <f>Plantilla!Y13</f>
        <v>11.222222222222221</v>
      </c>
      <c r="I10" s="105">
        <f>Plantilla!Z13</f>
        <v>3</v>
      </c>
      <c r="J10" s="105">
        <f>Plantilla!AA13</f>
        <v>12</v>
      </c>
      <c r="K10" s="105">
        <f>Plantilla!AB13</f>
        <v>6.2000000000000011</v>
      </c>
      <c r="L10" s="105">
        <f>Plantilla!AC13</f>
        <v>7.25</v>
      </c>
      <c r="M10" s="105">
        <f>Plantilla!AD13</f>
        <v>3</v>
      </c>
      <c r="N10" s="42">
        <f>Plantilla!V13</f>
        <v>5690</v>
      </c>
      <c r="O10" s="120">
        <v>0</v>
      </c>
      <c r="P10" s="120">
        <v>48</v>
      </c>
      <c r="Q10" s="120">
        <v>3</v>
      </c>
      <c r="R10" s="89">
        <v>32.5</v>
      </c>
      <c r="S10" s="89">
        <v>11</v>
      </c>
      <c r="T10" s="89">
        <v>17</v>
      </c>
      <c r="U10" s="89">
        <v>1</v>
      </c>
      <c r="V10" s="127">
        <f t="shared" si="2"/>
        <v>112.5</v>
      </c>
      <c r="X10" t="s">
        <v>30</v>
      </c>
      <c r="Y10" s="17">
        <f t="shared" si="3"/>
        <v>23</v>
      </c>
      <c r="Z10" s="3">
        <f t="shared" ca="1" si="4"/>
        <v>41</v>
      </c>
      <c r="AA10" s="61">
        <f t="shared" si="5"/>
        <v>0</v>
      </c>
      <c r="AB10" s="61">
        <v>12</v>
      </c>
      <c r="AC10" s="61">
        <f t="shared" si="0"/>
        <v>3</v>
      </c>
      <c r="AD10" s="61">
        <v>11.9</v>
      </c>
      <c r="AE10" s="61">
        <f t="shared" si="0"/>
        <v>6.2000000000000011</v>
      </c>
      <c r="AF10" s="61">
        <f t="shared" si="0"/>
        <v>7.25</v>
      </c>
      <c r="AG10" s="61">
        <f t="shared" si="0"/>
        <v>3</v>
      </c>
      <c r="AH10" s="42">
        <f>(12930+2985+125+125+245)*1.012</f>
        <v>16606.920000000002</v>
      </c>
      <c r="AI10" s="122">
        <f t="shared" si="6"/>
        <v>0</v>
      </c>
      <c r="AJ10" s="122">
        <f t="shared" si="7"/>
        <v>57</v>
      </c>
      <c r="AK10" s="122">
        <f t="shared" si="8"/>
        <v>3</v>
      </c>
      <c r="AL10" s="122">
        <f t="shared" si="9"/>
        <v>32.5</v>
      </c>
      <c r="AM10" s="122">
        <f t="shared" si="10"/>
        <v>11</v>
      </c>
      <c r="AN10" s="122">
        <f t="shared" si="11"/>
        <v>17</v>
      </c>
      <c r="AO10" s="122">
        <f t="shared" si="12"/>
        <v>1</v>
      </c>
      <c r="AP10" s="127">
        <f t="shared" si="13"/>
        <v>121.5</v>
      </c>
      <c r="AR10" s="126"/>
      <c r="AS10" s="126"/>
    </row>
    <row r="11" spans="1:45" x14ac:dyDescent="0.25">
      <c r="A11" t="s">
        <v>42</v>
      </c>
      <c r="B11" s="15" t="s">
        <v>244</v>
      </c>
      <c r="C11" s="3"/>
      <c r="D11" s="3"/>
      <c r="E11" s="3"/>
      <c r="F11" s="3"/>
      <c r="G11" s="105">
        <v>0</v>
      </c>
      <c r="H11" s="73">
        <v>2</v>
      </c>
      <c r="I11" s="105">
        <v>2</v>
      </c>
      <c r="J11" s="73">
        <v>2</v>
      </c>
      <c r="K11" s="105">
        <v>2</v>
      </c>
      <c r="L11" s="73">
        <v>2</v>
      </c>
      <c r="M11" s="105">
        <v>2</v>
      </c>
      <c r="N11" s="42"/>
      <c r="O11" s="120">
        <v>0</v>
      </c>
      <c r="P11" s="120">
        <v>0</v>
      </c>
      <c r="Q11" s="120">
        <v>0</v>
      </c>
      <c r="R11" s="89">
        <v>0</v>
      </c>
      <c r="S11" s="89">
        <v>0</v>
      </c>
      <c r="T11" s="89">
        <v>0</v>
      </c>
      <c r="U11" s="89">
        <v>0</v>
      </c>
      <c r="V11" s="127">
        <f t="shared" si="2"/>
        <v>0</v>
      </c>
      <c r="X11" t="s">
        <v>42</v>
      </c>
      <c r="Y11" s="17"/>
      <c r="Z11" s="3"/>
      <c r="AA11" s="61">
        <f t="shared" si="5"/>
        <v>0</v>
      </c>
      <c r="AB11" s="61">
        <f t="shared" si="0"/>
        <v>2</v>
      </c>
      <c r="AC11" s="61">
        <f t="shared" si="0"/>
        <v>2</v>
      </c>
      <c r="AD11" s="61">
        <f t="shared" si="0"/>
        <v>2</v>
      </c>
      <c r="AE11" s="61">
        <f t="shared" si="0"/>
        <v>2</v>
      </c>
      <c r="AF11" s="61">
        <f t="shared" si="0"/>
        <v>2</v>
      </c>
      <c r="AG11" s="61">
        <f t="shared" si="0"/>
        <v>2</v>
      </c>
      <c r="AH11" s="42"/>
      <c r="AI11" s="122">
        <f t="shared" si="6"/>
        <v>0</v>
      </c>
      <c r="AJ11" s="122">
        <v>0</v>
      </c>
      <c r="AK11" s="122">
        <f t="shared" si="8"/>
        <v>0</v>
      </c>
      <c r="AL11" s="122">
        <f t="shared" si="9"/>
        <v>0</v>
      </c>
      <c r="AM11" s="122">
        <f t="shared" si="10"/>
        <v>0</v>
      </c>
      <c r="AN11" s="122">
        <f t="shared" si="11"/>
        <v>0</v>
      </c>
      <c r="AO11" s="122">
        <f t="shared" si="12"/>
        <v>0</v>
      </c>
      <c r="AP11" s="127">
        <f t="shared" si="13"/>
        <v>0</v>
      </c>
    </row>
    <row r="12" spans="1:45" x14ac:dyDescent="0.25">
      <c r="A12" t="s">
        <v>36</v>
      </c>
      <c r="B12" s="15" t="s">
        <v>244</v>
      </c>
      <c r="C12" s="3"/>
      <c r="D12" s="3"/>
      <c r="E12" s="3"/>
      <c r="F12" s="3"/>
      <c r="G12" s="105">
        <v>0</v>
      </c>
      <c r="H12" s="73">
        <v>2</v>
      </c>
      <c r="I12" s="105">
        <v>2</v>
      </c>
      <c r="J12" s="73">
        <v>2</v>
      </c>
      <c r="K12" s="105">
        <v>2</v>
      </c>
      <c r="L12" s="73">
        <v>2</v>
      </c>
      <c r="M12" s="105">
        <v>2</v>
      </c>
      <c r="N12" s="42"/>
      <c r="O12" s="120">
        <v>0</v>
      </c>
      <c r="P12" s="120">
        <v>0</v>
      </c>
      <c r="Q12" s="120">
        <v>0</v>
      </c>
      <c r="R12" s="89">
        <v>0</v>
      </c>
      <c r="S12" s="89">
        <v>0</v>
      </c>
      <c r="T12" s="89">
        <v>0</v>
      </c>
      <c r="U12" s="89">
        <v>0</v>
      </c>
      <c r="V12" s="127">
        <f t="shared" si="2"/>
        <v>0</v>
      </c>
      <c r="X12" t="s">
        <v>36</v>
      </c>
      <c r="Y12" s="17"/>
      <c r="Z12" s="3"/>
      <c r="AA12" s="61">
        <f t="shared" si="5"/>
        <v>0</v>
      </c>
      <c r="AB12" s="61">
        <f t="shared" si="0"/>
        <v>2</v>
      </c>
      <c r="AC12" s="61">
        <f t="shared" si="0"/>
        <v>2</v>
      </c>
      <c r="AD12" s="61">
        <f t="shared" si="0"/>
        <v>2</v>
      </c>
      <c r="AE12" s="61">
        <f t="shared" si="0"/>
        <v>2</v>
      </c>
      <c r="AF12" s="61">
        <f t="shared" si="0"/>
        <v>2</v>
      </c>
      <c r="AG12" s="61">
        <f t="shared" si="0"/>
        <v>2</v>
      </c>
      <c r="AH12" s="42"/>
      <c r="AI12" s="122">
        <f t="shared" si="6"/>
        <v>0</v>
      </c>
      <c r="AJ12" s="122">
        <v>0</v>
      </c>
      <c r="AK12" s="122">
        <f t="shared" si="8"/>
        <v>0</v>
      </c>
      <c r="AL12" s="122">
        <f t="shared" si="9"/>
        <v>0</v>
      </c>
      <c r="AM12" s="122">
        <f t="shared" si="10"/>
        <v>0</v>
      </c>
      <c r="AN12" s="122">
        <f t="shared" si="11"/>
        <v>0</v>
      </c>
      <c r="AO12" s="122">
        <f t="shared" si="12"/>
        <v>0</v>
      </c>
      <c r="AP12" s="127">
        <f t="shared" si="13"/>
        <v>0</v>
      </c>
    </row>
    <row r="13" spans="1:45" x14ac:dyDescent="0.25">
      <c r="A13" t="s">
        <v>35</v>
      </c>
      <c r="B13" s="15" t="s">
        <v>51</v>
      </c>
      <c r="C13" s="3" t="s">
        <v>44</v>
      </c>
      <c r="D13" s="3" t="s">
        <v>207</v>
      </c>
      <c r="E13" s="3">
        <f>Plantilla!E14</f>
        <v>22</v>
      </c>
      <c r="F13" s="3">
        <f ca="1">Plantilla!F14</f>
        <v>96</v>
      </c>
      <c r="G13" s="105">
        <f>Plantilla!X14</f>
        <v>0</v>
      </c>
      <c r="H13" s="105">
        <f>Plantilla!Y14</f>
        <v>9.8571428571428577</v>
      </c>
      <c r="I13" s="105">
        <f>Plantilla!Z14</f>
        <v>5.7</v>
      </c>
      <c r="J13" s="105">
        <f>Plantilla!AA14</f>
        <v>14.124999999999996</v>
      </c>
      <c r="K13" s="105">
        <f>Plantilla!AB14</f>
        <v>6.2</v>
      </c>
      <c r="L13" s="105">
        <f>Plantilla!AC14</f>
        <v>7.5</v>
      </c>
      <c r="M13" s="105">
        <f>Plantilla!AD14</f>
        <v>5</v>
      </c>
      <c r="N13" s="42">
        <f>Plantilla!V14</f>
        <v>13450</v>
      </c>
      <c r="O13" s="120">
        <v>0</v>
      </c>
      <c r="P13" s="120">
        <v>36</v>
      </c>
      <c r="Q13" s="120">
        <v>10.5</v>
      </c>
      <c r="R13" s="89">
        <v>47.5</v>
      </c>
      <c r="S13" s="89">
        <v>11</v>
      </c>
      <c r="T13" s="89">
        <v>18</v>
      </c>
      <c r="U13" s="89">
        <v>3</v>
      </c>
      <c r="V13" s="127">
        <f t="shared" si="2"/>
        <v>126</v>
      </c>
      <c r="X13" t="s">
        <v>35</v>
      </c>
      <c r="Y13" s="17">
        <f t="shared" si="3"/>
        <v>23</v>
      </c>
      <c r="Z13" s="3">
        <f t="shared" ca="1" si="4"/>
        <v>37</v>
      </c>
      <c r="AA13" s="61">
        <f t="shared" si="5"/>
        <v>0</v>
      </c>
      <c r="AB13" s="61">
        <f>10+6/9</f>
        <v>10.666666666666666</v>
      </c>
      <c r="AC13" s="61">
        <f t="shared" si="0"/>
        <v>5.7</v>
      </c>
      <c r="AD13" s="61">
        <v>14</v>
      </c>
      <c r="AE13" s="61">
        <f t="shared" si="0"/>
        <v>6.2</v>
      </c>
      <c r="AF13" s="61">
        <f t="shared" si="0"/>
        <v>7.5</v>
      </c>
      <c r="AG13" s="61">
        <f t="shared" si="0"/>
        <v>5</v>
      </c>
      <c r="AH13" s="42">
        <f>(11610+300+145+150+1200)*1.016</f>
        <v>13619.48</v>
      </c>
      <c r="AI13" s="122">
        <f t="shared" si="6"/>
        <v>0</v>
      </c>
      <c r="AJ13" s="122">
        <f t="shared" si="7"/>
        <v>45</v>
      </c>
      <c r="AK13" s="122">
        <f t="shared" si="8"/>
        <v>10.5</v>
      </c>
      <c r="AL13" s="122">
        <f t="shared" si="9"/>
        <v>47.5</v>
      </c>
      <c r="AM13" s="122">
        <f t="shared" si="10"/>
        <v>11</v>
      </c>
      <c r="AN13" s="122">
        <f t="shared" si="11"/>
        <v>18</v>
      </c>
      <c r="AO13" s="122">
        <f t="shared" si="12"/>
        <v>3</v>
      </c>
      <c r="AP13" s="127">
        <f t="shared" si="13"/>
        <v>135</v>
      </c>
    </row>
    <row r="14" spans="1:45" x14ac:dyDescent="0.25">
      <c r="A14" t="s">
        <v>39</v>
      </c>
      <c r="B14" s="15" t="s">
        <v>51</v>
      </c>
      <c r="C14" s="3" t="s">
        <v>44</v>
      </c>
      <c r="D14" s="3" t="s">
        <v>340</v>
      </c>
      <c r="E14" s="3">
        <f>Plantilla!E12</f>
        <v>22</v>
      </c>
      <c r="F14" s="3">
        <f ca="1">Plantilla!F12</f>
        <v>61</v>
      </c>
      <c r="G14" s="105">
        <f>Plantilla!X12</f>
        <v>0</v>
      </c>
      <c r="H14" s="105">
        <f>Plantilla!Y12</f>
        <v>11.555555555555555</v>
      </c>
      <c r="I14" s="105">
        <f>Plantilla!Z12</f>
        <v>3</v>
      </c>
      <c r="J14" s="105">
        <f>Plantilla!AA12</f>
        <v>13</v>
      </c>
      <c r="K14" s="105">
        <f>Plantilla!AB12</f>
        <v>7.25</v>
      </c>
      <c r="L14" s="105">
        <f>Plantilla!AC12</f>
        <v>7</v>
      </c>
      <c r="M14" s="105">
        <f>Plantilla!AD12</f>
        <v>3</v>
      </c>
      <c r="N14" s="42">
        <f>Plantilla!V12</f>
        <v>9290</v>
      </c>
      <c r="O14" s="120">
        <v>0</v>
      </c>
      <c r="P14" s="120">
        <v>51</v>
      </c>
      <c r="Q14" s="120">
        <v>3</v>
      </c>
      <c r="R14" s="89">
        <v>39.5</v>
      </c>
      <c r="S14" s="89">
        <v>15</v>
      </c>
      <c r="T14" s="89">
        <v>16</v>
      </c>
      <c r="U14" s="89">
        <v>1</v>
      </c>
      <c r="V14" s="127">
        <f>SUM(O14:U14)</f>
        <v>125.5</v>
      </c>
      <c r="X14" t="s">
        <v>39</v>
      </c>
      <c r="Y14" s="17">
        <f>E14</f>
        <v>22</v>
      </c>
      <c r="Z14" s="3">
        <f ca="1">F14+(7*$AR$8)</f>
        <v>124</v>
      </c>
      <c r="AA14" s="61">
        <f t="shared" si="5"/>
        <v>0</v>
      </c>
      <c r="AB14" s="61">
        <f>12+2/11</f>
        <v>12.181818181818182</v>
      </c>
      <c r="AC14" s="61">
        <f t="shared" si="0"/>
        <v>3</v>
      </c>
      <c r="AD14" s="61">
        <f>12+5/6</f>
        <v>12.833333333333334</v>
      </c>
      <c r="AE14" s="61">
        <f t="shared" si="0"/>
        <v>7.25</v>
      </c>
      <c r="AF14" s="61">
        <f t="shared" si="0"/>
        <v>7</v>
      </c>
      <c r="AG14" s="61">
        <f t="shared" si="0"/>
        <v>3</v>
      </c>
      <c r="AH14" s="42">
        <f>(7000+165+125+245+3505)*1.012</f>
        <v>11172.48</v>
      </c>
      <c r="AI14" s="122">
        <f t="shared" si="6"/>
        <v>0</v>
      </c>
      <c r="AJ14" s="122">
        <f t="shared" si="7"/>
        <v>60</v>
      </c>
      <c r="AK14" s="122">
        <f t="shared" si="8"/>
        <v>3</v>
      </c>
      <c r="AL14" s="122">
        <f t="shared" si="9"/>
        <v>39.5</v>
      </c>
      <c r="AM14" s="122">
        <f t="shared" si="10"/>
        <v>15</v>
      </c>
      <c r="AN14" s="122">
        <f t="shared" si="11"/>
        <v>16</v>
      </c>
      <c r="AO14" s="122">
        <f t="shared" si="12"/>
        <v>1</v>
      </c>
      <c r="AP14" s="127">
        <f>SUM(AI14:AO14)</f>
        <v>134.5</v>
      </c>
    </row>
    <row r="15" spans="1:45" x14ac:dyDescent="0.25">
      <c r="A15" t="s">
        <v>33</v>
      </c>
      <c r="B15" s="15" t="s">
        <v>51</v>
      </c>
      <c r="C15" s="3" t="s">
        <v>192</v>
      </c>
      <c r="D15" s="3" t="s">
        <v>209</v>
      </c>
      <c r="E15" s="3">
        <f>Plantilla!E15</f>
        <v>22</v>
      </c>
      <c r="F15" s="3">
        <f ca="1">Plantilla!F15</f>
        <v>96</v>
      </c>
      <c r="G15" s="105">
        <f>Plantilla!X15</f>
        <v>0</v>
      </c>
      <c r="H15" s="105">
        <f>Plantilla!Y15</f>
        <v>10.25</v>
      </c>
      <c r="I15" s="105">
        <f>Plantilla!Z15</f>
        <v>5</v>
      </c>
      <c r="J15" s="105">
        <f>Plantilla!AA15</f>
        <v>13.19</v>
      </c>
      <c r="K15" s="105">
        <f>Plantilla!AB15</f>
        <v>5.25</v>
      </c>
      <c r="L15" s="105">
        <f>Plantilla!AC15</f>
        <v>7.8016666666666676</v>
      </c>
      <c r="M15" s="105">
        <f>Plantilla!AD15</f>
        <v>3</v>
      </c>
      <c r="N15" s="42">
        <f>Plantilla!V15</f>
        <v>9050</v>
      </c>
      <c r="O15" s="120">
        <v>0</v>
      </c>
      <c r="P15" s="120">
        <v>39</v>
      </c>
      <c r="Q15" s="120">
        <v>9</v>
      </c>
      <c r="R15" s="89">
        <v>39.880000000000003</v>
      </c>
      <c r="S15" s="89">
        <v>8</v>
      </c>
      <c r="T15" s="89">
        <v>19</v>
      </c>
      <c r="U15" s="89">
        <v>1</v>
      </c>
      <c r="V15" s="127">
        <f>SUM(O15:U15)</f>
        <v>115.88</v>
      </c>
      <c r="X15" t="s">
        <v>33</v>
      </c>
      <c r="Y15" s="17">
        <f t="shared" si="3"/>
        <v>23</v>
      </c>
      <c r="Z15" s="3">
        <f t="shared" ca="1" si="4"/>
        <v>37</v>
      </c>
      <c r="AA15" s="61">
        <f t="shared" si="5"/>
        <v>0</v>
      </c>
      <c r="AB15" s="61">
        <f>11+1/10</f>
        <v>11.1</v>
      </c>
      <c r="AC15" s="61">
        <f t="shared" si="0"/>
        <v>5</v>
      </c>
      <c r="AD15" s="61">
        <f>13+2/6</f>
        <v>13.333333333333334</v>
      </c>
      <c r="AE15" s="61">
        <f t="shared" si="0"/>
        <v>5.25</v>
      </c>
      <c r="AF15" s="61">
        <f t="shared" si="0"/>
        <v>7.8016666666666676</v>
      </c>
      <c r="AG15" s="61">
        <f t="shared" si="0"/>
        <v>3</v>
      </c>
      <c r="AH15" s="42">
        <f>(9000+135+135+350+3900)*1.012</f>
        <v>13682.24</v>
      </c>
      <c r="AI15" s="122">
        <f t="shared" si="6"/>
        <v>0</v>
      </c>
      <c r="AJ15" s="122">
        <f t="shared" si="7"/>
        <v>48</v>
      </c>
      <c r="AK15" s="122">
        <f t="shared" si="8"/>
        <v>9</v>
      </c>
      <c r="AL15" s="122">
        <f t="shared" si="9"/>
        <v>39.880000000000003</v>
      </c>
      <c r="AM15" s="122">
        <f t="shared" si="10"/>
        <v>8</v>
      </c>
      <c r="AN15" s="122">
        <f t="shared" si="11"/>
        <v>19</v>
      </c>
      <c r="AO15" s="122">
        <f t="shared" si="12"/>
        <v>1</v>
      </c>
      <c r="AP15" s="127">
        <f>SUM(AI15:AO15)</f>
        <v>124.88</v>
      </c>
    </row>
    <row r="16" spans="1:45" x14ac:dyDescent="0.25">
      <c r="A16" t="s">
        <v>41</v>
      </c>
      <c r="B16" s="15" t="s">
        <v>43</v>
      </c>
      <c r="C16" s="3"/>
      <c r="D16" s="3"/>
      <c r="E16" s="3"/>
      <c r="F16" s="3"/>
      <c r="G16" s="105">
        <v>0</v>
      </c>
      <c r="H16" s="73">
        <v>2</v>
      </c>
      <c r="I16" s="105">
        <v>2</v>
      </c>
      <c r="J16" s="73">
        <v>2</v>
      </c>
      <c r="K16" s="105">
        <v>2</v>
      </c>
      <c r="L16" s="73">
        <v>2</v>
      </c>
      <c r="M16" s="105">
        <v>2</v>
      </c>
      <c r="N16" s="42"/>
      <c r="O16" s="120">
        <v>0</v>
      </c>
      <c r="P16" s="120">
        <v>0</v>
      </c>
      <c r="Q16" s="120">
        <v>0</v>
      </c>
      <c r="R16" s="89">
        <v>0</v>
      </c>
      <c r="S16" s="89">
        <v>0</v>
      </c>
      <c r="T16" s="89">
        <v>0</v>
      </c>
      <c r="U16" s="89">
        <v>0</v>
      </c>
      <c r="V16" s="127">
        <f>SUM(O16:U16)</f>
        <v>0</v>
      </c>
      <c r="X16" t="s">
        <v>41</v>
      </c>
      <c r="Y16" s="3"/>
      <c r="Z16" s="3"/>
      <c r="AA16" s="61">
        <f t="shared" si="5"/>
        <v>0</v>
      </c>
      <c r="AB16" s="61">
        <f t="shared" si="0"/>
        <v>2</v>
      </c>
      <c r="AC16" s="61">
        <f t="shared" si="0"/>
        <v>2</v>
      </c>
      <c r="AD16" s="61">
        <f t="shared" si="0"/>
        <v>2</v>
      </c>
      <c r="AE16" s="61">
        <f t="shared" si="0"/>
        <v>2</v>
      </c>
      <c r="AF16" s="61">
        <f t="shared" si="0"/>
        <v>2</v>
      </c>
      <c r="AG16" s="61">
        <f t="shared" si="0"/>
        <v>2</v>
      </c>
      <c r="AH16" s="42"/>
      <c r="AI16" s="122">
        <f t="shared" si="6"/>
        <v>0</v>
      </c>
      <c r="AJ16" s="122">
        <v>0</v>
      </c>
      <c r="AK16" s="122">
        <f t="shared" si="8"/>
        <v>0</v>
      </c>
      <c r="AL16" s="122">
        <f t="shared" si="9"/>
        <v>0</v>
      </c>
      <c r="AM16" s="122">
        <f t="shared" si="10"/>
        <v>0</v>
      </c>
      <c r="AN16" s="122">
        <f t="shared" si="11"/>
        <v>0</v>
      </c>
      <c r="AO16" s="122">
        <f t="shared" si="12"/>
        <v>0</v>
      </c>
      <c r="AP16" s="127">
        <f>SUM(AI16:AO16)</f>
        <v>0</v>
      </c>
    </row>
    <row r="17" spans="1:45" x14ac:dyDescent="0.25">
      <c r="A17" t="s">
        <v>45</v>
      </c>
      <c r="B17" s="15" t="s">
        <v>43</v>
      </c>
      <c r="C17" s="3"/>
      <c r="D17" s="3"/>
      <c r="E17" s="3"/>
      <c r="F17" s="3"/>
      <c r="G17" s="105">
        <v>0</v>
      </c>
      <c r="H17" s="73">
        <v>2</v>
      </c>
      <c r="I17" s="105">
        <v>2</v>
      </c>
      <c r="J17" s="73">
        <v>2</v>
      </c>
      <c r="K17" s="105">
        <v>2</v>
      </c>
      <c r="L17" s="73">
        <v>2</v>
      </c>
      <c r="M17" s="105">
        <v>2</v>
      </c>
      <c r="N17" s="42"/>
      <c r="O17" s="120">
        <v>0</v>
      </c>
      <c r="P17" s="120">
        <v>0</v>
      </c>
      <c r="Q17" s="120">
        <v>0</v>
      </c>
      <c r="R17" s="89">
        <v>0</v>
      </c>
      <c r="S17" s="89">
        <v>0</v>
      </c>
      <c r="T17" s="89">
        <v>0</v>
      </c>
      <c r="U17" s="89">
        <v>0</v>
      </c>
      <c r="V17" s="127">
        <f>SUM(O17:U17)</f>
        <v>0</v>
      </c>
      <c r="X17" t="s">
        <v>45</v>
      </c>
      <c r="Y17" s="3"/>
      <c r="Z17" s="3"/>
      <c r="AA17" s="61">
        <f t="shared" si="5"/>
        <v>0</v>
      </c>
      <c r="AB17" s="61">
        <f t="shared" si="0"/>
        <v>2</v>
      </c>
      <c r="AC17" s="61">
        <f t="shared" si="0"/>
        <v>2</v>
      </c>
      <c r="AD17" s="61">
        <f t="shared" si="0"/>
        <v>2</v>
      </c>
      <c r="AE17" s="61">
        <f t="shared" si="0"/>
        <v>2</v>
      </c>
      <c r="AF17" s="61">
        <f t="shared" si="0"/>
        <v>2</v>
      </c>
      <c r="AG17" s="61">
        <f t="shared" si="0"/>
        <v>2</v>
      </c>
      <c r="AH17" s="42"/>
      <c r="AI17" s="122">
        <f t="shared" si="6"/>
        <v>0</v>
      </c>
      <c r="AJ17" s="122">
        <v>0</v>
      </c>
      <c r="AK17" s="122">
        <f t="shared" si="8"/>
        <v>0</v>
      </c>
      <c r="AL17" s="122">
        <f t="shared" si="9"/>
        <v>0</v>
      </c>
      <c r="AM17" s="122">
        <f t="shared" si="10"/>
        <v>0</v>
      </c>
      <c r="AN17" s="122">
        <f t="shared" si="11"/>
        <v>0</v>
      </c>
      <c r="AO17" s="122">
        <f t="shared" si="12"/>
        <v>0</v>
      </c>
      <c r="AP17" s="127">
        <f>SUM(AI17:AO17)</f>
        <v>0</v>
      </c>
    </row>
    <row r="18" spans="1:45" x14ac:dyDescent="0.25">
      <c r="A18" t="s">
        <v>210</v>
      </c>
      <c r="B18" s="15" t="s">
        <v>43</v>
      </c>
      <c r="C18" s="3"/>
      <c r="D18" s="3"/>
      <c r="E18" s="3"/>
      <c r="F18" s="3"/>
      <c r="G18" s="105">
        <v>0</v>
      </c>
      <c r="H18" s="73">
        <v>2</v>
      </c>
      <c r="I18" s="105">
        <v>2</v>
      </c>
      <c r="J18" s="73">
        <v>2</v>
      </c>
      <c r="K18" s="105">
        <v>2</v>
      </c>
      <c r="L18" s="73">
        <v>2</v>
      </c>
      <c r="M18" s="105">
        <v>2</v>
      </c>
      <c r="N18" s="42"/>
      <c r="O18" s="120">
        <v>0</v>
      </c>
      <c r="P18" s="120">
        <v>0</v>
      </c>
      <c r="Q18" s="120">
        <v>0</v>
      </c>
      <c r="R18" s="89">
        <v>0</v>
      </c>
      <c r="S18" s="89">
        <v>0</v>
      </c>
      <c r="T18" s="89">
        <v>0</v>
      </c>
      <c r="U18" s="89">
        <v>0</v>
      </c>
      <c r="V18" s="127">
        <f>SUM(O18:U18)</f>
        <v>0</v>
      </c>
      <c r="X18" t="s">
        <v>210</v>
      </c>
      <c r="Y18" s="3"/>
      <c r="Z18" s="3"/>
      <c r="AA18" s="61">
        <f t="shared" si="5"/>
        <v>0</v>
      </c>
      <c r="AB18" s="61">
        <f t="shared" si="0"/>
        <v>2</v>
      </c>
      <c r="AC18" s="61">
        <f t="shared" si="0"/>
        <v>2</v>
      </c>
      <c r="AD18" s="61">
        <f t="shared" si="0"/>
        <v>2</v>
      </c>
      <c r="AE18" s="61">
        <f t="shared" si="0"/>
        <v>2</v>
      </c>
      <c r="AF18" s="61">
        <f t="shared" si="0"/>
        <v>2</v>
      </c>
      <c r="AG18" s="61">
        <f t="shared" si="0"/>
        <v>2</v>
      </c>
      <c r="AH18" s="42"/>
      <c r="AI18" s="122">
        <f t="shared" si="6"/>
        <v>0</v>
      </c>
      <c r="AJ18" s="122">
        <v>0</v>
      </c>
      <c r="AK18" s="122">
        <f t="shared" si="8"/>
        <v>0</v>
      </c>
      <c r="AL18" s="122">
        <f t="shared" si="9"/>
        <v>0</v>
      </c>
      <c r="AM18" s="122">
        <f t="shared" si="10"/>
        <v>0</v>
      </c>
      <c r="AN18" s="122">
        <f t="shared" si="11"/>
        <v>0</v>
      </c>
      <c r="AO18" s="122">
        <f t="shared" si="12"/>
        <v>0</v>
      </c>
      <c r="AP18" s="127">
        <f>SUM(AI18:AO18)</f>
        <v>0</v>
      </c>
    </row>
    <row r="19" spans="1:45" x14ac:dyDescent="0.25">
      <c r="N19" s="90">
        <f>SUM(N21:N35)</f>
        <v>256852.38000000009</v>
      </c>
      <c r="AH19" s="90">
        <f>SUM(AH21:AH35)</f>
        <v>265456.36499999999</v>
      </c>
    </row>
    <row r="20" spans="1:45" x14ac:dyDescent="0.25">
      <c r="A20" s="10" t="s">
        <v>96</v>
      </c>
      <c r="B20" s="10" t="s">
        <v>2</v>
      </c>
      <c r="C20" s="10" t="s">
        <v>64</v>
      </c>
      <c r="D20" s="10" t="str">
        <f>D2</f>
        <v>Nombre</v>
      </c>
      <c r="E20" s="10" t="str">
        <f>E2</f>
        <v>Año</v>
      </c>
      <c r="F20" s="10" t="str">
        <f>F2</f>
        <v>Dia</v>
      </c>
      <c r="G20" s="10" t="s">
        <v>15</v>
      </c>
      <c r="H20" s="10" t="s">
        <v>16</v>
      </c>
      <c r="I20" s="10" t="s">
        <v>17</v>
      </c>
      <c r="J20" s="10" t="s">
        <v>18</v>
      </c>
      <c r="K20" s="10" t="s">
        <v>19</v>
      </c>
      <c r="L20" s="10" t="s">
        <v>20</v>
      </c>
      <c r="M20" s="10" t="s">
        <v>6</v>
      </c>
      <c r="N20" s="10" t="s">
        <v>50</v>
      </c>
      <c r="O20" s="10" t="s">
        <v>199</v>
      </c>
      <c r="P20" s="10" t="s">
        <v>200</v>
      </c>
      <c r="Q20" s="10" t="s">
        <v>201</v>
      </c>
      <c r="R20" s="10" t="s">
        <v>202</v>
      </c>
      <c r="S20" s="10" t="s">
        <v>203</v>
      </c>
      <c r="T20" s="10" t="s">
        <v>204</v>
      </c>
      <c r="U20" s="10" t="s">
        <v>205</v>
      </c>
      <c r="V20" s="10" t="s">
        <v>206</v>
      </c>
      <c r="X20" s="10" t="s">
        <v>96</v>
      </c>
      <c r="Y20" s="10" t="str">
        <f>Y2</f>
        <v>Año</v>
      </c>
      <c r="Z20" s="10" t="str">
        <f>Z2</f>
        <v>Dia</v>
      </c>
      <c r="AA20" s="10" t="s">
        <v>15</v>
      </c>
      <c r="AB20" s="10" t="s">
        <v>16</v>
      </c>
      <c r="AC20" s="10" t="s">
        <v>17</v>
      </c>
      <c r="AD20" s="10" t="s">
        <v>18</v>
      </c>
      <c r="AE20" s="10" t="s">
        <v>19</v>
      </c>
      <c r="AF20" s="10" t="s">
        <v>20</v>
      </c>
      <c r="AG20" s="10" t="s">
        <v>6</v>
      </c>
      <c r="AH20" s="10" t="s">
        <v>50</v>
      </c>
      <c r="AI20" s="10" t="s">
        <v>199</v>
      </c>
      <c r="AJ20" s="10" t="s">
        <v>200</v>
      </c>
      <c r="AK20" s="10" t="s">
        <v>201</v>
      </c>
      <c r="AL20" s="10" t="s">
        <v>202</v>
      </c>
      <c r="AM20" s="10" t="s">
        <v>203</v>
      </c>
      <c r="AN20" s="10" t="s">
        <v>204</v>
      </c>
      <c r="AO20" s="10" t="s">
        <v>205</v>
      </c>
      <c r="AP20" s="10" t="s">
        <v>206</v>
      </c>
    </row>
    <row r="21" spans="1:45" x14ac:dyDescent="0.25">
      <c r="A21" t="s">
        <v>28</v>
      </c>
      <c r="B21" s="15" t="s">
        <v>27</v>
      </c>
      <c r="C21" s="17"/>
      <c r="D21" s="17" t="str">
        <f t="shared" ref="D21:D22" si="14">D3</f>
        <v>C. Fonteboa</v>
      </c>
      <c r="E21" s="17">
        <f t="shared" ref="E21" si="15">Y3</f>
        <v>23</v>
      </c>
      <c r="F21" s="17">
        <f t="shared" ref="F21" ca="1" si="16">Z3</f>
        <v>48</v>
      </c>
      <c r="G21" s="61">
        <f t="shared" ref="G21" si="17">AA3</f>
        <v>15</v>
      </c>
      <c r="H21" s="61">
        <f t="shared" ref="H21" si="18">AB3</f>
        <v>11.6</v>
      </c>
      <c r="I21" s="61">
        <f t="shared" ref="I21" si="19">AC3</f>
        <v>0</v>
      </c>
      <c r="J21" s="61">
        <f t="shared" ref="J21" si="20">AD3</f>
        <v>0</v>
      </c>
      <c r="K21" s="61">
        <f t="shared" ref="K21" si="21">AE3</f>
        <v>0</v>
      </c>
      <c r="L21" s="61">
        <f t="shared" ref="L21" si="22">AF3</f>
        <v>1</v>
      </c>
      <c r="M21" s="61">
        <f t="shared" ref="M21" si="23">AG3</f>
        <v>1</v>
      </c>
      <c r="N21" s="42">
        <f>AH3</f>
        <v>26782.560000000001</v>
      </c>
      <c r="O21" s="120">
        <f>AI3</f>
        <v>51.5</v>
      </c>
      <c r="P21" s="123">
        <f t="shared" ref="P21:U21" si="24">AJ3</f>
        <v>58</v>
      </c>
      <c r="Q21" s="123">
        <f t="shared" si="24"/>
        <v>0</v>
      </c>
      <c r="R21" s="123">
        <f t="shared" si="24"/>
        <v>0</v>
      </c>
      <c r="S21" s="123">
        <f t="shared" si="24"/>
        <v>0</v>
      </c>
      <c r="T21" s="123">
        <f t="shared" si="24"/>
        <v>0</v>
      </c>
      <c r="U21" s="123">
        <f t="shared" si="24"/>
        <v>0</v>
      </c>
      <c r="V21" s="48">
        <f>SUM(O21:U21)</f>
        <v>109.5</v>
      </c>
      <c r="X21" t="s">
        <v>28</v>
      </c>
      <c r="Y21" s="17">
        <f>E21+2</f>
        <v>25</v>
      </c>
      <c r="Z21" s="17">
        <f ca="1">F21+(($AR$25+$AR$26)*7)-112-112</f>
        <v>27</v>
      </c>
      <c r="AA21" s="61">
        <f>G21</f>
        <v>15</v>
      </c>
      <c r="AB21" s="61">
        <f>H21</f>
        <v>11.6</v>
      </c>
      <c r="AC21" s="61">
        <f t="shared" ref="AC21:AF22" si="25">I21</f>
        <v>0</v>
      </c>
      <c r="AD21" s="61">
        <f t="shared" si="25"/>
        <v>0</v>
      </c>
      <c r="AE21" s="61">
        <f t="shared" si="25"/>
        <v>0</v>
      </c>
      <c r="AF21" s="61">
        <f t="shared" si="25"/>
        <v>1</v>
      </c>
      <c r="AG21" s="61">
        <v>13.5</v>
      </c>
      <c r="AH21" s="42">
        <f>(24270+2300)*1.038</f>
        <v>27579.66</v>
      </c>
      <c r="AI21" s="120">
        <f>O21</f>
        <v>51.5</v>
      </c>
      <c r="AJ21" s="123">
        <f>P21</f>
        <v>58</v>
      </c>
      <c r="AK21" s="120">
        <f t="shared" ref="AK21:AN36" si="26">Q21</f>
        <v>0</v>
      </c>
      <c r="AL21" s="120">
        <f t="shared" si="26"/>
        <v>0</v>
      </c>
      <c r="AM21" s="120">
        <f t="shared" si="26"/>
        <v>0</v>
      </c>
      <c r="AN21" s="120">
        <f t="shared" si="26"/>
        <v>0</v>
      </c>
      <c r="AO21" s="120">
        <f>U21+$AR$26</f>
        <v>15</v>
      </c>
      <c r="AP21" s="48">
        <f>SUM(AI21:AO21)</f>
        <v>124.5</v>
      </c>
    </row>
    <row r="22" spans="1:45" x14ac:dyDescent="0.25">
      <c r="A22" t="s">
        <v>31</v>
      </c>
      <c r="B22" s="15" t="s">
        <v>29</v>
      </c>
      <c r="C22" s="17"/>
      <c r="D22" s="17" t="str">
        <f t="shared" si="14"/>
        <v>M. Fernandez</v>
      </c>
      <c r="E22" s="17">
        <f t="shared" ref="E22:F22" si="27">Y4</f>
        <v>23</v>
      </c>
      <c r="F22" s="17">
        <f t="shared" ca="1" si="27"/>
        <v>45</v>
      </c>
      <c r="G22" s="61">
        <f t="shared" ref="G22:G34" si="28">AA4</f>
        <v>0</v>
      </c>
      <c r="H22" s="61">
        <f t="shared" ref="H22:H34" si="29">AB4</f>
        <v>15.166666666666666</v>
      </c>
      <c r="I22" s="61">
        <f t="shared" ref="I22:I33" si="30">AC4</f>
        <v>5</v>
      </c>
      <c r="J22" s="61">
        <f t="shared" ref="J22:J33" si="31">AD4</f>
        <v>5.2</v>
      </c>
      <c r="K22" s="61">
        <f t="shared" ref="K22:K33" si="32">AE4</f>
        <v>6</v>
      </c>
      <c r="L22" s="61">
        <f t="shared" ref="L22:L33" si="33">AF4</f>
        <v>2</v>
      </c>
      <c r="M22" s="61">
        <f t="shared" ref="M22:M33" si="34">AG4</f>
        <v>1</v>
      </c>
      <c r="N22" s="42">
        <f t="shared" ref="N22:N33" si="35">AH4</f>
        <v>28513.599999999999</v>
      </c>
      <c r="O22" s="123">
        <f t="shared" ref="O22:O33" si="36">AI4</f>
        <v>0</v>
      </c>
      <c r="P22" s="123">
        <f t="shared" ref="P22:P33" si="37">AJ4</f>
        <v>104</v>
      </c>
      <c r="Q22" s="123">
        <f t="shared" ref="Q22:Q33" si="38">AK4</f>
        <v>9</v>
      </c>
      <c r="R22" s="123">
        <f t="shared" ref="R22:R33" si="39">AL4</f>
        <v>6</v>
      </c>
      <c r="S22" s="123">
        <f t="shared" ref="S22:S33" si="40">AM4</f>
        <v>10</v>
      </c>
      <c r="T22" s="123">
        <f t="shared" ref="T22:T33" si="41">AN4</f>
        <v>0</v>
      </c>
      <c r="U22" s="123">
        <f t="shared" ref="U22:U33" si="42">AO4</f>
        <v>0</v>
      </c>
      <c r="V22" s="48">
        <f>SUM(O22:U22)</f>
        <v>129</v>
      </c>
      <c r="X22" t="s">
        <v>31</v>
      </c>
      <c r="Y22" s="17">
        <f>E22+1</f>
        <v>24</v>
      </c>
      <c r="Z22" s="17">
        <f ca="1">F22+(($AR$25+$AR$26)*7)-112</f>
        <v>136</v>
      </c>
      <c r="AA22" s="61">
        <f>G22</f>
        <v>0</v>
      </c>
      <c r="AB22" s="61">
        <f t="shared" ref="AB22:AB33" si="43">H22</f>
        <v>15.166666666666666</v>
      </c>
      <c r="AC22" s="61">
        <f t="shared" si="25"/>
        <v>5</v>
      </c>
      <c r="AD22" s="61">
        <f t="shared" si="25"/>
        <v>5.2</v>
      </c>
      <c r="AE22" s="61">
        <f>8+3/5</f>
        <v>8.6</v>
      </c>
      <c r="AF22" s="61">
        <f t="shared" si="25"/>
        <v>2</v>
      </c>
      <c r="AG22" s="61">
        <v>13.5</v>
      </c>
      <c r="AH22" s="42">
        <f>(28000+135+140+135)*1.038</f>
        <v>29489.58</v>
      </c>
      <c r="AI22" s="120">
        <f t="shared" ref="AI22:AJ36" si="44">O22</f>
        <v>0</v>
      </c>
      <c r="AJ22" s="123">
        <f t="shared" ref="AJ22:AJ33" si="45">P22</f>
        <v>104</v>
      </c>
      <c r="AK22" s="120">
        <f t="shared" si="26"/>
        <v>9</v>
      </c>
      <c r="AL22" s="120">
        <f t="shared" si="26"/>
        <v>6</v>
      </c>
      <c r="AM22" s="120">
        <f>S22+$AR$25</f>
        <v>24</v>
      </c>
      <c r="AN22" s="120">
        <f t="shared" si="26"/>
        <v>0</v>
      </c>
      <c r="AO22" s="123">
        <f t="shared" ref="AO22:AO36" si="46">U22+$AR$26</f>
        <v>15</v>
      </c>
      <c r="AP22" s="48">
        <f>SUM(AI22:AO22)</f>
        <v>158</v>
      </c>
    </row>
    <row r="23" spans="1:45" x14ac:dyDescent="0.25">
      <c r="A23" t="s">
        <v>32</v>
      </c>
      <c r="B23" s="15" t="s">
        <v>29</v>
      </c>
      <c r="C23" s="17"/>
      <c r="D23" s="17" t="str">
        <f t="shared" ref="D23:D25" si="47">D5</f>
        <v>B. Abandero</v>
      </c>
      <c r="E23" s="17">
        <f t="shared" ref="E23:F23" si="48">Y5</f>
        <v>24</v>
      </c>
      <c r="F23" s="17">
        <f t="shared" ca="1" si="48"/>
        <v>-36</v>
      </c>
      <c r="G23" s="61">
        <f t="shared" si="28"/>
        <v>0</v>
      </c>
      <c r="H23" s="61">
        <f t="shared" si="29"/>
        <v>13.416666666666666</v>
      </c>
      <c r="I23" s="61">
        <f t="shared" si="30"/>
        <v>3</v>
      </c>
      <c r="J23" s="61">
        <f t="shared" si="31"/>
        <v>7.083333333333333</v>
      </c>
      <c r="K23" s="61">
        <f t="shared" si="32"/>
        <v>10.125</v>
      </c>
      <c r="L23" s="61">
        <f t="shared" si="33"/>
        <v>3</v>
      </c>
      <c r="M23" s="61">
        <f t="shared" si="34"/>
        <v>2</v>
      </c>
      <c r="N23" s="42">
        <f t="shared" si="35"/>
        <v>13492.08</v>
      </c>
      <c r="O23" s="123">
        <f t="shared" si="36"/>
        <v>0</v>
      </c>
      <c r="P23" s="123">
        <f t="shared" si="37"/>
        <v>77</v>
      </c>
      <c r="Q23" s="123">
        <f t="shared" si="38"/>
        <v>3</v>
      </c>
      <c r="R23" s="123">
        <f t="shared" si="39"/>
        <v>11.5</v>
      </c>
      <c r="S23" s="123">
        <f t="shared" si="40"/>
        <v>30</v>
      </c>
      <c r="T23" s="123">
        <f t="shared" si="41"/>
        <v>2</v>
      </c>
      <c r="U23" s="123">
        <f t="shared" si="42"/>
        <v>0</v>
      </c>
      <c r="V23" s="48">
        <f>SUM(O23:U23)</f>
        <v>123.5</v>
      </c>
      <c r="X23" t="s">
        <v>32</v>
      </c>
      <c r="Y23" s="17">
        <f>E23+2</f>
        <v>26</v>
      </c>
      <c r="Z23" s="17">
        <f ca="1">F23+(($AR$25+$AR$26)*7)-112-112</f>
        <v>-57</v>
      </c>
      <c r="AA23" s="61">
        <f t="shared" ref="AA23:AA36" si="49">G23</f>
        <v>0</v>
      </c>
      <c r="AB23" s="61">
        <f t="shared" si="43"/>
        <v>13.416666666666666</v>
      </c>
      <c r="AC23" s="61">
        <f t="shared" ref="AC23:AC36" si="50">I23</f>
        <v>3</v>
      </c>
      <c r="AD23" s="61">
        <f t="shared" ref="AD23:AD36" si="51">J23</f>
        <v>7.083333333333333</v>
      </c>
      <c r="AE23" s="61">
        <v>12</v>
      </c>
      <c r="AF23" s="61">
        <f t="shared" ref="AF23:AF36" si="52">L23</f>
        <v>3</v>
      </c>
      <c r="AG23" s="61">
        <v>13.5</v>
      </c>
      <c r="AH23" s="42">
        <f>(195+13000+515)*1.038</f>
        <v>14230.98</v>
      </c>
      <c r="AI23" s="120">
        <f t="shared" si="44"/>
        <v>0</v>
      </c>
      <c r="AJ23" s="123">
        <f t="shared" si="45"/>
        <v>77</v>
      </c>
      <c r="AK23" s="120">
        <f t="shared" si="26"/>
        <v>3</v>
      </c>
      <c r="AL23" s="120">
        <f t="shared" si="26"/>
        <v>11.5</v>
      </c>
      <c r="AM23" s="123">
        <f t="shared" ref="AM23:AM36" si="53">S23+$AR$25</f>
        <v>44</v>
      </c>
      <c r="AN23" s="120">
        <f t="shared" si="26"/>
        <v>2</v>
      </c>
      <c r="AO23" s="123">
        <f t="shared" si="46"/>
        <v>15</v>
      </c>
      <c r="AP23" s="48">
        <f>SUM(AI23:AO23)</f>
        <v>152.5</v>
      </c>
      <c r="AQ23" s="106"/>
    </row>
    <row r="24" spans="1:45" x14ac:dyDescent="0.25">
      <c r="A24" t="s">
        <v>38</v>
      </c>
      <c r="B24" s="15" t="s">
        <v>29</v>
      </c>
      <c r="C24" s="3"/>
      <c r="D24" s="17" t="str">
        <f t="shared" si="47"/>
        <v>I. R. Figueroa</v>
      </c>
      <c r="E24" s="17">
        <f t="shared" ref="E24:E25" si="54">Y6</f>
        <v>23</v>
      </c>
      <c r="F24" s="17">
        <f t="shared" ref="F24:F25" ca="1" si="55">Z6</f>
        <v>26</v>
      </c>
      <c r="G24" s="61">
        <f t="shared" si="28"/>
        <v>0</v>
      </c>
      <c r="H24" s="61">
        <f t="shared" si="29"/>
        <v>15.166666666666666</v>
      </c>
      <c r="I24" s="61">
        <f t="shared" si="30"/>
        <v>5</v>
      </c>
      <c r="J24" s="61">
        <f t="shared" si="31"/>
        <v>7</v>
      </c>
      <c r="K24" s="61">
        <f t="shared" si="32"/>
        <v>5.25</v>
      </c>
      <c r="L24" s="61">
        <f t="shared" si="33"/>
        <v>1</v>
      </c>
      <c r="M24" s="61">
        <f t="shared" si="34"/>
        <v>0</v>
      </c>
      <c r="N24" s="42">
        <f t="shared" si="35"/>
        <v>28513.599999999999</v>
      </c>
      <c r="O24" s="123">
        <f t="shared" si="36"/>
        <v>0</v>
      </c>
      <c r="P24" s="123">
        <f t="shared" si="37"/>
        <v>103</v>
      </c>
      <c r="Q24" s="123">
        <f t="shared" si="38"/>
        <v>9</v>
      </c>
      <c r="R24" s="123">
        <f t="shared" si="39"/>
        <v>10.5</v>
      </c>
      <c r="S24" s="123">
        <f t="shared" si="40"/>
        <v>8</v>
      </c>
      <c r="T24" s="123">
        <f t="shared" si="41"/>
        <v>0</v>
      </c>
      <c r="U24" s="123">
        <f t="shared" si="42"/>
        <v>0</v>
      </c>
      <c r="V24" s="48">
        <f>SUM(O24:U24)</f>
        <v>130.5</v>
      </c>
      <c r="X24" t="s">
        <v>38</v>
      </c>
      <c r="Y24" s="17">
        <f t="shared" ref="Y24" si="56">E24+1</f>
        <v>24</v>
      </c>
      <c r="Z24" s="17">
        <f t="shared" ref="Z24" ca="1" si="57">F24+(($AR$25+$AR$26)*7)-112</f>
        <v>117</v>
      </c>
      <c r="AA24" s="61">
        <f t="shared" si="49"/>
        <v>0</v>
      </c>
      <c r="AB24" s="61">
        <f t="shared" si="43"/>
        <v>15.166666666666666</v>
      </c>
      <c r="AC24" s="61">
        <f t="shared" si="50"/>
        <v>5</v>
      </c>
      <c r="AD24" s="61">
        <f t="shared" si="51"/>
        <v>7</v>
      </c>
      <c r="AE24" s="61">
        <f>8+3/5</f>
        <v>8.6</v>
      </c>
      <c r="AF24" s="61">
        <f t="shared" si="52"/>
        <v>1</v>
      </c>
      <c r="AG24" s="61">
        <v>13.5</v>
      </c>
      <c r="AH24" s="42">
        <f>(28000+135+145+135)*1.038</f>
        <v>29494.77</v>
      </c>
      <c r="AI24" s="120">
        <f t="shared" si="44"/>
        <v>0</v>
      </c>
      <c r="AJ24" s="123">
        <f t="shared" si="45"/>
        <v>103</v>
      </c>
      <c r="AK24" s="120">
        <f t="shared" si="26"/>
        <v>9</v>
      </c>
      <c r="AL24" s="120">
        <f t="shared" si="26"/>
        <v>10.5</v>
      </c>
      <c r="AM24" s="123">
        <f t="shared" si="53"/>
        <v>22</v>
      </c>
      <c r="AN24" s="120">
        <f t="shared" si="26"/>
        <v>0</v>
      </c>
      <c r="AO24" s="123">
        <f t="shared" si="46"/>
        <v>15</v>
      </c>
      <c r="AP24" s="48">
        <f>SUM(AI24:AO24)</f>
        <v>159.5</v>
      </c>
      <c r="AQ24" s="106"/>
      <c r="AR24" s="106" t="s">
        <v>242</v>
      </c>
      <c r="AS24" s="106" t="s">
        <v>243</v>
      </c>
    </row>
    <row r="25" spans="1:45" x14ac:dyDescent="0.25">
      <c r="A25" t="s">
        <v>40</v>
      </c>
      <c r="B25" s="15" t="s">
        <v>29</v>
      </c>
      <c r="C25" s="3"/>
      <c r="D25" s="17" t="str">
        <f t="shared" si="47"/>
        <v>G. Pedrajas</v>
      </c>
      <c r="E25" s="17">
        <f t="shared" si="54"/>
        <v>24</v>
      </c>
      <c r="F25" s="17">
        <f t="shared" ca="1" si="55"/>
        <v>-51</v>
      </c>
      <c r="G25" s="61">
        <f t="shared" si="28"/>
        <v>0</v>
      </c>
      <c r="H25" s="61">
        <f t="shared" si="29"/>
        <v>11.7</v>
      </c>
      <c r="I25" s="61">
        <f t="shared" si="30"/>
        <v>11</v>
      </c>
      <c r="J25" s="61">
        <f t="shared" si="31"/>
        <v>4</v>
      </c>
      <c r="K25" s="61">
        <f t="shared" si="32"/>
        <v>9.1428571428571423</v>
      </c>
      <c r="L25" s="61">
        <f t="shared" si="33"/>
        <v>4</v>
      </c>
      <c r="M25" s="61">
        <f t="shared" si="34"/>
        <v>1</v>
      </c>
      <c r="N25" s="42">
        <f t="shared" si="35"/>
        <v>9525.6</v>
      </c>
      <c r="O25" s="123">
        <f t="shared" si="36"/>
        <v>0</v>
      </c>
      <c r="P25" s="123">
        <f t="shared" si="37"/>
        <v>56</v>
      </c>
      <c r="Q25" s="123">
        <f t="shared" si="38"/>
        <v>40</v>
      </c>
      <c r="R25" s="123">
        <f t="shared" si="39"/>
        <v>3.5</v>
      </c>
      <c r="S25" s="123">
        <f t="shared" si="40"/>
        <v>24</v>
      </c>
      <c r="T25" s="123">
        <f t="shared" si="41"/>
        <v>5</v>
      </c>
      <c r="U25" s="123">
        <f t="shared" si="42"/>
        <v>0</v>
      </c>
      <c r="V25" s="48">
        <f t="shared" ref="V25:V31" si="58">SUM(O25:U25)</f>
        <v>128.5</v>
      </c>
      <c r="X25" t="s">
        <v>40</v>
      </c>
      <c r="Y25" s="17">
        <f t="shared" ref="Y25:Y34" si="59">E25+2</f>
        <v>26</v>
      </c>
      <c r="Z25" s="17">
        <f t="shared" ref="Z25:Z34" ca="1" si="60">F25+(($AR$25+$AR$26)*7)-112-112</f>
        <v>-72</v>
      </c>
      <c r="AA25" s="61">
        <f t="shared" si="49"/>
        <v>0</v>
      </c>
      <c r="AB25" s="61">
        <f t="shared" si="43"/>
        <v>11.7</v>
      </c>
      <c r="AC25" s="61">
        <f t="shared" si="50"/>
        <v>11</v>
      </c>
      <c r="AD25" s="61">
        <f t="shared" si="51"/>
        <v>4</v>
      </c>
      <c r="AE25" s="61">
        <f>11+1/7</f>
        <v>11.142857142857142</v>
      </c>
      <c r="AF25" s="61">
        <f t="shared" si="52"/>
        <v>4</v>
      </c>
      <c r="AG25" s="61">
        <v>13.5</v>
      </c>
      <c r="AH25" s="42">
        <f>(6800+2505+305)*1.038</f>
        <v>9975.18</v>
      </c>
      <c r="AI25" s="120">
        <f t="shared" si="44"/>
        <v>0</v>
      </c>
      <c r="AJ25" s="123">
        <f t="shared" si="45"/>
        <v>56</v>
      </c>
      <c r="AK25" s="120">
        <f t="shared" si="26"/>
        <v>40</v>
      </c>
      <c r="AL25" s="120">
        <f t="shared" si="26"/>
        <v>3.5</v>
      </c>
      <c r="AM25" s="123">
        <f t="shared" si="53"/>
        <v>38</v>
      </c>
      <c r="AN25" s="120">
        <f t="shared" si="26"/>
        <v>5</v>
      </c>
      <c r="AO25" s="123">
        <f t="shared" si="46"/>
        <v>15</v>
      </c>
      <c r="AP25" s="48">
        <f t="shared" ref="AP25:AP31" si="61">SUM(AI25:AO25)</f>
        <v>157.5</v>
      </c>
      <c r="AQ25" s="106" t="s">
        <v>196</v>
      </c>
      <c r="AR25" s="60">
        <v>14</v>
      </c>
      <c r="AS25" s="125">
        <f>AR25/16</f>
        <v>0.875</v>
      </c>
    </row>
    <row r="26" spans="1:45" x14ac:dyDescent="0.25">
      <c r="A26" t="s">
        <v>37</v>
      </c>
      <c r="B26" s="15" t="s">
        <v>29</v>
      </c>
      <c r="C26" s="3" t="s">
        <v>192</v>
      </c>
      <c r="D26" s="3" t="s">
        <v>211</v>
      </c>
      <c r="E26" s="17">
        <v>23</v>
      </c>
      <c r="F26" s="17">
        <v>50</v>
      </c>
      <c r="G26" s="61">
        <f t="shared" si="28"/>
        <v>0</v>
      </c>
      <c r="H26" s="61">
        <v>14</v>
      </c>
      <c r="I26" s="61">
        <v>8</v>
      </c>
      <c r="J26" s="61">
        <f t="shared" si="31"/>
        <v>2</v>
      </c>
      <c r="K26" s="61">
        <v>8</v>
      </c>
      <c r="L26" s="61">
        <f t="shared" si="33"/>
        <v>2</v>
      </c>
      <c r="M26" s="61">
        <f t="shared" si="34"/>
        <v>2</v>
      </c>
      <c r="N26" s="42">
        <f>(18370+445+135)*1.008</f>
        <v>19101.599999999999</v>
      </c>
      <c r="O26" s="123">
        <f t="shared" si="36"/>
        <v>0</v>
      </c>
      <c r="P26" s="123">
        <v>79</v>
      </c>
      <c r="Q26" s="123">
        <v>21</v>
      </c>
      <c r="R26" s="123">
        <f t="shared" si="39"/>
        <v>0</v>
      </c>
      <c r="S26" s="123">
        <v>18</v>
      </c>
      <c r="T26" s="123">
        <f t="shared" si="41"/>
        <v>0</v>
      </c>
      <c r="U26" s="123">
        <f t="shared" si="42"/>
        <v>0</v>
      </c>
      <c r="V26" s="48">
        <f t="shared" si="58"/>
        <v>118</v>
      </c>
      <c r="X26" t="s">
        <v>37</v>
      </c>
      <c r="Y26" s="17">
        <f t="shared" si="59"/>
        <v>25</v>
      </c>
      <c r="Z26" s="17">
        <f t="shared" si="60"/>
        <v>29</v>
      </c>
      <c r="AA26" s="61">
        <f t="shared" si="49"/>
        <v>0</v>
      </c>
      <c r="AB26" s="61">
        <f t="shared" si="43"/>
        <v>14</v>
      </c>
      <c r="AC26" s="61">
        <f t="shared" si="50"/>
        <v>8</v>
      </c>
      <c r="AD26" s="61">
        <f t="shared" si="51"/>
        <v>2</v>
      </c>
      <c r="AE26" s="61">
        <f>10+3/7</f>
        <v>10.428571428571429</v>
      </c>
      <c r="AF26" s="61">
        <f t="shared" si="52"/>
        <v>2</v>
      </c>
      <c r="AG26" s="61">
        <v>13.5</v>
      </c>
      <c r="AH26" s="42">
        <f>(18370+445+200)*1.038</f>
        <v>19737.57</v>
      </c>
      <c r="AI26" s="120">
        <f t="shared" si="44"/>
        <v>0</v>
      </c>
      <c r="AJ26" s="123">
        <f t="shared" si="45"/>
        <v>79</v>
      </c>
      <c r="AK26" s="120">
        <f t="shared" si="26"/>
        <v>21</v>
      </c>
      <c r="AL26" s="120">
        <f t="shared" si="26"/>
        <v>0</v>
      </c>
      <c r="AM26" s="123">
        <f t="shared" si="53"/>
        <v>32</v>
      </c>
      <c r="AN26" s="120">
        <f t="shared" si="26"/>
        <v>0</v>
      </c>
      <c r="AO26" s="123">
        <f t="shared" si="46"/>
        <v>15</v>
      </c>
      <c r="AP26" s="48">
        <f t="shared" si="61"/>
        <v>147</v>
      </c>
      <c r="AQ26" s="106" t="s">
        <v>46</v>
      </c>
      <c r="AR26" s="60">
        <v>15</v>
      </c>
      <c r="AS26" s="125">
        <f>AR26/16</f>
        <v>0.9375</v>
      </c>
    </row>
    <row r="27" spans="1:45" x14ac:dyDescent="0.25">
      <c r="A27" t="s">
        <v>34</v>
      </c>
      <c r="B27" s="15" t="s">
        <v>29</v>
      </c>
      <c r="C27" s="3" t="s">
        <v>192</v>
      </c>
      <c r="D27" s="3" t="s">
        <v>341</v>
      </c>
      <c r="E27" s="17">
        <f t="shared" ref="E27:F28" si="62">Y9</f>
        <v>23</v>
      </c>
      <c r="F27" s="17">
        <f t="shared" ca="1" si="62"/>
        <v>41</v>
      </c>
      <c r="G27" s="61">
        <f t="shared" si="28"/>
        <v>0</v>
      </c>
      <c r="H27" s="61">
        <f t="shared" si="29"/>
        <v>12.909090909090908</v>
      </c>
      <c r="I27" s="61">
        <f t="shared" si="30"/>
        <v>4</v>
      </c>
      <c r="J27" s="61">
        <f t="shared" si="31"/>
        <v>12.5</v>
      </c>
      <c r="K27" s="61">
        <f t="shared" si="32"/>
        <v>4.5</v>
      </c>
      <c r="L27" s="61">
        <f t="shared" si="33"/>
        <v>7</v>
      </c>
      <c r="M27" s="61">
        <f t="shared" si="34"/>
        <v>3</v>
      </c>
      <c r="N27" s="42">
        <f t="shared" si="35"/>
        <v>16606.920000000002</v>
      </c>
      <c r="O27" s="123">
        <f t="shared" si="36"/>
        <v>0</v>
      </c>
      <c r="P27" s="123">
        <f t="shared" si="37"/>
        <v>69</v>
      </c>
      <c r="Q27" s="123">
        <f t="shared" si="38"/>
        <v>6</v>
      </c>
      <c r="R27" s="123">
        <f t="shared" si="39"/>
        <v>40.5</v>
      </c>
      <c r="S27" s="123">
        <f t="shared" si="40"/>
        <v>6</v>
      </c>
      <c r="T27" s="123">
        <f t="shared" si="41"/>
        <v>16</v>
      </c>
      <c r="U27" s="123">
        <f t="shared" si="42"/>
        <v>1</v>
      </c>
      <c r="V27" s="48">
        <f t="shared" si="58"/>
        <v>138.5</v>
      </c>
      <c r="X27" t="s">
        <v>34</v>
      </c>
      <c r="Y27" s="17">
        <f>E27+1</f>
        <v>24</v>
      </c>
      <c r="Z27" s="17">
        <f ca="1">F27+(($AR$25+$AR$26)*7)-112</f>
        <v>132</v>
      </c>
      <c r="AA27" s="61">
        <f t="shared" si="49"/>
        <v>0</v>
      </c>
      <c r="AB27" s="61">
        <f t="shared" si="43"/>
        <v>12.909090909090908</v>
      </c>
      <c r="AC27" s="61">
        <f t="shared" si="50"/>
        <v>4</v>
      </c>
      <c r="AD27" s="61">
        <f t="shared" si="51"/>
        <v>12.5</v>
      </c>
      <c r="AE27" s="61">
        <f>8+1/5</f>
        <v>8.1999999999999993</v>
      </c>
      <c r="AF27" s="61">
        <f t="shared" si="52"/>
        <v>7</v>
      </c>
      <c r="AG27" s="61">
        <v>14</v>
      </c>
      <c r="AH27" s="42">
        <f>(12930+2985+125+145+245)*1.04</f>
        <v>17087.2</v>
      </c>
      <c r="AI27" s="120">
        <f t="shared" si="44"/>
        <v>0</v>
      </c>
      <c r="AJ27" s="123">
        <f t="shared" si="45"/>
        <v>69</v>
      </c>
      <c r="AK27" s="120">
        <f t="shared" si="26"/>
        <v>6</v>
      </c>
      <c r="AL27" s="120">
        <f t="shared" si="26"/>
        <v>40.5</v>
      </c>
      <c r="AM27" s="123">
        <f t="shared" si="53"/>
        <v>20</v>
      </c>
      <c r="AN27" s="120">
        <f t="shared" si="26"/>
        <v>16</v>
      </c>
      <c r="AO27" s="123">
        <f t="shared" si="46"/>
        <v>16</v>
      </c>
      <c r="AP27" s="48">
        <f t="shared" si="61"/>
        <v>167.5</v>
      </c>
      <c r="AQ27" s="106"/>
    </row>
    <row r="28" spans="1:45" x14ac:dyDescent="0.25">
      <c r="A28" t="s">
        <v>30</v>
      </c>
      <c r="B28" s="15" t="s">
        <v>29</v>
      </c>
      <c r="C28" s="3" t="s">
        <v>192</v>
      </c>
      <c r="D28" s="3" t="s">
        <v>208</v>
      </c>
      <c r="E28" s="17">
        <f t="shared" si="62"/>
        <v>23</v>
      </c>
      <c r="F28" s="17">
        <f t="shared" ca="1" si="62"/>
        <v>41</v>
      </c>
      <c r="G28" s="61">
        <f t="shared" si="28"/>
        <v>0</v>
      </c>
      <c r="H28" s="61">
        <f t="shared" si="29"/>
        <v>12</v>
      </c>
      <c r="I28" s="61">
        <f t="shared" si="30"/>
        <v>3</v>
      </c>
      <c r="J28" s="61">
        <f t="shared" si="31"/>
        <v>11.9</v>
      </c>
      <c r="K28" s="61">
        <f t="shared" si="32"/>
        <v>6.2000000000000011</v>
      </c>
      <c r="L28" s="61">
        <f t="shared" si="33"/>
        <v>7.25</v>
      </c>
      <c r="M28" s="61">
        <f t="shared" si="34"/>
        <v>3</v>
      </c>
      <c r="N28" s="42">
        <f t="shared" si="35"/>
        <v>16606.920000000002</v>
      </c>
      <c r="O28" s="123">
        <f t="shared" si="36"/>
        <v>0</v>
      </c>
      <c r="P28" s="123">
        <f t="shared" si="37"/>
        <v>57</v>
      </c>
      <c r="Q28" s="123">
        <f t="shared" si="38"/>
        <v>3</v>
      </c>
      <c r="R28" s="123">
        <f t="shared" si="39"/>
        <v>32.5</v>
      </c>
      <c r="S28" s="123">
        <f t="shared" si="40"/>
        <v>11</v>
      </c>
      <c r="T28" s="123">
        <f t="shared" si="41"/>
        <v>17</v>
      </c>
      <c r="U28" s="123">
        <f t="shared" si="42"/>
        <v>1</v>
      </c>
      <c r="V28" s="48">
        <f t="shared" si="58"/>
        <v>121.5</v>
      </c>
      <c r="X28" t="s">
        <v>30</v>
      </c>
      <c r="Y28" s="17">
        <f>E28+1</f>
        <v>24</v>
      </c>
      <c r="Z28" s="17">
        <f ca="1">F28+(($AR$25+$AR$26)*7)-112</f>
        <v>132</v>
      </c>
      <c r="AA28" s="61">
        <f t="shared" si="49"/>
        <v>0</v>
      </c>
      <c r="AB28" s="61">
        <f t="shared" si="43"/>
        <v>12</v>
      </c>
      <c r="AC28" s="61">
        <f t="shared" si="50"/>
        <v>3</v>
      </c>
      <c r="AD28" s="61">
        <f t="shared" si="51"/>
        <v>11.9</v>
      </c>
      <c r="AE28" s="61">
        <f>9+1/7</f>
        <v>9.1428571428571423</v>
      </c>
      <c r="AF28" s="61">
        <f t="shared" si="52"/>
        <v>7.25</v>
      </c>
      <c r="AG28" s="61">
        <v>14</v>
      </c>
      <c r="AH28" s="42">
        <f>(12930+2985+180+125+245)*1.04</f>
        <v>17123.600000000002</v>
      </c>
      <c r="AI28" s="120">
        <f t="shared" si="44"/>
        <v>0</v>
      </c>
      <c r="AJ28" s="123">
        <f t="shared" si="45"/>
        <v>57</v>
      </c>
      <c r="AK28" s="120">
        <f t="shared" si="26"/>
        <v>3</v>
      </c>
      <c r="AL28" s="120">
        <f t="shared" si="26"/>
        <v>32.5</v>
      </c>
      <c r="AM28" s="123">
        <f t="shared" si="53"/>
        <v>25</v>
      </c>
      <c r="AN28" s="120">
        <f t="shared" si="26"/>
        <v>17</v>
      </c>
      <c r="AO28" s="123">
        <f t="shared" si="46"/>
        <v>16</v>
      </c>
      <c r="AP28" s="48">
        <f t="shared" si="61"/>
        <v>150.5</v>
      </c>
      <c r="AQ28" s="106"/>
    </row>
    <row r="29" spans="1:45" x14ac:dyDescent="0.25">
      <c r="A29" t="s">
        <v>42</v>
      </c>
      <c r="B29" s="15" t="s">
        <v>244</v>
      </c>
      <c r="C29" s="3" t="s">
        <v>342</v>
      </c>
      <c r="D29" s="3" t="s">
        <v>361</v>
      </c>
      <c r="E29" s="17">
        <v>23</v>
      </c>
      <c r="F29" s="17">
        <v>50</v>
      </c>
      <c r="G29" s="61">
        <f t="shared" si="28"/>
        <v>0</v>
      </c>
      <c r="H29" s="61">
        <v>13</v>
      </c>
      <c r="I29" s="61">
        <v>9</v>
      </c>
      <c r="J29" s="61">
        <v>3</v>
      </c>
      <c r="K29" s="61">
        <v>6</v>
      </c>
      <c r="L29" s="61">
        <v>5</v>
      </c>
      <c r="M29" s="61">
        <v>14</v>
      </c>
      <c r="N29" s="42">
        <f>(14490+225+185+125+165)*1.03</f>
        <v>15645.7</v>
      </c>
      <c r="O29" s="123">
        <f t="shared" si="36"/>
        <v>0</v>
      </c>
      <c r="P29" s="123">
        <v>67</v>
      </c>
      <c r="Q29" s="123">
        <v>26</v>
      </c>
      <c r="R29" s="123">
        <v>1.5</v>
      </c>
      <c r="S29" s="123">
        <v>10</v>
      </c>
      <c r="T29" s="123">
        <v>5.5</v>
      </c>
      <c r="U29" s="123">
        <v>16</v>
      </c>
      <c r="V29" s="48">
        <f t="shared" si="58"/>
        <v>126</v>
      </c>
      <c r="X29" t="s">
        <v>42</v>
      </c>
      <c r="Y29" s="17">
        <f t="shared" si="59"/>
        <v>25</v>
      </c>
      <c r="Z29" s="17">
        <f t="shared" si="60"/>
        <v>29</v>
      </c>
      <c r="AA29" s="61">
        <f t="shared" si="49"/>
        <v>0</v>
      </c>
      <c r="AB29" s="61">
        <f t="shared" si="43"/>
        <v>13</v>
      </c>
      <c r="AC29" s="61">
        <f t="shared" si="50"/>
        <v>9</v>
      </c>
      <c r="AD29" s="61">
        <f t="shared" si="51"/>
        <v>3</v>
      </c>
      <c r="AE29" s="61">
        <f>9+5/6</f>
        <v>9.8333333333333339</v>
      </c>
      <c r="AF29" s="61">
        <f t="shared" si="52"/>
        <v>5</v>
      </c>
      <c r="AG29" s="61">
        <v>19</v>
      </c>
      <c r="AH29" s="42">
        <f>(14490+225+200+125+165)*1.049</f>
        <v>15950.044999999998</v>
      </c>
      <c r="AI29" s="120">
        <f t="shared" si="44"/>
        <v>0</v>
      </c>
      <c r="AJ29" s="123">
        <f t="shared" si="45"/>
        <v>67</v>
      </c>
      <c r="AK29" s="120">
        <f t="shared" si="26"/>
        <v>26</v>
      </c>
      <c r="AL29" s="120">
        <f t="shared" si="26"/>
        <v>1.5</v>
      </c>
      <c r="AM29" s="123">
        <f t="shared" si="53"/>
        <v>24</v>
      </c>
      <c r="AN29" s="120">
        <f t="shared" si="26"/>
        <v>5.5</v>
      </c>
      <c r="AO29" s="123">
        <v>31</v>
      </c>
      <c r="AP29" s="48">
        <f t="shared" si="61"/>
        <v>155</v>
      </c>
    </row>
    <row r="30" spans="1:45" x14ac:dyDescent="0.25">
      <c r="A30" t="s">
        <v>36</v>
      </c>
      <c r="B30" s="15" t="s">
        <v>244</v>
      </c>
      <c r="C30" s="3" t="s">
        <v>342</v>
      </c>
      <c r="D30" s="3" t="s">
        <v>361</v>
      </c>
      <c r="E30" s="17">
        <v>23</v>
      </c>
      <c r="F30" s="17">
        <v>50</v>
      </c>
      <c r="G30" s="61">
        <f t="shared" ref="G30" si="63">AA12</f>
        <v>0</v>
      </c>
      <c r="H30" s="61">
        <v>13</v>
      </c>
      <c r="I30" s="61">
        <v>9</v>
      </c>
      <c r="J30" s="61">
        <v>3</v>
      </c>
      <c r="K30" s="61">
        <v>6</v>
      </c>
      <c r="L30" s="61">
        <v>5</v>
      </c>
      <c r="M30" s="61">
        <v>14</v>
      </c>
      <c r="N30" s="42">
        <f>(14490+225+185+125+165)*1.03</f>
        <v>15645.7</v>
      </c>
      <c r="O30" s="123">
        <f t="shared" si="36"/>
        <v>0</v>
      </c>
      <c r="P30" s="132">
        <v>67</v>
      </c>
      <c r="Q30" s="132">
        <v>26</v>
      </c>
      <c r="R30" s="132">
        <v>1.5</v>
      </c>
      <c r="S30" s="132">
        <v>10</v>
      </c>
      <c r="T30" s="132">
        <v>5.5</v>
      </c>
      <c r="U30" s="132">
        <v>16</v>
      </c>
      <c r="V30" s="48">
        <f t="shared" si="58"/>
        <v>126</v>
      </c>
      <c r="X30" t="s">
        <v>36</v>
      </c>
      <c r="Y30" s="17">
        <f t="shared" si="59"/>
        <v>25</v>
      </c>
      <c r="Z30" s="17">
        <f t="shared" si="60"/>
        <v>29</v>
      </c>
      <c r="AA30" s="61">
        <f t="shared" si="49"/>
        <v>0</v>
      </c>
      <c r="AB30" s="61">
        <f t="shared" si="43"/>
        <v>13</v>
      </c>
      <c r="AC30" s="61">
        <f t="shared" si="50"/>
        <v>9</v>
      </c>
      <c r="AD30" s="61">
        <f t="shared" si="51"/>
        <v>3</v>
      </c>
      <c r="AE30" s="61">
        <f>9+5/6</f>
        <v>9.8333333333333339</v>
      </c>
      <c r="AF30" s="61">
        <f t="shared" si="52"/>
        <v>5</v>
      </c>
      <c r="AG30" s="61">
        <v>19</v>
      </c>
      <c r="AH30" s="42">
        <f>(14490+225+200+125+165)*1.049</f>
        <v>15950.044999999998</v>
      </c>
      <c r="AI30" s="120">
        <f t="shared" si="44"/>
        <v>0</v>
      </c>
      <c r="AJ30" s="123">
        <f t="shared" si="45"/>
        <v>67</v>
      </c>
      <c r="AK30" s="120">
        <f t="shared" si="26"/>
        <v>26</v>
      </c>
      <c r="AL30" s="120">
        <f t="shared" si="26"/>
        <v>1.5</v>
      </c>
      <c r="AM30" s="123">
        <f t="shared" si="53"/>
        <v>24</v>
      </c>
      <c r="AN30" s="120">
        <f t="shared" si="26"/>
        <v>5.5</v>
      </c>
      <c r="AO30" s="123">
        <v>31</v>
      </c>
      <c r="AP30" s="48">
        <f t="shared" si="61"/>
        <v>155</v>
      </c>
    </row>
    <row r="31" spans="1:45" x14ac:dyDescent="0.25">
      <c r="A31" t="s">
        <v>35</v>
      </c>
      <c r="B31" s="15" t="s">
        <v>51</v>
      </c>
      <c r="C31" s="3" t="s">
        <v>44</v>
      </c>
      <c r="D31" s="3" t="s">
        <v>207</v>
      </c>
      <c r="E31" s="17">
        <f t="shared" ref="E31:F32" si="64">Y13</f>
        <v>23</v>
      </c>
      <c r="F31" s="17">
        <f t="shared" ca="1" si="64"/>
        <v>37</v>
      </c>
      <c r="G31" s="61">
        <f t="shared" si="28"/>
        <v>0</v>
      </c>
      <c r="H31" s="61">
        <f t="shared" si="29"/>
        <v>10.666666666666666</v>
      </c>
      <c r="I31" s="61">
        <f t="shared" si="30"/>
        <v>5.7</v>
      </c>
      <c r="J31" s="61">
        <f t="shared" si="31"/>
        <v>14</v>
      </c>
      <c r="K31" s="61">
        <f t="shared" si="32"/>
        <v>6.2</v>
      </c>
      <c r="L31" s="61">
        <f t="shared" si="33"/>
        <v>7.5</v>
      </c>
      <c r="M31" s="61">
        <f t="shared" si="34"/>
        <v>5</v>
      </c>
      <c r="N31" s="42">
        <f t="shared" si="35"/>
        <v>13619.48</v>
      </c>
      <c r="O31" s="123">
        <f t="shared" si="36"/>
        <v>0</v>
      </c>
      <c r="P31" s="123">
        <f t="shared" si="37"/>
        <v>45</v>
      </c>
      <c r="Q31" s="123">
        <f t="shared" si="38"/>
        <v>10.5</v>
      </c>
      <c r="R31" s="123">
        <f t="shared" si="39"/>
        <v>47.5</v>
      </c>
      <c r="S31" s="123">
        <f t="shared" si="40"/>
        <v>11</v>
      </c>
      <c r="T31" s="123">
        <f t="shared" si="41"/>
        <v>18</v>
      </c>
      <c r="U31" s="123">
        <f t="shared" si="42"/>
        <v>3</v>
      </c>
      <c r="V31" s="48">
        <f t="shared" si="58"/>
        <v>135</v>
      </c>
      <c r="X31" t="s">
        <v>35</v>
      </c>
      <c r="Y31" s="17">
        <f>E31+1</f>
        <v>24</v>
      </c>
      <c r="Z31" s="17">
        <f ca="1">F31+(($AR$25+$AR$26)*7)-112</f>
        <v>128</v>
      </c>
      <c r="AA31" s="61">
        <f t="shared" si="49"/>
        <v>0</v>
      </c>
      <c r="AB31" s="61">
        <f t="shared" si="43"/>
        <v>10.666666666666666</v>
      </c>
      <c r="AC31" s="61">
        <f t="shared" si="50"/>
        <v>5.7</v>
      </c>
      <c r="AD31" s="61">
        <f t="shared" si="51"/>
        <v>14</v>
      </c>
      <c r="AE31" s="61">
        <f>9+1/7</f>
        <v>9.1428571428571423</v>
      </c>
      <c r="AF31" s="61">
        <f t="shared" si="52"/>
        <v>7.5</v>
      </c>
      <c r="AG31" s="61">
        <v>15</v>
      </c>
      <c r="AH31" s="42">
        <f>(11610+300+185+150+1200)*1.045</f>
        <v>14050.025</v>
      </c>
      <c r="AI31" s="120">
        <f t="shared" si="44"/>
        <v>0</v>
      </c>
      <c r="AJ31" s="123">
        <f t="shared" si="45"/>
        <v>45</v>
      </c>
      <c r="AK31" s="120">
        <f t="shared" si="26"/>
        <v>10.5</v>
      </c>
      <c r="AL31" s="120">
        <f t="shared" si="26"/>
        <v>47.5</v>
      </c>
      <c r="AM31" s="123">
        <f t="shared" si="53"/>
        <v>25</v>
      </c>
      <c r="AN31" s="120">
        <f t="shared" si="26"/>
        <v>18</v>
      </c>
      <c r="AO31" s="123">
        <f t="shared" si="46"/>
        <v>18</v>
      </c>
      <c r="AP31" s="48">
        <f t="shared" si="61"/>
        <v>164</v>
      </c>
    </row>
    <row r="32" spans="1:45" x14ac:dyDescent="0.25">
      <c r="A32" t="s">
        <v>39</v>
      </c>
      <c r="B32" s="15" t="s">
        <v>51</v>
      </c>
      <c r="C32" s="3" t="s">
        <v>44</v>
      </c>
      <c r="D32" s="3" t="s">
        <v>340</v>
      </c>
      <c r="E32" s="17">
        <f t="shared" si="64"/>
        <v>22</v>
      </c>
      <c r="F32" s="17">
        <f t="shared" ca="1" si="64"/>
        <v>124</v>
      </c>
      <c r="G32" s="61">
        <f t="shared" si="28"/>
        <v>0</v>
      </c>
      <c r="H32" s="61">
        <f t="shared" si="29"/>
        <v>12.181818181818182</v>
      </c>
      <c r="I32" s="61">
        <f t="shared" si="30"/>
        <v>3</v>
      </c>
      <c r="J32" s="61">
        <f t="shared" si="31"/>
        <v>12.833333333333334</v>
      </c>
      <c r="K32" s="61">
        <f t="shared" si="32"/>
        <v>7.25</v>
      </c>
      <c r="L32" s="61">
        <f t="shared" si="33"/>
        <v>7</v>
      </c>
      <c r="M32" s="61">
        <f t="shared" si="34"/>
        <v>3</v>
      </c>
      <c r="N32" s="42">
        <f t="shared" si="35"/>
        <v>11172.48</v>
      </c>
      <c r="O32" s="123">
        <f t="shared" si="36"/>
        <v>0</v>
      </c>
      <c r="P32" s="123">
        <f t="shared" si="37"/>
        <v>60</v>
      </c>
      <c r="Q32" s="123">
        <f t="shared" si="38"/>
        <v>3</v>
      </c>
      <c r="R32" s="123">
        <f t="shared" si="39"/>
        <v>39.5</v>
      </c>
      <c r="S32" s="123">
        <f t="shared" si="40"/>
        <v>15</v>
      </c>
      <c r="T32" s="123">
        <f t="shared" si="41"/>
        <v>16</v>
      </c>
      <c r="U32" s="123">
        <f t="shared" si="42"/>
        <v>1</v>
      </c>
      <c r="V32" s="48">
        <f>SUM(O32:U32)</f>
        <v>134.5</v>
      </c>
      <c r="X32" t="s">
        <v>39</v>
      </c>
      <c r="Y32" s="17">
        <f t="shared" si="59"/>
        <v>24</v>
      </c>
      <c r="Z32" s="17">
        <f t="shared" ca="1" si="60"/>
        <v>103</v>
      </c>
      <c r="AA32" s="61">
        <f t="shared" si="49"/>
        <v>0</v>
      </c>
      <c r="AB32" s="61">
        <f t="shared" si="43"/>
        <v>12.181818181818182</v>
      </c>
      <c r="AC32" s="61">
        <f t="shared" si="50"/>
        <v>3</v>
      </c>
      <c r="AD32" s="61">
        <f t="shared" si="51"/>
        <v>12.833333333333334</v>
      </c>
      <c r="AE32" s="61">
        <f>9+5/6</f>
        <v>9.8333333333333339</v>
      </c>
      <c r="AF32" s="61">
        <f t="shared" si="52"/>
        <v>7</v>
      </c>
      <c r="AG32" s="61">
        <v>14</v>
      </c>
      <c r="AH32" s="42">
        <f>(7000+165+165+245+3505)*1.04</f>
        <v>11523.2</v>
      </c>
      <c r="AI32" s="120">
        <f t="shared" si="44"/>
        <v>0</v>
      </c>
      <c r="AJ32" s="123">
        <f t="shared" si="45"/>
        <v>60</v>
      </c>
      <c r="AK32" s="120">
        <f t="shared" si="26"/>
        <v>3</v>
      </c>
      <c r="AL32" s="120">
        <f t="shared" si="26"/>
        <v>39.5</v>
      </c>
      <c r="AM32" s="123">
        <f t="shared" si="53"/>
        <v>29</v>
      </c>
      <c r="AN32" s="120">
        <f t="shared" si="26"/>
        <v>16</v>
      </c>
      <c r="AO32" s="123">
        <f t="shared" si="46"/>
        <v>16</v>
      </c>
      <c r="AP32" s="48">
        <f>SUM(AI32:AO32)</f>
        <v>163.5</v>
      </c>
    </row>
    <row r="33" spans="1:42" x14ac:dyDescent="0.25">
      <c r="A33" t="s">
        <v>33</v>
      </c>
      <c r="B33" s="15" t="s">
        <v>51</v>
      </c>
      <c r="C33" s="3" t="s">
        <v>192</v>
      </c>
      <c r="D33" s="3" t="s">
        <v>209</v>
      </c>
      <c r="E33" s="17">
        <f t="shared" ref="E33:F33" si="65">Y15</f>
        <v>23</v>
      </c>
      <c r="F33" s="17">
        <f t="shared" ca="1" si="65"/>
        <v>37</v>
      </c>
      <c r="G33" s="61">
        <f t="shared" si="28"/>
        <v>0</v>
      </c>
      <c r="H33" s="61">
        <f t="shared" si="29"/>
        <v>11.1</v>
      </c>
      <c r="I33" s="61">
        <f t="shared" si="30"/>
        <v>5</v>
      </c>
      <c r="J33" s="61">
        <f t="shared" si="31"/>
        <v>13.333333333333334</v>
      </c>
      <c r="K33" s="61">
        <f t="shared" si="32"/>
        <v>5.25</v>
      </c>
      <c r="L33" s="61">
        <f t="shared" si="33"/>
        <v>7.8016666666666676</v>
      </c>
      <c r="M33" s="61">
        <f t="shared" si="34"/>
        <v>3</v>
      </c>
      <c r="N33" s="42">
        <f t="shared" si="35"/>
        <v>13682.24</v>
      </c>
      <c r="O33" s="123">
        <f t="shared" si="36"/>
        <v>0</v>
      </c>
      <c r="P33" s="123">
        <f t="shared" si="37"/>
        <v>48</v>
      </c>
      <c r="Q33" s="123">
        <f t="shared" si="38"/>
        <v>9</v>
      </c>
      <c r="R33" s="123">
        <f t="shared" si="39"/>
        <v>39.880000000000003</v>
      </c>
      <c r="S33" s="123">
        <f t="shared" si="40"/>
        <v>8</v>
      </c>
      <c r="T33" s="123">
        <f t="shared" si="41"/>
        <v>19</v>
      </c>
      <c r="U33" s="123">
        <f t="shared" si="42"/>
        <v>1</v>
      </c>
      <c r="V33" s="48">
        <f>SUM(O33:U33)</f>
        <v>124.88</v>
      </c>
      <c r="X33" t="s">
        <v>33</v>
      </c>
      <c r="Y33" s="17">
        <f>E33+1</f>
        <v>24</v>
      </c>
      <c r="Z33" s="17">
        <f ca="1">F33+(($AR$25+$AR$26)*7)-112</f>
        <v>128</v>
      </c>
      <c r="AA33" s="61">
        <f t="shared" si="49"/>
        <v>0</v>
      </c>
      <c r="AB33" s="61">
        <f t="shared" si="43"/>
        <v>11.1</v>
      </c>
      <c r="AC33" s="61">
        <f t="shared" si="50"/>
        <v>5</v>
      </c>
      <c r="AD33" s="61">
        <f t="shared" si="51"/>
        <v>13.333333333333334</v>
      </c>
      <c r="AE33" s="61">
        <f>8+3/5</f>
        <v>8.6</v>
      </c>
      <c r="AF33" s="61">
        <f t="shared" si="52"/>
        <v>7.8016666666666676</v>
      </c>
      <c r="AG33" s="61">
        <v>14</v>
      </c>
      <c r="AH33" s="42">
        <f>(9000+135+185+350+3900)*1.04</f>
        <v>14112.800000000001</v>
      </c>
      <c r="AI33" s="120">
        <f t="shared" si="44"/>
        <v>0</v>
      </c>
      <c r="AJ33" s="123">
        <f t="shared" si="45"/>
        <v>48</v>
      </c>
      <c r="AK33" s="120">
        <f t="shared" si="26"/>
        <v>9</v>
      </c>
      <c r="AL33" s="120">
        <f t="shared" si="26"/>
        <v>39.880000000000003</v>
      </c>
      <c r="AM33" s="123">
        <f t="shared" si="53"/>
        <v>22</v>
      </c>
      <c r="AN33" s="120">
        <f t="shared" si="26"/>
        <v>19</v>
      </c>
      <c r="AO33" s="123">
        <f t="shared" si="46"/>
        <v>16</v>
      </c>
      <c r="AP33" s="48">
        <f>SUM(AI33:AO33)</f>
        <v>153.88</v>
      </c>
    </row>
    <row r="34" spans="1:42" x14ac:dyDescent="0.25">
      <c r="A34" t="s">
        <v>41</v>
      </c>
      <c r="B34" s="15" t="s">
        <v>43</v>
      </c>
      <c r="C34" s="3" t="s">
        <v>342</v>
      </c>
      <c r="D34" s="3" t="s">
        <v>212</v>
      </c>
      <c r="E34" s="17">
        <v>23</v>
      </c>
      <c r="F34" s="17">
        <v>50</v>
      </c>
      <c r="G34" s="61">
        <f t="shared" si="28"/>
        <v>0</v>
      </c>
      <c r="H34" s="61">
        <f t="shared" si="29"/>
        <v>2</v>
      </c>
      <c r="I34" s="61">
        <v>7</v>
      </c>
      <c r="J34" s="61">
        <v>7</v>
      </c>
      <c r="K34" s="61">
        <v>10</v>
      </c>
      <c r="L34" s="61">
        <v>13</v>
      </c>
      <c r="M34" s="61">
        <v>10</v>
      </c>
      <c r="N34" s="42">
        <f>(12930+255+185+195)*1.03</f>
        <v>13971.95</v>
      </c>
      <c r="O34" s="120">
        <f t="shared" ref="O34:P34" si="66">AI16</f>
        <v>0</v>
      </c>
      <c r="P34" s="120">
        <f t="shared" si="66"/>
        <v>0</v>
      </c>
      <c r="Q34" s="120">
        <v>16</v>
      </c>
      <c r="R34" s="120">
        <v>10.5</v>
      </c>
      <c r="S34" s="120">
        <v>29</v>
      </c>
      <c r="T34" s="120">
        <v>59</v>
      </c>
      <c r="U34" s="120">
        <v>8</v>
      </c>
      <c r="V34" s="48">
        <f>SUM(O34:U34)</f>
        <v>122.5</v>
      </c>
      <c r="X34" t="s">
        <v>41</v>
      </c>
      <c r="Y34" s="17">
        <f t="shared" si="59"/>
        <v>25</v>
      </c>
      <c r="Z34" s="17">
        <f t="shared" si="60"/>
        <v>29</v>
      </c>
      <c r="AA34" s="61">
        <f t="shared" si="49"/>
        <v>0</v>
      </c>
      <c r="AB34" s="61">
        <f t="shared" ref="AB34:AB36" si="67">H34</f>
        <v>2</v>
      </c>
      <c r="AC34" s="61">
        <f t="shared" si="50"/>
        <v>7</v>
      </c>
      <c r="AD34" s="61">
        <f t="shared" si="51"/>
        <v>7</v>
      </c>
      <c r="AE34" s="61">
        <v>12</v>
      </c>
      <c r="AF34" s="61">
        <f t="shared" si="52"/>
        <v>13</v>
      </c>
      <c r="AG34" s="61">
        <v>16.5</v>
      </c>
      <c r="AH34" s="42">
        <f>(12930+255+515+195)*1.049</f>
        <v>14575.855</v>
      </c>
      <c r="AI34" s="120">
        <f t="shared" si="44"/>
        <v>0</v>
      </c>
      <c r="AJ34" s="120">
        <f t="shared" si="44"/>
        <v>0</v>
      </c>
      <c r="AK34" s="120">
        <f t="shared" si="26"/>
        <v>16</v>
      </c>
      <c r="AL34" s="120">
        <f t="shared" si="26"/>
        <v>10.5</v>
      </c>
      <c r="AM34" s="123">
        <f t="shared" si="53"/>
        <v>43</v>
      </c>
      <c r="AN34" s="120">
        <f t="shared" si="26"/>
        <v>59</v>
      </c>
      <c r="AO34" s="123">
        <f t="shared" si="46"/>
        <v>23</v>
      </c>
      <c r="AP34" s="48">
        <f>SUM(AI34:AO34)</f>
        <v>151.5</v>
      </c>
    </row>
    <row r="35" spans="1:42" x14ac:dyDescent="0.25">
      <c r="A35" t="s">
        <v>45</v>
      </c>
      <c r="B35" s="15" t="s">
        <v>43</v>
      </c>
      <c r="C35" s="3" t="s">
        <v>342</v>
      </c>
      <c r="D35" s="3" t="s">
        <v>212</v>
      </c>
      <c r="E35" s="17">
        <v>23</v>
      </c>
      <c r="F35" s="17">
        <v>50</v>
      </c>
      <c r="G35" s="61">
        <f t="shared" ref="G35:G36" si="68">AA17</f>
        <v>0</v>
      </c>
      <c r="H35" s="61">
        <f t="shared" ref="H35:H36" si="69">AB17</f>
        <v>2</v>
      </c>
      <c r="I35" s="61">
        <v>7</v>
      </c>
      <c r="J35" s="61">
        <v>7</v>
      </c>
      <c r="K35" s="61">
        <v>10</v>
      </c>
      <c r="L35" s="61">
        <v>13</v>
      </c>
      <c r="M35" s="61">
        <v>10</v>
      </c>
      <c r="N35" s="42">
        <f t="shared" ref="N35:N36" si="70">(12930+255+185+195)*1.03</f>
        <v>13971.95</v>
      </c>
      <c r="O35" s="123">
        <f t="shared" ref="O35:O36" si="71">AI17</f>
        <v>0</v>
      </c>
      <c r="P35" s="123">
        <f t="shared" ref="P35:P36" si="72">AJ17</f>
        <v>0</v>
      </c>
      <c r="Q35" s="123">
        <v>16</v>
      </c>
      <c r="R35" s="123">
        <v>10.5</v>
      </c>
      <c r="S35" s="123">
        <v>29</v>
      </c>
      <c r="T35" s="123">
        <v>59</v>
      </c>
      <c r="U35" s="123">
        <v>8</v>
      </c>
      <c r="V35" s="48">
        <f>SUM(O35:U35)</f>
        <v>122.5</v>
      </c>
      <c r="X35" t="s">
        <v>45</v>
      </c>
      <c r="Y35" s="17">
        <f t="shared" ref="Y35:Y36" si="73">E35+2</f>
        <v>25</v>
      </c>
      <c r="Z35" s="17">
        <f t="shared" ref="Z35:Z36" si="74">F35+(($AR$25+$AR$26)*7)-112-112</f>
        <v>29</v>
      </c>
      <c r="AA35" s="61">
        <f t="shared" si="49"/>
        <v>0</v>
      </c>
      <c r="AB35" s="61">
        <f t="shared" si="67"/>
        <v>2</v>
      </c>
      <c r="AC35" s="61">
        <f t="shared" si="50"/>
        <v>7</v>
      </c>
      <c r="AD35" s="61">
        <f t="shared" si="51"/>
        <v>7</v>
      </c>
      <c r="AE35" s="61">
        <v>12</v>
      </c>
      <c r="AF35" s="61">
        <f t="shared" si="52"/>
        <v>13</v>
      </c>
      <c r="AG35" s="61">
        <v>16.5</v>
      </c>
      <c r="AH35" s="42">
        <f>(12930+255+515+195)*1.049</f>
        <v>14575.855</v>
      </c>
      <c r="AI35" s="120">
        <f t="shared" si="44"/>
        <v>0</v>
      </c>
      <c r="AJ35" s="120">
        <f t="shared" si="44"/>
        <v>0</v>
      </c>
      <c r="AK35" s="120">
        <f t="shared" si="26"/>
        <v>16</v>
      </c>
      <c r="AL35" s="120">
        <f t="shared" si="26"/>
        <v>10.5</v>
      </c>
      <c r="AM35" s="123">
        <f t="shared" si="53"/>
        <v>43</v>
      </c>
      <c r="AN35" s="120">
        <f t="shared" si="26"/>
        <v>59</v>
      </c>
      <c r="AO35" s="123">
        <f t="shared" si="46"/>
        <v>23</v>
      </c>
      <c r="AP35" s="48">
        <f>SUM(AI35:AO35)</f>
        <v>151.5</v>
      </c>
    </row>
    <row r="36" spans="1:42" x14ac:dyDescent="0.25">
      <c r="A36" t="s">
        <v>210</v>
      </c>
      <c r="B36" s="15" t="s">
        <v>43</v>
      </c>
      <c r="C36" s="3" t="s">
        <v>342</v>
      </c>
      <c r="D36" s="3" t="s">
        <v>212</v>
      </c>
      <c r="E36" s="17">
        <v>23</v>
      </c>
      <c r="F36" s="17">
        <v>50</v>
      </c>
      <c r="G36" s="61">
        <f t="shared" si="68"/>
        <v>0</v>
      </c>
      <c r="H36" s="61">
        <f t="shared" si="69"/>
        <v>2</v>
      </c>
      <c r="I36" s="61">
        <v>7</v>
      </c>
      <c r="J36" s="61">
        <v>7</v>
      </c>
      <c r="K36" s="61">
        <v>10</v>
      </c>
      <c r="L36" s="61">
        <v>13</v>
      </c>
      <c r="M36" s="61">
        <v>10</v>
      </c>
      <c r="N36" s="42">
        <f t="shared" si="70"/>
        <v>13971.95</v>
      </c>
      <c r="O36" s="123">
        <f t="shared" si="71"/>
        <v>0</v>
      </c>
      <c r="P36" s="123">
        <f t="shared" si="72"/>
        <v>0</v>
      </c>
      <c r="Q36" s="123">
        <v>16</v>
      </c>
      <c r="R36" s="123">
        <v>10.5</v>
      </c>
      <c r="S36" s="123">
        <v>29</v>
      </c>
      <c r="T36" s="123">
        <v>59</v>
      </c>
      <c r="U36" s="123">
        <v>8</v>
      </c>
      <c r="V36" s="48">
        <f>SUM(O36:U36)</f>
        <v>122.5</v>
      </c>
      <c r="X36" t="s">
        <v>210</v>
      </c>
      <c r="Y36" s="17">
        <f t="shared" si="73"/>
        <v>25</v>
      </c>
      <c r="Z36" s="17">
        <f t="shared" si="74"/>
        <v>29</v>
      </c>
      <c r="AA36" s="61">
        <f t="shared" si="49"/>
        <v>0</v>
      </c>
      <c r="AB36" s="61">
        <f t="shared" si="67"/>
        <v>2</v>
      </c>
      <c r="AC36" s="61">
        <f t="shared" si="50"/>
        <v>7</v>
      </c>
      <c r="AD36" s="61">
        <f t="shared" si="51"/>
        <v>7</v>
      </c>
      <c r="AE36" s="61">
        <v>12</v>
      </c>
      <c r="AF36" s="61">
        <f t="shared" si="52"/>
        <v>13</v>
      </c>
      <c r="AG36" s="61">
        <v>16.5</v>
      </c>
      <c r="AH36" s="42">
        <f>(12930+255+515+195)*1.049</f>
        <v>14575.855</v>
      </c>
      <c r="AI36" s="120">
        <f t="shared" si="44"/>
        <v>0</v>
      </c>
      <c r="AJ36" s="120">
        <f t="shared" si="44"/>
        <v>0</v>
      </c>
      <c r="AK36" s="120">
        <f t="shared" si="26"/>
        <v>16</v>
      </c>
      <c r="AL36" s="120">
        <f t="shared" si="26"/>
        <v>10.5</v>
      </c>
      <c r="AM36" s="123">
        <f t="shared" si="53"/>
        <v>43</v>
      </c>
      <c r="AN36" s="120">
        <f t="shared" si="26"/>
        <v>59</v>
      </c>
      <c r="AO36" s="123">
        <f t="shared" si="46"/>
        <v>23</v>
      </c>
      <c r="AP36" s="48">
        <f>SUM(AI36:AO36)</f>
        <v>151.5</v>
      </c>
    </row>
  </sheetData>
  <conditionalFormatting sqref="G8:M18 G3:M4">
    <cfRule type="colorScale" priority="26">
      <colorScale>
        <cfvo type="min"/>
        <cfvo type="max"/>
        <color rgb="FFFFEF9C"/>
        <color rgb="FF63BE7B"/>
      </colorScale>
    </cfRule>
  </conditionalFormatting>
  <conditionalFormatting sqref="G5:M7">
    <cfRule type="colorScale" priority="25">
      <colorScale>
        <cfvo type="min"/>
        <cfvo type="max"/>
        <color rgb="FFFFEF9C"/>
        <color rgb="FF63BE7B"/>
      </colorScale>
    </cfRule>
  </conditionalFormatting>
  <conditionalFormatting sqref="N3:N1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{FA8484D2-E49B-4152-B82F-527E9BCD9437}</x14:id>
        </ext>
      </extLst>
    </cfRule>
  </conditionalFormatting>
  <conditionalFormatting sqref="O3:U18">
    <cfRule type="colorScale" priority="23">
      <colorScale>
        <cfvo type="min"/>
        <cfvo type="max"/>
        <color rgb="FFFCFCFF"/>
        <color rgb="FFF8696B"/>
      </colorScale>
    </cfRule>
  </conditionalFormatting>
  <conditionalFormatting sqref="V3:V1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{D8E0F95B-E09F-473D-8CB3-1AA6BE8A35DD}</x14:id>
        </ext>
      </extLst>
    </cfRule>
  </conditionalFormatting>
  <conditionalFormatting sqref="AA3:AG18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3:AH1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{D0CABE6B-C37A-4128-9F14-49736C3E3E16}</x14:id>
        </ext>
      </extLst>
    </cfRule>
  </conditionalFormatting>
  <conditionalFormatting sqref="AI3:AO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AP3:AP1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{CB746796-43C0-4000-8EAD-CC55FCC653DB}</x14:id>
        </ext>
      </extLst>
    </cfRule>
  </conditionalFormatting>
  <conditionalFormatting sqref="N21:N3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{F1C4D72C-43B0-4BB2-9B27-2904231E0565}</x14:id>
        </ext>
      </extLst>
    </cfRule>
  </conditionalFormatting>
  <conditionalFormatting sqref="V21:V3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{FCD1AAE9-7889-4A70-9407-731E2C29149F}</x14:id>
        </ext>
      </extLst>
    </cfRule>
  </conditionalFormatting>
  <conditionalFormatting sqref="AI21:AO36">
    <cfRule type="colorScale" priority="13">
      <colorScale>
        <cfvo type="min"/>
        <cfvo type="max"/>
        <color rgb="FFFCFCFF"/>
        <color rgb="FFF8696B"/>
      </colorScale>
    </cfRule>
  </conditionalFormatting>
  <conditionalFormatting sqref="AP21:AP3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{589B8D8C-D891-4DE2-9406-02BB42CE7CE8}</x14:id>
        </ext>
      </extLst>
    </cfRule>
  </conditionalFormatting>
  <conditionalFormatting sqref="AA21:AG36">
    <cfRule type="colorScale" priority="11">
      <colorScale>
        <cfvo type="min"/>
        <cfvo type="max"/>
        <color rgb="FFFFEF9C"/>
        <color rgb="FF63BE7B"/>
      </colorScale>
    </cfRule>
  </conditionalFormatting>
  <conditionalFormatting sqref="O21:U36">
    <cfRule type="colorScale" priority="3">
      <colorScale>
        <cfvo type="min"/>
        <cfvo type="max"/>
        <color rgb="FFFCFCFF"/>
        <color rgb="FFF8696B"/>
      </colorScale>
    </cfRule>
  </conditionalFormatting>
  <conditionalFormatting sqref="G21:M3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21:AH3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{0B0C4CDB-7CA7-4405-A3B6-07BF3BC1410B}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8484D2-E49B-4152-B82F-527E9BCD9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N3:N18</xm:sqref>
        </x14:conditionalFormatting>
        <x14:conditionalFormatting xmlns:xm="http://schemas.microsoft.com/office/excel/2006/main">
          <x14:cfRule type="dataBar" id="{D8E0F95B-E09F-473D-8CB3-1AA6BE8A35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V3:V18</xm:sqref>
        </x14:conditionalFormatting>
        <x14:conditionalFormatting xmlns:xm="http://schemas.microsoft.com/office/excel/2006/main">
          <x14:cfRule type="dataBar" id="{D0CABE6B-C37A-4128-9F14-49736C3E3E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AH3:AH18</xm:sqref>
        </x14:conditionalFormatting>
        <x14:conditionalFormatting xmlns:xm="http://schemas.microsoft.com/office/excel/2006/main">
          <x14:cfRule type="dataBar" id="{CB746796-43C0-4000-8EAD-CC55FCC653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AP3:AP18</xm:sqref>
        </x14:conditionalFormatting>
        <x14:conditionalFormatting xmlns:xm="http://schemas.microsoft.com/office/excel/2006/main">
          <x14:cfRule type="dataBar" id="{F1C4D72C-43B0-4BB2-9B27-2904231E05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N21:N36</xm:sqref>
        </x14:conditionalFormatting>
        <x14:conditionalFormatting xmlns:xm="http://schemas.microsoft.com/office/excel/2006/main">
          <x14:cfRule type="dataBar" id="{FCD1AAE9-7889-4A70-9407-731E2C2914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V21:V36</xm:sqref>
        </x14:conditionalFormatting>
        <x14:conditionalFormatting xmlns:xm="http://schemas.microsoft.com/office/excel/2006/main">
          <x14:cfRule type="dataBar" id="{589B8D8C-D891-4DE2-9406-02BB42CE7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AP21:AP36</xm:sqref>
        </x14:conditionalFormatting>
        <x14:conditionalFormatting xmlns:xm="http://schemas.microsoft.com/office/excel/2006/main">
          <x14:cfRule type="dataBar" id="{0B0C4CDB-7CA7-4405-A3B6-07BF3BC141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AH21:AH36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16AE-8E03-457E-BB18-541DEB681083}">
  <sheetPr>
    <tabColor theme="9" tint="0.39997558519241921"/>
  </sheetPr>
  <dimension ref="A1:AL81"/>
  <sheetViews>
    <sheetView zoomScale="80" zoomScaleNormal="80" workbookViewId="0">
      <pane xSplit="13" ySplit="3" topLeftCell="R4" activePane="bottomRight" state="frozen"/>
      <selection pane="topRight" activeCell="N1" sqref="N1"/>
      <selection pane="bottomLeft" activeCell="A4" sqref="A4"/>
      <selection pane="bottomRight" activeCell="R15" sqref="R15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3" max="3" width="6.4257812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5" customWidth="1"/>
    <col min="11" max="11" width="23" bestFit="1" customWidth="1"/>
    <col min="12" max="12" width="17.42578125" customWidth="1"/>
    <col min="13" max="30" width="18" bestFit="1" customWidth="1"/>
  </cols>
  <sheetData>
    <row r="1" spans="1:38" ht="21" x14ac:dyDescent="0.35">
      <c r="A1" s="311"/>
      <c r="B1" s="311"/>
      <c r="C1" s="311"/>
      <c r="D1" s="460" t="s">
        <v>588</v>
      </c>
      <c r="E1" s="461"/>
      <c r="F1" s="461"/>
      <c r="G1" s="461"/>
      <c r="H1" s="461"/>
      <c r="I1" s="462"/>
      <c r="K1" s="311"/>
      <c r="L1" s="312"/>
      <c r="M1" s="312"/>
      <c r="N1" s="314">
        <v>43637</v>
      </c>
      <c r="O1" s="314">
        <f t="shared" ref="O1:AD1" si="0">N1+7</f>
        <v>43644</v>
      </c>
      <c r="P1" s="314">
        <f t="shared" si="0"/>
        <v>43651</v>
      </c>
      <c r="Q1" s="314">
        <f t="shared" si="0"/>
        <v>43658</v>
      </c>
      <c r="R1" s="314">
        <f t="shared" si="0"/>
        <v>43665</v>
      </c>
      <c r="S1" s="314">
        <f t="shared" si="0"/>
        <v>43672</v>
      </c>
      <c r="T1" s="314">
        <f t="shared" si="0"/>
        <v>43679</v>
      </c>
      <c r="U1" s="314">
        <f t="shared" si="0"/>
        <v>43686</v>
      </c>
      <c r="V1" s="313">
        <f t="shared" si="0"/>
        <v>43693</v>
      </c>
      <c r="W1" s="314">
        <f t="shared" si="0"/>
        <v>43700</v>
      </c>
      <c r="X1" s="314">
        <f t="shared" si="0"/>
        <v>43707</v>
      </c>
      <c r="Y1" s="314">
        <f t="shared" si="0"/>
        <v>43714</v>
      </c>
      <c r="Z1" s="314">
        <f t="shared" si="0"/>
        <v>43721</v>
      </c>
      <c r="AA1" s="314">
        <f t="shared" si="0"/>
        <v>43728</v>
      </c>
      <c r="AB1" s="314">
        <f t="shared" si="0"/>
        <v>43735</v>
      </c>
      <c r="AC1" s="314">
        <f t="shared" si="0"/>
        <v>43742</v>
      </c>
      <c r="AD1" s="314">
        <f t="shared" si="0"/>
        <v>43749</v>
      </c>
    </row>
    <row r="2" spans="1:38" x14ac:dyDescent="0.25">
      <c r="A2" s="315"/>
      <c r="B2" s="315"/>
      <c r="C2" s="315"/>
      <c r="D2" s="463" t="s">
        <v>589</v>
      </c>
      <c r="E2" s="464"/>
      <c r="F2" s="465"/>
      <c r="G2" s="465"/>
      <c r="H2" s="465"/>
      <c r="I2" s="466"/>
      <c r="K2" s="316"/>
      <c r="L2" s="316"/>
      <c r="M2" s="316" t="s">
        <v>590</v>
      </c>
      <c r="N2" s="318" t="s">
        <v>591</v>
      </c>
      <c r="O2" s="318" t="s">
        <v>592</v>
      </c>
      <c r="P2" s="318" t="s">
        <v>593</v>
      </c>
      <c r="Q2" s="318" t="s">
        <v>594</v>
      </c>
      <c r="R2" s="318" t="s">
        <v>595</v>
      </c>
      <c r="S2" s="318" t="s">
        <v>596</v>
      </c>
      <c r="T2" s="318" t="s">
        <v>597</v>
      </c>
      <c r="U2" s="318" t="s">
        <v>598</v>
      </c>
      <c r="V2" s="317" t="s">
        <v>599</v>
      </c>
      <c r="W2" s="318" t="s">
        <v>600</v>
      </c>
      <c r="X2" s="318" t="s">
        <v>601</v>
      </c>
      <c r="Y2" s="318" t="s">
        <v>602</v>
      </c>
      <c r="Z2" s="318" t="s">
        <v>603</v>
      </c>
      <c r="AA2" s="318" t="s">
        <v>604</v>
      </c>
      <c r="AB2" s="318" t="s">
        <v>605</v>
      </c>
      <c r="AC2" s="318" t="s">
        <v>606</v>
      </c>
      <c r="AD2" s="318" t="s">
        <v>591</v>
      </c>
    </row>
    <row r="3" spans="1:38" ht="18.75" x14ac:dyDescent="0.3">
      <c r="A3" s="319"/>
      <c r="B3" s="319"/>
      <c r="C3" s="319"/>
      <c r="D3" s="467" t="s">
        <v>607</v>
      </c>
      <c r="E3" s="468"/>
      <c r="F3" s="320"/>
      <c r="G3" s="469" t="s">
        <v>608</v>
      </c>
      <c r="H3" s="470"/>
      <c r="I3" s="321"/>
      <c r="K3" s="322"/>
      <c r="L3" s="323"/>
      <c r="M3" s="323" t="s">
        <v>609</v>
      </c>
      <c r="N3" s="325">
        <v>1766</v>
      </c>
      <c r="O3" s="325">
        <v>1776</v>
      </c>
      <c r="P3" s="325">
        <f>O3+O11/30</f>
        <v>1784</v>
      </c>
      <c r="Q3" s="325">
        <f t="shared" ref="Q3:AD3" si="1">P3+P11/30</f>
        <v>1794</v>
      </c>
      <c r="R3" s="325">
        <f t="shared" si="1"/>
        <v>1804</v>
      </c>
      <c r="S3" s="325">
        <f t="shared" si="1"/>
        <v>1813</v>
      </c>
      <c r="T3" s="325">
        <f t="shared" si="1"/>
        <v>1823</v>
      </c>
      <c r="U3" s="325">
        <f t="shared" si="1"/>
        <v>1831</v>
      </c>
      <c r="V3" s="324">
        <f t="shared" si="1"/>
        <v>1839</v>
      </c>
      <c r="W3" s="325">
        <f t="shared" si="1"/>
        <v>1843</v>
      </c>
      <c r="X3" s="325">
        <f t="shared" si="1"/>
        <v>1851</v>
      </c>
      <c r="Y3" s="325">
        <f t="shared" si="1"/>
        <v>1859</v>
      </c>
      <c r="Z3" s="325">
        <f t="shared" si="1"/>
        <v>1867</v>
      </c>
      <c r="AA3" s="325">
        <f t="shared" si="1"/>
        <v>1875</v>
      </c>
      <c r="AB3" s="325">
        <f t="shared" si="1"/>
        <v>1883</v>
      </c>
      <c r="AC3" s="325">
        <f t="shared" si="1"/>
        <v>1891</v>
      </c>
      <c r="AD3" s="325">
        <f t="shared" si="1"/>
        <v>1899</v>
      </c>
    </row>
    <row r="4" spans="1:38" ht="18.75" x14ac:dyDescent="0.3">
      <c r="A4" s="319"/>
      <c r="B4" s="319"/>
      <c r="C4" s="319"/>
      <c r="D4" s="326"/>
      <c r="E4" s="327"/>
      <c r="F4" s="328"/>
      <c r="G4" s="329"/>
      <c r="H4" s="328"/>
      <c r="I4" s="330"/>
      <c r="K4" s="331" t="s">
        <v>610</v>
      </c>
      <c r="L4" s="331"/>
      <c r="M4" s="332">
        <f>19299694+500000</f>
        <v>19799694</v>
      </c>
      <c r="N4" s="333">
        <f>M4</f>
        <v>19799694</v>
      </c>
      <c r="O4" s="333">
        <f>N4-N13+N23</f>
        <v>19299694</v>
      </c>
      <c r="P4" s="333">
        <f t="shared" ref="P4:AD4" si="2">O4-O13+O23</f>
        <v>18799694</v>
      </c>
      <c r="Q4" s="333">
        <f t="shared" si="2"/>
        <v>18299694</v>
      </c>
      <c r="R4" s="333">
        <f t="shared" si="2"/>
        <v>17799694</v>
      </c>
      <c r="S4" s="333">
        <f t="shared" si="2"/>
        <v>17299694</v>
      </c>
      <c r="T4" s="333">
        <f t="shared" si="2"/>
        <v>16799694</v>
      </c>
      <c r="U4" s="333">
        <f t="shared" si="2"/>
        <v>16299694</v>
      </c>
      <c r="V4" s="333">
        <f t="shared" si="2"/>
        <v>15799694</v>
      </c>
      <c r="W4" s="333">
        <f t="shared" si="2"/>
        <v>15299694</v>
      </c>
      <c r="X4" s="333">
        <f t="shared" si="2"/>
        <v>14799694</v>
      </c>
      <c r="Y4" s="333">
        <f t="shared" si="2"/>
        <v>14299694</v>
      </c>
      <c r="Z4" s="333">
        <f t="shared" si="2"/>
        <v>13799694</v>
      </c>
      <c r="AA4" s="333">
        <f t="shared" si="2"/>
        <v>13299694</v>
      </c>
      <c r="AB4" s="333">
        <f t="shared" si="2"/>
        <v>12799694</v>
      </c>
      <c r="AC4" s="333">
        <f t="shared" si="2"/>
        <v>12299694</v>
      </c>
      <c r="AD4" s="333">
        <f t="shared" si="2"/>
        <v>11799694</v>
      </c>
    </row>
    <row r="5" spans="1:38" ht="18.75" x14ac:dyDescent="0.3">
      <c r="A5" s="334"/>
      <c r="B5" s="334"/>
      <c r="C5" s="334"/>
      <c r="D5" s="326" t="s">
        <v>611</v>
      </c>
      <c r="E5" s="335">
        <f>SUM(E6:E8)</f>
        <v>5914370</v>
      </c>
      <c r="F5" s="336">
        <f>E5/E35</f>
        <v>8.2344132024276276E-2</v>
      </c>
      <c r="G5" s="326" t="s">
        <v>612</v>
      </c>
      <c r="H5" s="337">
        <f>H6+H7</f>
        <v>64054290</v>
      </c>
      <c r="I5" s="338">
        <f>H5/$H$35</f>
        <v>0.89181010191808752</v>
      </c>
      <c r="K5" s="339" t="s">
        <v>613</v>
      </c>
      <c r="L5" s="339"/>
      <c r="M5" s="340">
        <f>8890545-289136+582050-500000</f>
        <v>8683459</v>
      </c>
      <c r="N5" s="341">
        <f>M5</f>
        <v>8683459</v>
      </c>
      <c r="O5" s="341">
        <f t="shared" ref="O5:AD5" si="3">N26</f>
        <v>9623483</v>
      </c>
      <c r="P5" s="341">
        <f t="shared" si="3"/>
        <v>9994868</v>
      </c>
      <c r="Q5" s="341">
        <f t="shared" si="3"/>
        <v>10377155</v>
      </c>
      <c r="R5" s="341">
        <f t="shared" si="3"/>
        <v>11240455</v>
      </c>
      <c r="S5" s="341">
        <f t="shared" si="3"/>
        <v>11827122</v>
      </c>
      <c r="T5" s="341">
        <f t="shared" si="3"/>
        <v>12507638</v>
      </c>
      <c r="U5" s="341">
        <f t="shared" si="3"/>
        <v>14308664</v>
      </c>
      <c r="V5" s="341">
        <f t="shared" si="3"/>
        <v>13015507</v>
      </c>
      <c r="W5" s="341">
        <f t="shared" si="3"/>
        <v>13763538</v>
      </c>
      <c r="X5" s="341">
        <f t="shared" si="3"/>
        <v>14404320</v>
      </c>
      <c r="Y5" s="341">
        <f t="shared" si="3"/>
        <v>14745102</v>
      </c>
      <c r="Z5" s="341">
        <f t="shared" si="3"/>
        <v>15385884</v>
      </c>
      <c r="AA5" s="341">
        <f t="shared" si="3"/>
        <v>15726666</v>
      </c>
      <c r="AB5" s="341">
        <f t="shared" si="3"/>
        <v>16367448</v>
      </c>
      <c r="AC5" s="341">
        <f t="shared" si="3"/>
        <v>17008230</v>
      </c>
      <c r="AD5" s="341">
        <f t="shared" si="3"/>
        <v>17349012</v>
      </c>
    </row>
    <row r="6" spans="1:38" x14ac:dyDescent="0.25">
      <c r="A6" s="342" t="str">
        <f t="shared" ref="A6:A13" si="4">L6</f>
        <v>Taquillas</v>
      </c>
      <c r="B6" s="343">
        <f t="shared" ref="B6:B13" si="5">M6/$M$14</f>
        <v>0.22935331041004314</v>
      </c>
      <c r="D6" s="344" t="s">
        <v>614</v>
      </c>
      <c r="E6" s="345">
        <v>2231620</v>
      </c>
      <c r="F6" s="346">
        <f>E6/E35</f>
        <v>3.1070225891855839E-2</v>
      </c>
      <c r="G6" s="347" t="s">
        <v>615</v>
      </c>
      <c r="H6" s="348">
        <v>300000</v>
      </c>
      <c r="I6" s="349">
        <f>H6/$H$35</f>
        <v>4.1768167374179972E-3</v>
      </c>
      <c r="K6" s="350" t="s">
        <v>616</v>
      </c>
      <c r="L6" s="350" t="s">
        <v>616</v>
      </c>
      <c r="M6" s="351">
        <f t="shared" ref="M6:M25" si="6">SUM(N6:AD6)</f>
        <v>3583548</v>
      </c>
      <c r="N6" s="352">
        <v>27383</v>
      </c>
      <c r="O6" s="352">
        <f>9097+21309</f>
        <v>30406</v>
      </c>
      <c r="P6" s="352">
        <v>74243</v>
      </c>
      <c r="Q6" s="352">
        <v>543126</v>
      </c>
      <c r="R6" s="352">
        <v>259003</v>
      </c>
      <c r="S6" s="352">
        <f>29598+336329</f>
        <v>365927</v>
      </c>
      <c r="T6" s="352">
        <f>36229+369218</f>
        <v>405447</v>
      </c>
      <c r="U6" s="352">
        <v>37304</v>
      </c>
      <c r="V6" s="352">
        <v>400709</v>
      </c>
      <c r="W6" s="352">
        <v>330000</v>
      </c>
      <c r="X6" s="352">
        <v>30000</v>
      </c>
      <c r="Y6" s="352">
        <v>330000</v>
      </c>
      <c r="Z6" s="352">
        <v>30000</v>
      </c>
      <c r="AA6" s="352">
        <v>330000</v>
      </c>
      <c r="AB6" s="352">
        <v>330000</v>
      </c>
      <c r="AC6" s="352">
        <v>30000</v>
      </c>
      <c r="AD6" s="352">
        <v>30000</v>
      </c>
    </row>
    <row r="7" spans="1:38" x14ac:dyDescent="0.25">
      <c r="A7" s="342" t="str">
        <f t="shared" si="4"/>
        <v>Patrocinadores</v>
      </c>
      <c r="B7" s="343">
        <f t="shared" si="5"/>
        <v>0.11255954161953205</v>
      </c>
      <c r="D7" s="344" t="s">
        <v>617</v>
      </c>
      <c r="E7" s="345">
        <f>102000+300+2105000+1475000+450</f>
        <v>3682750</v>
      </c>
      <c r="F7" s="346">
        <f>E7/E35</f>
        <v>5.1273906132420437E-2</v>
      </c>
      <c r="G7" s="347" t="s">
        <v>618</v>
      </c>
      <c r="H7" s="348">
        <f>63754290</f>
        <v>63754290</v>
      </c>
      <c r="I7" s="349">
        <f>H7/$H$35</f>
        <v>0.88763328518066953</v>
      </c>
      <c r="K7" s="350" t="s">
        <v>619</v>
      </c>
      <c r="L7" s="350" t="s">
        <v>619</v>
      </c>
      <c r="M7" s="351">
        <f t="shared" si="6"/>
        <v>1758695</v>
      </c>
      <c r="N7" s="353">
        <v>101385</v>
      </c>
      <c r="O7" s="353">
        <v>76225</v>
      </c>
      <c r="P7" s="353">
        <v>87880</v>
      </c>
      <c r="Q7" s="353">
        <v>94910</v>
      </c>
      <c r="R7" s="353">
        <v>98980</v>
      </c>
      <c r="S7" s="353">
        <v>101385</v>
      </c>
      <c r="T7" s="353">
        <f t="shared" ref="T7:AD7" si="7">S7+1500</f>
        <v>102885</v>
      </c>
      <c r="U7" s="353">
        <v>103605</v>
      </c>
      <c r="V7" s="353">
        <v>104160</v>
      </c>
      <c r="W7" s="353">
        <f t="shared" si="7"/>
        <v>105660</v>
      </c>
      <c r="X7" s="353">
        <f t="shared" si="7"/>
        <v>107160</v>
      </c>
      <c r="Y7" s="353">
        <f t="shared" si="7"/>
        <v>108660</v>
      </c>
      <c r="Z7" s="353">
        <f t="shared" si="7"/>
        <v>110160</v>
      </c>
      <c r="AA7" s="353">
        <f t="shared" si="7"/>
        <v>111660</v>
      </c>
      <c r="AB7" s="353">
        <f t="shared" si="7"/>
        <v>113160</v>
      </c>
      <c r="AC7" s="353">
        <f t="shared" si="7"/>
        <v>114660</v>
      </c>
      <c r="AD7" s="353">
        <f t="shared" si="7"/>
        <v>116160</v>
      </c>
    </row>
    <row r="8" spans="1:38" x14ac:dyDescent="0.25">
      <c r="A8" s="342" t="str">
        <f t="shared" si="4"/>
        <v>Ventas</v>
      </c>
      <c r="B8" s="343">
        <f t="shared" si="5"/>
        <v>6.8866513169158206E-2</v>
      </c>
      <c r="D8" s="354" t="s">
        <v>620</v>
      </c>
      <c r="E8" s="355">
        <v>0</v>
      </c>
      <c r="F8" s="346">
        <f>E8/E35</f>
        <v>0</v>
      </c>
      <c r="G8" s="356"/>
      <c r="H8" s="357"/>
      <c r="I8" s="338"/>
      <c r="K8" s="350" t="s">
        <v>621</v>
      </c>
      <c r="L8" s="350" t="s">
        <v>622</v>
      </c>
      <c r="M8" s="351">
        <f t="shared" si="6"/>
        <v>1076010</v>
      </c>
      <c r="N8" s="352">
        <v>0</v>
      </c>
      <c r="O8" s="352">
        <v>0</v>
      </c>
      <c r="P8" s="352">
        <v>0</v>
      </c>
      <c r="Q8" s="352">
        <v>0</v>
      </c>
      <c r="R8" s="352">
        <v>0</v>
      </c>
      <c r="S8" s="352">
        <v>0</v>
      </c>
      <c r="T8" s="352">
        <f>959760+116250</f>
        <v>1076010</v>
      </c>
      <c r="U8" s="352">
        <v>0</v>
      </c>
      <c r="V8" s="352">
        <v>0</v>
      </c>
      <c r="W8" s="352">
        <v>0</v>
      </c>
      <c r="X8" s="352">
        <v>0</v>
      </c>
      <c r="Y8" s="352">
        <v>0</v>
      </c>
      <c r="Z8" s="352">
        <v>0</v>
      </c>
      <c r="AA8" s="352">
        <v>0</v>
      </c>
      <c r="AB8" s="352">
        <v>0</v>
      </c>
      <c r="AC8" s="352">
        <v>0</v>
      </c>
      <c r="AD8" s="352">
        <v>0</v>
      </c>
      <c r="AF8" s="358"/>
      <c r="AG8" s="358"/>
    </row>
    <row r="9" spans="1:38" x14ac:dyDescent="0.25">
      <c r="A9" s="342" t="str">
        <f t="shared" si="4"/>
        <v>VentasCantera</v>
      </c>
      <c r="B9" s="343">
        <f t="shared" si="5"/>
        <v>1.1369909261531913E-2</v>
      </c>
      <c r="D9" s="359"/>
      <c r="E9" s="327"/>
      <c r="F9" s="336"/>
      <c r="G9" s="356"/>
      <c r="H9" s="357"/>
      <c r="I9" s="338"/>
      <c r="K9" s="350"/>
      <c r="L9" s="350" t="s">
        <v>623</v>
      </c>
      <c r="M9" s="351">
        <f t="shared" si="6"/>
        <v>177650</v>
      </c>
      <c r="N9" s="352">
        <v>133000</v>
      </c>
      <c r="O9" s="352">
        <v>44650</v>
      </c>
      <c r="P9" s="352">
        <v>0</v>
      </c>
      <c r="Q9" s="352">
        <v>0</v>
      </c>
      <c r="R9" s="352">
        <v>0</v>
      </c>
      <c r="S9" s="352">
        <v>0</v>
      </c>
      <c r="T9" s="352">
        <v>0</v>
      </c>
      <c r="U9" s="352">
        <v>0</v>
      </c>
      <c r="V9" s="352">
        <v>0</v>
      </c>
      <c r="W9" s="352">
        <v>0</v>
      </c>
      <c r="X9" s="352">
        <v>0</v>
      </c>
      <c r="Y9" s="352">
        <v>0</v>
      </c>
      <c r="Z9" s="352">
        <v>0</v>
      </c>
      <c r="AA9" s="352">
        <v>0</v>
      </c>
      <c r="AB9" s="352">
        <v>0</v>
      </c>
      <c r="AC9" s="352">
        <v>0</v>
      </c>
      <c r="AD9" s="352">
        <v>0</v>
      </c>
    </row>
    <row r="10" spans="1:38" x14ac:dyDescent="0.25">
      <c r="A10" s="342" t="str">
        <f t="shared" si="4"/>
        <v>Comisiones</v>
      </c>
      <c r="B10" s="343">
        <f t="shared" si="5"/>
        <v>4.5735644009517063E-3</v>
      </c>
      <c r="D10" s="326" t="s">
        <v>670</v>
      </c>
      <c r="E10" s="335">
        <f>E11+E12+E13</f>
        <v>11299694</v>
      </c>
      <c r="F10" s="336">
        <f>E10/E35</f>
        <v>0.15732250342300574</v>
      </c>
      <c r="G10" s="326" t="s">
        <v>624</v>
      </c>
      <c r="H10" s="337">
        <f>SUM(H11:H16)</f>
        <v>1152503</v>
      </c>
      <c r="I10" s="338">
        <f t="shared" ref="I10:I16" si="8">H10/$H$35</f>
        <v>1.6045979401081514E-2</v>
      </c>
      <c r="K10" s="350" t="s">
        <v>625</v>
      </c>
      <c r="L10" s="350" t="s">
        <v>625</v>
      </c>
      <c r="M10" s="351">
        <f t="shared" si="6"/>
        <v>71460</v>
      </c>
      <c r="N10" s="353">
        <f>1750+16320+2040</f>
        <v>20110</v>
      </c>
      <c r="O10" s="353">
        <v>0</v>
      </c>
      <c r="P10" s="353">
        <v>0</v>
      </c>
      <c r="Q10" s="353">
        <v>5100</v>
      </c>
      <c r="R10" s="353">
        <v>8550</v>
      </c>
      <c r="S10" s="353">
        <v>0</v>
      </c>
      <c r="T10" s="353">
        <v>4040</v>
      </c>
      <c r="U10" s="353">
        <v>0</v>
      </c>
      <c r="V10" s="353">
        <v>33660</v>
      </c>
      <c r="W10" s="353">
        <v>0</v>
      </c>
      <c r="X10" s="353">
        <f t="shared" ref="T10:AD11" si="9">W10</f>
        <v>0</v>
      </c>
      <c r="Y10" s="353">
        <f t="shared" si="9"/>
        <v>0</v>
      </c>
      <c r="Z10" s="353">
        <f t="shared" si="9"/>
        <v>0</v>
      </c>
      <c r="AA10" s="353">
        <f t="shared" si="9"/>
        <v>0</v>
      </c>
      <c r="AB10" s="353">
        <f t="shared" si="9"/>
        <v>0</v>
      </c>
      <c r="AC10" s="353">
        <f t="shared" si="9"/>
        <v>0</v>
      </c>
      <c r="AD10" s="353">
        <f t="shared" si="9"/>
        <v>0</v>
      </c>
    </row>
    <row r="11" spans="1:38" x14ac:dyDescent="0.25">
      <c r="A11" s="342" t="str">
        <f t="shared" si="4"/>
        <v>Nuevos Socios</v>
      </c>
      <c r="B11" s="343">
        <f t="shared" si="5"/>
        <v>3.6616675973586482E-3</v>
      </c>
      <c r="D11" s="360" t="s">
        <v>626</v>
      </c>
      <c r="E11" s="361">
        <f>N4</f>
        <v>19799694</v>
      </c>
      <c r="F11" s="346">
        <f>E11/E35</f>
        <v>0.27566564431651569</v>
      </c>
      <c r="G11" s="362" t="s">
        <v>627</v>
      </c>
      <c r="H11" s="363">
        <f>37680+114250</f>
        <v>151930</v>
      </c>
      <c r="I11" s="349">
        <f t="shared" si="8"/>
        <v>2.1152792230530546E-3</v>
      </c>
      <c r="K11" s="471" t="s">
        <v>628</v>
      </c>
      <c r="L11" s="350" t="s">
        <v>629</v>
      </c>
      <c r="M11" s="351">
        <f t="shared" si="6"/>
        <v>57212</v>
      </c>
      <c r="N11" s="353">
        <f>52982+150+150</f>
        <v>53282</v>
      </c>
      <c r="O11" s="353">
        <v>240</v>
      </c>
      <c r="P11" s="353">
        <v>300</v>
      </c>
      <c r="Q11" s="353">
        <v>300</v>
      </c>
      <c r="R11" s="353">
        <v>270</v>
      </c>
      <c r="S11" s="353">
        <v>300</v>
      </c>
      <c r="T11" s="353">
        <v>240</v>
      </c>
      <c r="U11" s="353">
        <v>240</v>
      </c>
      <c r="V11" s="353">
        <v>120</v>
      </c>
      <c r="W11" s="353">
        <v>240</v>
      </c>
      <c r="X11" s="353">
        <f t="shared" si="9"/>
        <v>240</v>
      </c>
      <c r="Y11" s="353">
        <f t="shared" si="9"/>
        <v>240</v>
      </c>
      <c r="Z11" s="353">
        <f t="shared" si="9"/>
        <v>240</v>
      </c>
      <c r="AA11" s="353">
        <f t="shared" si="9"/>
        <v>240</v>
      </c>
      <c r="AB11" s="353">
        <f t="shared" si="9"/>
        <v>240</v>
      </c>
      <c r="AC11" s="353">
        <f t="shared" si="9"/>
        <v>240</v>
      </c>
      <c r="AD11" s="353">
        <f t="shared" si="9"/>
        <v>240</v>
      </c>
    </row>
    <row r="12" spans="1:38" x14ac:dyDescent="0.25">
      <c r="A12" s="342" t="str">
        <f t="shared" si="4"/>
        <v>Premios</v>
      </c>
      <c r="B12" s="343">
        <f t="shared" si="5"/>
        <v>2.560069633894042E-2</v>
      </c>
      <c r="D12" s="360" t="str">
        <f>L13</f>
        <v>Ing Reservas</v>
      </c>
      <c r="E12" s="478">
        <f>M13*-1</f>
        <v>-8500000</v>
      </c>
      <c r="F12" s="346">
        <f>E12/E35</f>
        <v>-0.11834314089350993</v>
      </c>
      <c r="G12" s="364" t="s">
        <v>630</v>
      </c>
      <c r="H12" s="365">
        <v>0</v>
      </c>
      <c r="I12" s="366">
        <f t="shared" si="8"/>
        <v>0</v>
      </c>
      <c r="K12" s="472"/>
      <c r="L12" s="350" t="s">
        <v>631</v>
      </c>
      <c r="M12" s="351">
        <f t="shared" si="6"/>
        <v>400000</v>
      </c>
      <c r="N12" s="353">
        <v>400000</v>
      </c>
      <c r="O12" s="353">
        <v>0</v>
      </c>
      <c r="P12" s="353">
        <v>0</v>
      </c>
      <c r="Q12" s="353">
        <v>0</v>
      </c>
      <c r="R12" s="353">
        <v>0</v>
      </c>
      <c r="S12" s="353">
        <v>0</v>
      </c>
      <c r="T12" s="353">
        <v>0</v>
      </c>
      <c r="U12" s="353">
        <v>0</v>
      </c>
      <c r="V12" s="353">
        <v>0</v>
      </c>
      <c r="W12" s="353">
        <v>0</v>
      </c>
      <c r="X12" s="353">
        <v>0</v>
      </c>
      <c r="Y12" s="353">
        <v>0</v>
      </c>
      <c r="Z12" s="353">
        <v>0</v>
      </c>
      <c r="AA12" s="353">
        <v>0</v>
      </c>
      <c r="AB12" s="353">
        <v>0</v>
      </c>
      <c r="AC12" s="353">
        <v>0</v>
      </c>
      <c r="AD12" s="353">
        <v>0</v>
      </c>
    </row>
    <row r="13" spans="1:38" ht="18.75" x14ac:dyDescent="0.3">
      <c r="A13" s="342" t="str">
        <f t="shared" si="4"/>
        <v>Ing Reservas</v>
      </c>
      <c r="B13" s="343">
        <f t="shared" si="5"/>
        <v>0.54401479720248391</v>
      </c>
      <c r="C13" s="367"/>
      <c r="D13" s="360" t="str">
        <f>L23</f>
        <v>Pago Reservas</v>
      </c>
      <c r="E13" s="361">
        <f>M23</f>
        <v>0</v>
      </c>
      <c r="F13" s="346">
        <f>E13/E35</f>
        <v>0</v>
      </c>
      <c r="G13" s="362" t="s">
        <v>632</v>
      </c>
      <c r="H13" s="363">
        <f>133000+44650</f>
        <v>177650</v>
      </c>
      <c r="I13" s="349">
        <f t="shared" si="8"/>
        <v>2.4733716446743576E-3</v>
      </c>
      <c r="J13" s="368"/>
      <c r="K13" s="473"/>
      <c r="L13" s="350" t="s">
        <v>633</v>
      </c>
      <c r="M13" s="351">
        <f t="shared" si="6"/>
        <v>8500000</v>
      </c>
      <c r="N13" s="353">
        <v>500000</v>
      </c>
      <c r="O13" s="353">
        <f>N13</f>
        <v>500000</v>
      </c>
      <c r="P13" s="353">
        <f t="shared" ref="P13:AD13" si="10">O13</f>
        <v>500000</v>
      </c>
      <c r="Q13" s="353">
        <f t="shared" si="10"/>
        <v>500000</v>
      </c>
      <c r="R13" s="353">
        <f t="shared" si="10"/>
        <v>500000</v>
      </c>
      <c r="S13" s="353">
        <f t="shared" si="10"/>
        <v>500000</v>
      </c>
      <c r="T13" s="353">
        <f t="shared" si="10"/>
        <v>500000</v>
      </c>
      <c r="U13" s="353">
        <f t="shared" si="10"/>
        <v>500000</v>
      </c>
      <c r="V13" s="353">
        <f t="shared" si="10"/>
        <v>500000</v>
      </c>
      <c r="W13" s="353">
        <f t="shared" si="10"/>
        <v>500000</v>
      </c>
      <c r="X13" s="353">
        <f t="shared" si="10"/>
        <v>500000</v>
      </c>
      <c r="Y13" s="353">
        <f t="shared" si="10"/>
        <v>500000</v>
      </c>
      <c r="Z13" s="353">
        <f t="shared" si="10"/>
        <v>500000</v>
      </c>
      <c r="AA13" s="353">
        <f t="shared" si="10"/>
        <v>500000</v>
      </c>
      <c r="AB13" s="353">
        <f t="shared" si="10"/>
        <v>500000</v>
      </c>
      <c r="AC13" s="353">
        <f t="shared" si="10"/>
        <v>500000</v>
      </c>
      <c r="AD13" s="353">
        <f t="shared" si="10"/>
        <v>500000</v>
      </c>
      <c r="AE13" s="368"/>
      <c r="AF13" s="368"/>
      <c r="AG13" s="368"/>
      <c r="AH13" s="368"/>
      <c r="AI13" s="368"/>
      <c r="AJ13" s="368"/>
      <c r="AK13" s="368"/>
      <c r="AL13" s="368"/>
    </row>
    <row r="14" spans="1:38" ht="18.75" x14ac:dyDescent="0.3">
      <c r="A14" s="367"/>
      <c r="B14" s="369">
        <f>SUM(B6:B13)</f>
        <v>1</v>
      </c>
      <c r="D14" s="359"/>
      <c r="E14" s="370"/>
      <c r="G14" s="362" t="s">
        <v>634</v>
      </c>
      <c r="H14" s="363">
        <v>0</v>
      </c>
      <c r="I14" s="349">
        <f t="shared" si="8"/>
        <v>0</v>
      </c>
      <c r="K14" s="371" t="s">
        <v>635</v>
      </c>
      <c r="L14" s="372"/>
      <c r="M14" s="373">
        <f t="shared" si="6"/>
        <v>15624575</v>
      </c>
      <c r="N14" s="374">
        <f>SUM(N6:N13)</f>
        <v>1235160</v>
      </c>
      <c r="O14" s="374">
        <f t="shared" ref="O14:AD14" si="11">SUM(O6:O13)</f>
        <v>651521</v>
      </c>
      <c r="P14" s="374">
        <f t="shared" si="11"/>
        <v>662423</v>
      </c>
      <c r="Q14" s="374">
        <f t="shared" si="11"/>
        <v>1143436</v>
      </c>
      <c r="R14" s="374">
        <f t="shared" si="11"/>
        <v>866803</v>
      </c>
      <c r="S14" s="374">
        <f t="shared" si="11"/>
        <v>967612</v>
      </c>
      <c r="T14" s="374">
        <f t="shared" si="11"/>
        <v>2088622</v>
      </c>
      <c r="U14" s="374">
        <f t="shared" si="11"/>
        <v>641149</v>
      </c>
      <c r="V14" s="374">
        <f t="shared" si="11"/>
        <v>1038649</v>
      </c>
      <c r="W14" s="374">
        <f t="shared" si="11"/>
        <v>935900</v>
      </c>
      <c r="X14" s="374">
        <f t="shared" si="11"/>
        <v>637400</v>
      </c>
      <c r="Y14" s="374">
        <f t="shared" si="11"/>
        <v>938900</v>
      </c>
      <c r="Z14" s="374">
        <f t="shared" si="11"/>
        <v>640400</v>
      </c>
      <c r="AA14" s="374">
        <f t="shared" si="11"/>
        <v>941900</v>
      </c>
      <c r="AB14" s="374">
        <f t="shared" si="11"/>
        <v>943400</v>
      </c>
      <c r="AC14" s="374">
        <f t="shared" si="11"/>
        <v>644900</v>
      </c>
      <c r="AD14" s="374">
        <f t="shared" si="11"/>
        <v>646400</v>
      </c>
    </row>
    <row r="15" spans="1:38" ht="18.75" x14ac:dyDescent="0.3">
      <c r="A15" s="457">
        <f>M14</f>
        <v>15624575</v>
      </c>
      <c r="B15" s="457"/>
      <c r="D15" s="326" t="s">
        <v>636</v>
      </c>
      <c r="E15" s="335">
        <f>SUM(E16:E19)</f>
        <v>30302935</v>
      </c>
      <c r="F15" s="336">
        <f>E15/E35</f>
        <v>0.42189935366963216</v>
      </c>
      <c r="G15" s="362" t="s">
        <v>637</v>
      </c>
      <c r="H15" s="363">
        <v>0</v>
      </c>
      <c r="I15" s="349">
        <f t="shared" si="8"/>
        <v>0</v>
      </c>
      <c r="K15" s="375" t="s">
        <v>638</v>
      </c>
      <c r="L15" s="376" t="str">
        <f>K15</f>
        <v>Sueldos</v>
      </c>
      <c r="M15" s="377">
        <f t="shared" si="6"/>
        <v>2957684</v>
      </c>
      <c r="N15" s="378">
        <v>162736</v>
      </c>
      <c r="O15" s="378">
        <v>162736</v>
      </c>
      <c r="P15" s="378">
        <v>162736</v>
      </c>
      <c r="Q15" s="378">
        <f>P15</f>
        <v>162736</v>
      </c>
      <c r="R15" s="378">
        <v>162736</v>
      </c>
      <c r="S15" s="378">
        <v>168696</v>
      </c>
      <c r="T15" s="378">
        <f t="shared" ref="T15:AD15" si="12">S15+1500</f>
        <v>170196</v>
      </c>
      <c r="U15" s="378">
        <v>165150</v>
      </c>
      <c r="V15" s="378">
        <v>176218</v>
      </c>
      <c r="W15" s="378">
        <f t="shared" si="12"/>
        <v>177718</v>
      </c>
      <c r="X15" s="378">
        <f t="shared" si="12"/>
        <v>179218</v>
      </c>
      <c r="Y15" s="378">
        <f t="shared" si="12"/>
        <v>180718</v>
      </c>
      <c r="Z15" s="378">
        <f t="shared" si="12"/>
        <v>182218</v>
      </c>
      <c r="AA15" s="378">
        <f t="shared" si="12"/>
        <v>183718</v>
      </c>
      <c r="AB15" s="378">
        <f t="shared" si="12"/>
        <v>185218</v>
      </c>
      <c r="AC15" s="378">
        <f t="shared" si="12"/>
        <v>186718</v>
      </c>
      <c r="AD15" s="378">
        <f t="shared" si="12"/>
        <v>188218</v>
      </c>
    </row>
    <row r="16" spans="1:38" x14ac:dyDescent="0.25">
      <c r="D16" s="360" t="s">
        <v>639</v>
      </c>
      <c r="E16" s="361">
        <v>0</v>
      </c>
      <c r="F16" s="346">
        <f>E16/E35</f>
        <v>0</v>
      </c>
      <c r="G16" s="379" t="s">
        <v>640</v>
      </c>
      <c r="H16" s="380">
        <f>E29-H26</f>
        <v>822923</v>
      </c>
      <c r="I16" s="349">
        <f t="shared" si="8"/>
        <v>1.1457328533354101E-2</v>
      </c>
      <c r="K16" s="375" t="s">
        <v>641</v>
      </c>
      <c r="L16" s="376" t="str">
        <f>K16</f>
        <v xml:space="preserve">Mantenimiento </v>
      </c>
      <c r="M16" s="377">
        <f t="shared" si="6"/>
        <v>495040</v>
      </c>
      <c r="N16" s="378">
        <v>29120</v>
      </c>
      <c r="O16" s="378">
        <f>N16</f>
        <v>29120</v>
      </c>
      <c r="P16" s="378">
        <f t="shared" ref="P16:AD16" si="13">O16</f>
        <v>29120</v>
      </c>
      <c r="Q16" s="378">
        <f t="shared" si="13"/>
        <v>29120</v>
      </c>
      <c r="R16" s="378">
        <f t="shared" si="13"/>
        <v>29120</v>
      </c>
      <c r="S16" s="378">
        <f t="shared" si="13"/>
        <v>29120</v>
      </c>
      <c r="T16" s="378">
        <f t="shared" si="13"/>
        <v>29120</v>
      </c>
      <c r="U16" s="378">
        <f t="shared" si="13"/>
        <v>29120</v>
      </c>
      <c r="V16" s="378">
        <f t="shared" si="13"/>
        <v>29120</v>
      </c>
      <c r="W16" s="378">
        <f t="shared" si="13"/>
        <v>29120</v>
      </c>
      <c r="X16" s="378">
        <f t="shared" si="13"/>
        <v>29120</v>
      </c>
      <c r="Y16" s="378">
        <f t="shared" si="13"/>
        <v>29120</v>
      </c>
      <c r="Z16" s="378">
        <f t="shared" si="13"/>
        <v>29120</v>
      </c>
      <c r="AA16" s="378">
        <f t="shared" si="13"/>
        <v>29120</v>
      </c>
      <c r="AB16" s="378">
        <f t="shared" si="13"/>
        <v>29120</v>
      </c>
      <c r="AC16" s="378">
        <f t="shared" si="13"/>
        <v>29120</v>
      </c>
      <c r="AD16" s="378">
        <f t="shared" si="13"/>
        <v>29120</v>
      </c>
    </row>
    <row r="17" spans="1:30" ht="20.25" customHeight="1" x14ac:dyDescent="0.25">
      <c r="D17" s="381" t="s">
        <v>636</v>
      </c>
      <c r="E17" s="382">
        <f>14003+1100+450+378420+6200+2100000+19100+99021+350+895000+8000+1838000+8434+5000+1570248</f>
        <v>6943326</v>
      </c>
      <c r="F17" s="383">
        <f>E17/E35</f>
        <v>9.6670000833831843E-2</v>
      </c>
      <c r="G17" s="359"/>
      <c r="H17" s="357"/>
      <c r="I17" s="384"/>
      <c r="K17" s="375" t="s">
        <v>642</v>
      </c>
      <c r="L17" s="376" t="s">
        <v>614</v>
      </c>
      <c r="M17" s="377">
        <f t="shared" si="6"/>
        <v>0</v>
      </c>
      <c r="N17" s="378">
        <v>0</v>
      </c>
      <c r="O17" s="378">
        <v>0</v>
      </c>
      <c r="P17" s="378">
        <v>0</v>
      </c>
      <c r="Q17" s="378">
        <v>0</v>
      </c>
      <c r="R17" s="378">
        <v>0</v>
      </c>
      <c r="S17" s="378">
        <v>0</v>
      </c>
      <c r="T17" s="378">
        <v>0</v>
      </c>
      <c r="U17" s="378">
        <v>0</v>
      </c>
      <c r="V17" s="378">
        <v>0</v>
      </c>
      <c r="W17" s="378">
        <v>0</v>
      </c>
      <c r="X17" s="378">
        <v>0</v>
      </c>
      <c r="Y17" s="378">
        <v>0</v>
      </c>
      <c r="Z17" s="378">
        <v>0</v>
      </c>
      <c r="AA17" s="378">
        <v>0</v>
      </c>
      <c r="AB17" s="378">
        <v>0</v>
      </c>
      <c r="AC17" s="378">
        <v>0</v>
      </c>
      <c r="AD17" s="378">
        <v>0</v>
      </c>
    </row>
    <row r="18" spans="1:30" x14ac:dyDescent="0.25">
      <c r="D18" s="360" t="s">
        <v>643</v>
      </c>
      <c r="E18" s="361">
        <f>7000000+19000+600000+4000+496109+4000+1530000+5500+3450000+10000+2500000+5000+3600000+15000+3869000+5000+245000+2000</f>
        <v>23359609</v>
      </c>
      <c r="F18" s="346">
        <f>E18/E35</f>
        <v>0.32522935283580029</v>
      </c>
      <c r="G18" s="326" t="s">
        <v>644</v>
      </c>
      <c r="H18" s="385">
        <f>H19</f>
        <v>1570248</v>
      </c>
      <c r="I18" s="338">
        <f>H18/$H$35</f>
        <v>2.1862127094323787E-2</v>
      </c>
      <c r="K18" s="375" t="s">
        <v>645</v>
      </c>
      <c r="L18" s="376" t="str">
        <f>K18</f>
        <v>Empleados</v>
      </c>
      <c r="M18" s="377">
        <f t="shared" si="6"/>
        <v>1109760</v>
      </c>
      <c r="N18" s="378">
        <v>65280</v>
      </c>
      <c r="O18" s="378">
        <f>N18</f>
        <v>65280</v>
      </c>
      <c r="P18" s="378">
        <f t="shared" ref="P18:AD24" si="14">O18</f>
        <v>65280</v>
      </c>
      <c r="Q18" s="378">
        <f t="shared" si="14"/>
        <v>65280</v>
      </c>
      <c r="R18" s="378">
        <f t="shared" si="14"/>
        <v>65280</v>
      </c>
      <c r="S18" s="378">
        <f t="shared" si="14"/>
        <v>65280</v>
      </c>
      <c r="T18" s="378">
        <f t="shared" si="14"/>
        <v>65280</v>
      </c>
      <c r="U18" s="378">
        <f t="shared" si="14"/>
        <v>65280</v>
      </c>
      <c r="V18" s="378">
        <f t="shared" si="14"/>
        <v>65280</v>
      </c>
      <c r="W18" s="378">
        <f t="shared" si="14"/>
        <v>65280</v>
      </c>
      <c r="X18" s="378">
        <f t="shared" si="14"/>
        <v>65280</v>
      </c>
      <c r="Y18" s="378">
        <f t="shared" si="14"/>
        <v>65280</v>
      </c>
      <c r="Z18" s="378">
        <f t="shared" si="14"/>
        <v>65280</v>
      </c>
      <c r="AA18" s="378">
        <f t="shared" si="14"/>
        <v>65280</v>
      </c>
      <c r="AB18" s="378">
        <f t="shared" si="14"/>
        <v>65280</v>
      </c>
      <c r="AC18" s="378">
        <f t="shared" si="14"/>
        <v>65280</v>
      </c>
      <c r="AD18" s="378">
        <f t="shared" si="14"/>
        <v>65280</v>
      </c>
    </row>
    <row r="19" spans="1:30" x14ac:dyDescent="0.25">
      <c r="D19" s="360" t="s">
        <v>646</v>
      </c>
      <c r="E19" s="361">
        <v>0</v>
      </c>
      <c r="F19" s="346">
        <f>E19/E35</f>
        <v>0</v>
      </c>
      <c r="G19" s="386" t="s">
        <v>647</v>
      </c>
      <c r="H19" s="387">
        <f>M20</f>
        <v>1570248</v>
      </c>
      <c r="I19" s="349">
        <f>H19/$H$35</f>
        <v>2.1862127094323787E-2</v>
      </c>
      <c r="K19" s="375" t="s">
        <v>648</v>
      </c>
      <c r="L19" s="376" t="str">
        <f>K19</f>
        <v>Juveniles</v>
      </c>
      <c r="M19" s="377">
        <f t="shared" si="6"/>
        <v>340000</v>
      </c>
      <c r="N19" s="378">
        <v>20000</v>
      </c>
      <c r="O19" s="378">
        <f>N19</f>
        <v>20000</v>
      </c>
      <c r="P19" s="378">
        <f t="shared" si="14"/>
        <v>20000</v>
      </c>
      <c r="Q19" s="378">
        <f t="shared" si="14"/>
        <v>20000</v>
      </c>
      <c r="R19" s="378">
        <f t="shared" si="14"/>
        <v>20000</v>
      </c>
      <c r="S19" s="378">
        <f t="shared" si="14"/>
        <v>20000</v>
      </c>
      <c r="T19" s="378">
        <f t="shared" si="14"/>
        <v>20000</v>
      </c>
      <c r="U19" s="378">
        <f t="shared" si="14"/>
        <v>20000</v>
      </c>
      <c r="V19" s="378">
        <f t="shared" si="14"/>
        <v>20000</v>
      </c>
      <c r="W19" s="378">
        <f t="shared" si="14"/>
        <v>20000</v>
      </c>
      <c r="X19" s="378">
        <f t="shared" si="14"/>
        <v>20000</v>
      </c>
      <c r="Y19" s="378">
        <f t="shared" si="14"/>
        <v>20000</v>
      </c>
      <c r="Z19" s="378">
        <f t="shared" si="14"/>
        <v>20000</v>
      </c>
      <c r="AA19" s="378">
        <f t="shared" si="14"/>
        <v>20000</v>
      </c>
      <c r="AB19" s="378">
        <f t="shared" si="14"/>
        <v>20000</v>
      </c>
      <c r="AC19" s="378">
        <f t="shared" si="14"/>
        <v>20000</v>
      </c>
      <c r="AD19" s="378">
        <f t="shared" si="14"/>
        <v>20000</v>
      </c>
    </row>
    <row r="20" spans="1:30" ht="20.25" customHeight="1" x14ac:dyDescent="0.25">
      <c r="D20" s="359"/>
      <c r="E20" s="370"/>
      <c r="F20" s="388"/>
      <c r="G20" s="389"/>
      <c r="H20" s="390"/>
      <c r="I20" s="391"/>
      <c r="K20" s="375" t="s">
        <v>649</v>
      </c>
      <c r="L20" s="376" t="s">
        <v>647</v>
      </c>
      <c r="M20" s="377">
        <f t="shared" si="6"/>
        <v>1570248</v>
      </c>
      <c r="N20" s="378">
        <v>0</v>
      </c>
      <c r="O20" s="378">
        <v>0</v>
      </c>
      <c r="P20" s="378">
        <f t="shared" si="14"/>
        <v>0</v>
      </c>
      <c r="Q20" s="378">
        <f t="shared" si="14"/>
        <v>0</v>
      </c>
      <c r="R20" s="378">
        <f t="shared" si="14"/>
        <v>0</v>
      </c>
      <c r="S20" s="378">
        <f t="shared" si="14"/>
        <v>0</v>
      </c>
      <c r="T20" s="378">
        <f t="shared" si="14"/>
        <v>0</v>
      </c>
      <c r="U20" s="378">
        <v>1570248</v>
      </c>
      <c r="V20" s="378">
        <v>0</v>
      </c>
      <c r="W20" s="378">
        <f t="shared" si="14"/>
        <v>0</v>
      </c>
      <c r="X20" s="378">
        <f t="shared" si="14"/>
        <v>0</v>
      </c>
      <c r="Y20" s="378">
        <f t="shared" si="14"/>
        <v>0</v>
      </c>
      <c r="Z20" s="378">
        <f t="shared" si="14"/>
        <v>0</v>
      </c>
      <c r="AA20" s="378">
        <f t="shared" si="14"/>
        <v>0</v>
      </c>
      <c r="AB20" s="378">
        <f t="shared" si="14"/>
        <v>0</v>
      </c>
      <c r="AC20" s="378">
        <f t="shared" si="14"/>
        <v>0</v>
      </c>
      <c r="AD20" s="378">
        <f t="shared" si="14"/>
        <v>0</v>
      </c>
    </row>
    <row r="21" spans="1:30" x14ac:dyDescent="0.25">
      <c r="D21" s="326" t="s">
        <v>622</v>
      </c>
      <c r="E21" s="392">
        <f>E22</f>
        <v>1253660</v>
      </c>
      <c r="F21" s="336">
        <f>E21/E35</f>
        <v>1.745436023677149E-2</v>
      </c>
      <c r="G21" s="389"/>
      <c r="H21" s="390"/>
      <c r="I21" s="391"/>
      <c r="K21" s="453" t="s">
        <v>628</v>
      </c>
      <c r="L21" s="376" t="s">
        <v>617</v>
      </c>
      <c r="M21" s="377">
        <f t="shared" si="6"/>
        <v>0</v>
      </c>
      <c r="N21" s="378">
        <v>0</v>
      </c>
      <c r="O21" s="378">
        <f>N21</f>
        <v>0</v>
      </c>
      <c r="P21" s="378">
        <f t="shared" si="14"/>
        <v>0</v>
      </c>
      <c r="Q21" s="378">
        <f t="shared" si="14"/>
        <v>0</v>
      </c>
      <c r="R21" s="378">
        <f t="shared" si="14"/>
        <v>0</v>
      </c>
      <c r="S21" s="378">
        <f t="shared" si="14"/>
        <v>0</v>
      </c>
      <c r="T21" s="378">
        <f t="shared" si="14"/>
        <v>0</v>
      </c>
      <c r="U21" s="378">
        <f t="shared" si="14"/>
        <v>0</v>
      </c>
      <c r="V21" s="378">
        <f t="shared" si="14"/>
        <v>0</v>
      </c>
      <c r="W21" s="378">
        <f t="shared" si="14"/>
        <v>0</v>
      </c>
      <c r="X21" s="378">
        <f t="shared" si="14"/>
        <v>0</v>
      </c>
      <c r="Y21" s="378">
        <f t="shared" si="14"/>
        <v>0</v>
      </c>
      <c r="Z21" s="378">
        <f t="shared" si="14"/>
        <v>0</v>
      </c>
      <c r="AA21" s="378">
        <f t="shared" si="14"/>
        <v>0</v>
      </c>
      <c r="AB21" s="378">
        <f t="shared" si="14"/>
        <v>0</v>
      </c>
      <c r="AC21" s="378">
        <f t="shared" si="14"/>
        <v>0</v>
      </c>
      <c r="AD21" s="378">
        <f t="shared" si="14"/>
        <v>0</v>
      </c>
    </row>
    <row r="22" spans="1:30" x14ac:dyDescent="0.25">
      <c r="D22" s="360" t="s">
        <v>622</v>
      </c>
      <c r="E22" s="361">
        <f>M8+M9</f>
        <v>1253660</v>
      </c>
      <c r="F22" s="346">
        <f>E22/E35</f>
        <v>1.745436023677149E-2</v>
      </c>
      <c r="G22" s="326" t="s">
        <v>650</v>
      </c>
      <c r="H22" s="337">
        <f>SUM(H23:H24)</f>
        <v>0</v>
      </c>
      <c r="I22" s="338">
        <f>H22/$H$35</f>
        <v>0</v>
      </c>
      <c r="K22" s="454"/>
      <c r="L22" s="376" t="s">
        <v>651</v>
      </c>
      <c r="M22" s="377">
        <f t="shared" si="6"/>
        <v>145508</v>
      </c>
      <c r="N22" s="378">
        <v>18000</v>
      </c>
      <c r="O22" s="378">
        <v>3000</v>
      </c>
      <c r="P22" s="378">
        <v>3000</v>
      </c>
      <c r="Q22" s="378">
        <v>3000</v>
      </c>
      <c r="R22" s="378">
        <v>3000</v>
      </c>
      <c r="S22" s="378">
        <v>4000</v>
      </c>
      <c r="T22" s="378">
        <v>3000</v>
      </c>
      <c r="U22" s="378">
        <v>84508</v>
      </c>
      <c r="V22" s="378">
        <v>0</v>
      </c>
      <c r="W22" s="378">
        <v>3000</v>
      </c>
      <c r="X22" s="378">
        <f t="shared" si="14"/>
        <v>3000</v>
      </c>
      <c r="Y22" s="378">
        <f t="shared" si="14"/>
        <v>3000</v>
      </c>
      <c r="Z22" s="378">
        <f t="shared" si="14"/>
        <v>3000</v>
      </c>
      <c r="AA22" s="378">
        <f t="shared" si="14"/>
        <v>3000</v>
      </c>
      <c r="AB22" s="378">
        <f t="shared" si="14"/>
        <v>3000</v>
      </c>
      <c r="AC22" s="378">
        <f t="shared" si="14"/>
        <v>3000</v>
      </c>
      <c r="AD22" s="378">
        <f t="shared" si="14"/>
        <v>3000</v>
      </c>
    </row>
    <row r="23" spans="1:30" ht="18.75" x14ac:dyDescent="0.3">
      <c r="C23" s="393"/>
      <c r="D23" s="359"/>
      <c r="E23" s="370"/>
      <c r="F23" s="388"/>
      <c r="G23" s="386" t="s">
        <v>614</v>
      </c>
      <c r="H23" s="394">
        <f>M17</f>
        <v>0</v>
      </c>
      <c r="I23" s="349">
        <f>H23/$H$35</f>
        <v>0</v>
      </c>
      <c r="K23" s="455"/>
      <c r="L23" s="376" t="s">
        <v>652</v>
      </c>
      <c r="M23" s="377">
        <f t="shared" si="6"/>
        <v>0</v>
      </c>
      <c r="N23" s="378">
        <v>0</v>
      </c>
      <c r="O23" s="378">
        <f>N23</f>
        <v>0</v>
      </c>
      <c r="P23" s="378">
        <f t="shared" si="14"/>
        <v>0</v>
      </c>
      <c r="Q23" s="378">
        <f t="shared" si="14"/>
        <v>0</v>
      </c>
      <c r="R23" s="378">
        <f t="shared" si="14"/>
        <v>0</v>
      </c>
      <c r="S23" s="378">
        <f t="shared" si="14"/>
        <v>0</v>
      </c>
      <c r="T23" s="378">
        <f t="shared" si="14"/>
        <v>0</v>
      </c>
      <c r="U23" s="378">
        <f t="shared" si="14"/>
        <v>0</v>
      </c>
      <c r="V23" s="378">
        <f t="shared" si="14"/>
        <v>0</v>
      </c>
      <c r="W23" s="378">
        <f t="shared" si="14"/>
        <v>0</v>
      </c>
      <c r="X23" s="378">
        <f t="shared" si="14"/>
        <v>0</v>
      </c>
      <c r="Y23" s="378">
        <f t="shared" si="14"/>
        <v>0</v>
      </c>
      <c r="Z23" s="378">
        <f t="shared" si="14"/>
        <v>0</v>
      </c>
      <c r="AA23" s="378">
        <f t="shared" si="14"/>
        <v>0</v>
      </c>
      <c r="AB23" s="378">
        <f t="shared" si="14"/>
        <v>0</v>
      </c>
      <c r="AC23" s="378">
        <f t="shared" si="14"/>
        <v>0</v>
      </c>
      <c r="AD23" s="378">
        <f t="shared" si="14"/>
        <v>0</v>
      </c>
    </row>
    <row r="24" spans="1:30" ht="18.75" x14ac:dyDescent="0.3">
      <c r="A24" s="395" t="str">
        <f t="shared" ref="A24:A31" si="15">L15</f>
        <v>Sueldos</v>
      </c>
      <c r="B24" s="396">
        <f t="shared" ref="B24:B31" si="16">M15/$M$25</f>
        <v>0.44689887341649742</v>
      </c>
      <c r="C24" s="334"/>
      <c r="D24" s="326" t="s">
        <v>669</v>
      </c>
      <c r="E24" s="335">
        <f>E25+E26-E27</f>
        <v>17183459</v>
      </c>
      <c r="F24" s="336">
        <f>E24/E35</f>
        <v>0.23924053052645308</v>
      </c>
      <c r="G24" s="386" t="s">
        <v>617</v>
      </c>
      <c r="H24" s="394">
        <f>M21</f>
        <v>0</v>
      </c>
      <c r="I24" s="349">
        <f>H24/$H$35</f>
        <v>0</v>
      </c>
      <c r="K24" s="375" t="s">
        <v>653</v>
      </c>
      <c r="L24" s="376" t="str">
        <f>K24</f>
        <v>Intereses</v>
      </c>
      <c r="M24" s="377">
        <f t="shared" si="6"/>
        <v>0</v>
      </c>
      <c r="N24" s="378">
        <v>0</v>
      </c>
      <c r="O24" s="378">
        <f t="shared" ref="O24" si="17">N24</f>
        <v>0</v>
      </c>
      <c r="P24" s="378">
        <f t="shared" si="14"/>
        <v>0</v>
      </c>
      <c r="Q24" s="378">
        <f t="shared" si="14"/>
        <v>0</v>
      </c>
      <c r="R24" s="378">
        <f t="shared" si="14"/>
        <v>0</v>
      </c>
      <c r="S24" s="378">
        <f t="shared" si="14"/>
        <v>0</v>
      </c>
      <c r="T24" s="378">
        <f t="shared" si="14"/>
        <v>0</v>
      </c>
      <c r="U24" s="378">
        <f t="shared" si="14"/>
        <v>0</v>
      </c>
      <c r="V24" s="378">
        <f t="shared" si="14"/>
        <v>0</v>
      </c>
      <c r="W24" s="378">
        <f t="shared" si="14"/>
        <v>0</v>
      </c>
      <c r="X24" s="378">
        <f t="shared" si="14"/>
        <v>0</v>
      </c>
      <c r="Y24" s="378">
        <f t="shared" si="14"/>
        <v>0</v>
      </c>
      <c r="Z24" s="378">
        <f t="shared" si="14"/>
        <v>0</v>
      </c>
      <c r="AA24" s="378">
        <f t="shared" si="14"/>
        <v>0</v>
      </c>
      <c r="AB24" s="378">
        <f t="shared" si="14"/>
        <v>0</v>
      </c>
      <c r="AC24" s="378">
        <f t="shared" si="14"/>
        <v>0</v>
      </c>
      <c r="AD24" s="378">
        <f t="shared" si="14"/>
        <v>0</v>
      </c>
    </row>
    <row r="25" spans="1:30" ht="18.75" x14ac:dyDescent="0.3">
      <c r="A25" s="395" t="str">
        <f t="shared" si="15"/>
        <v xml:space="preserve">Mantenimiento </v>
      </c>
      <c r="B25" s="396">
        <f t="shared" si="16"/>
        <v>7.4799342423363308E-2</v>
      </c>
      <c r="C25" s="311"/>
      <c r="D25" s="362" t="s">
        <v>654</v>
      </c>
      <c r="E25" s="397">
        <f>N5</f>
        <v>8683459</v>
      </c>
      <c r="F25" s="346">
        <f>E25/E35</f>
        <v>0.12089738963294315</v>
      </c>
      <c r="G25" s="398"/>
      <c r="H25" s="399"/>
      <c r="I25" s="400"/>
      <c r="K25" s="401" t="s">
        <v>655</v>
      </c>
      <c r="L25" s="402"/>
      <c r="M25" s="403">
        <f t="shared" si="6"/>
        <v>6618240</v>
      </c>
      <c r="N25" s="404">
        <f>SUM(N15:N24)</f>
        <v>295136</v>
      </c>
      <c r="O25" s="404">
        <f t="shared" ref="O25:AD25" si="18">SUM(O15:O24)</f>
        <v>280136</v>
      </c>
      <c r="P25" s="404">
        <f t="shared" si="18"/>
        <v>280136</v>
      </c>
      <c r="Q25" s="404">
        <f t="shared" si="18"/>
        <v>280136</v>
      </c>
      <c r="R25" s="404">
        <f t="shared" si="18"/>
        <v>280136</v>
      </c>
      <c r="S25" s="404">
        <f t="shared" si="18"/>
        <v>287096</v>
      </c>
      <c r="T25" s="404">
        <f t="shared" si="18"/>
        <v>287596</v>
      </c>
      <c r="U25" s="404">
        <f t="shared" si="18"/>
        <v>1934306</v>
      </c>
      <c r="V25" s="404">
        <f t="shared" si="18"/>
        <v>290618</v>
      </c>
      <c r="W25" s="404">
        <f t="shared" si="18"/>
        <v>295118</v>
      </c>
      <c r="X25" s="404">
        <f t="shared" si="18"/>
        <v>296618</v>
      </c>
      <c r="Y25" s="404">
        <f t="shared" si="18"/>
        <v>298118</v>
      </c>
      <c r="Z25" s="404">
        <f t="shared" si="18"/>
        <v>299618</v>
      </c>
      <c r="AA25" s="404">
        <f t="shared" si="18"/>
        <v>301118</v>
      </c>
      <c r="AB25" s="404">
        <f t="shared" si="18"/>
        <v>302618</v>
      </c>
      <c r="AC25" s="404">
        <f t="shared" si="18"/>
        <v>304118</v>
      </c>
      <c r="AD25" s="404">
        <f t="shared" si="18"/>
        <v>305618</v>
      </c>
    </row>
    <row r="26" spans="1:30" ht="18.75" x14ac:dyDescent="0.3">
      <c r="A26" s="395" t="str">
        <f t="shared" si="15"/>
        <v>Estadio</v>
      </c>
      <c r="B26" s="396">
        <f t="shared" si="16"/>
        <v>0</v>
      </c>
      <c r="C26" s="319"/>
      <c r="D26" s="362" t="str">
        <f>D12</f>
        <v>Ing Reservas</v>
      </c>
      <c r="E26" s="397">
        <f>M13</f>
        <v>8500000</v>
      </c>
      <c r="F26" s="346">
        <f>E26/E35</f>
        <v>0.11834314089350993</v>
      </c>
      <c r="G26" s="326" t="s">
        <v>656</v>
      </c>
      <c r="H26" s="337">
        <f>SUM(H27:H32)</f>
        <v>5047992</v>
      </c>
      <c r="I26" s="338">
        <f t="shared" ref="I26:I32" si="19">H26/$H$35</f>
        <v>7.0281791586507172E-2</v>
      </c>
      <c r="K26" s="405" t="s">
        <v>657</v>
      </c>
      <c r="L26" s="405"/>
      <c r="M26" s="341">
        <f t="shared" ref="M26:AD26" si="20">M5+M14-M25</f>
        <v>17689794</v>
      </c>
      <c r="N26" s="341">
        <f t="shared" si="20"/>
        <v>9623483</v>
      </c>
      <c r="O26" s="341">
        <f t="shared" si="20"/>
        <v>9994868</v>
      </c>
      <c r="P26" s="341">
        <f t="shared" si="20"/>
        <v>10377155</v>
      </c>
      <c r="Q26" s="341">
        <f t="shared" si="20"/>
        <v>11240455</v>
      </c>
      <c r="R26" s="341">
        <f t="shared" si="20"/>
        <v>11827122</v>
      </c>
      <c r="S26" s="341">
        <f t="shared" si="20"/>
        <v>12507638</v>
      </c>
      <c r="T26" s="341">
        <f t="shared" si="20"/>
        <v>14308664</v>
      </c>
      <c r="U26" s="341">
        <f t="shared" si="20"/>
        <v>13015507</v>
      </c>
      <c r="V26" s="341">
        <f t="shared" si="20"/>
        <v>13763538</v>
      </c>
      <c r="W26" s="341">
        <f t="shared" si="20"/>
        <v>14404320</v>
      </c>
      <c r="X26" s="341">
        <f t="shared" si="20"/>
        <v>14745102</v>
      </c>
      <c r="Y26" s="341">
        <f t="shared" si="20"/>
        <v>15385884</v>
      </c>
      <c r="Z26" s="341">
        <f t="shared" si="20"/>
        <v>15726666</v>
      </c>
      <c r="AA26" s="341">
        <f t="shared" si="20"/>
        <v>16367448</v>
      </c>
      <c r="AB26" s="341">
        <f t="shared" si="20"/>
        <v>17008230</v>
      </c>
      <c r="AC26" s="341">
        <f t="shared" si="20"/>
        <v>17349012</v>
      </c>
      <c r="AD26" s="341">
        <f t="shared" si="20"/>
        <v>17689794</v>
      </c>
    </row>
    <row r="27" spans="1:30" x14ac:dyDescent="0.25">
      <c r="A27" s="395" t="str">
        <f t="shared" si="15"/>
        <v>Empleados</v>
      </c>
      <c r="B27" s="396">
        <f t="shared" si="16"/>
        <v>0.16768204235567161</v>
      </c>
      <c r="C27" s="315"/>
      <c r="D27" s="362" t="str">
        <f>D13</f>
        <v>Pago Reservas</v>
      </c>
      <c r="E27" s="397">
        <f>M23*-1</f>
        <v>0</v>
      </c>
      <c r="F27" s="346">
        <f>E27/E35</f>
        <v>0</v>
      </c>
      <c r="G27" s="386" t="s">
        <v>658</v>
      </c>
      <c r="H27" s="394">
        <f>M15</f>
        <v>2957684</v>
      </c>
      <c r="I27" s="349">
        <f t="shared" si="19"/>
        <v>4.1179013450644709E-2</v>
      </c>
      <c r="K27" s="406"/>
      <c r="L27" s="406"/>
      <c r="M27" s="406"/>
      <c r="N27" s="407">
        <f>N1+7</f>
        <v>43644</v>
      </c>
      <c r="O27" s="407">
        <f t="shared" ref="O27:AD27" si="21">N27+7</f>
        <v>43651</v>
      </c>
      <c r="P27" s="407">
        <f t="shared" si="21"/>
        <v>43658</v>
      </c>
      <c r="Q27" s="407">
        <f t="shared" si="21"/>
        <v>43665</v>
      </c>
      <c r="R27" s="407">
        <f t="shared" si="21"/>
        <v>43672</v>
      </c>
      <c r="S27" s="407">
        <f t="shared" si="21"/>
        <v>43679</v>
      </c>
      <c r="T27" s="407">
        <f t="shared" si="21"/>
        <v>43686</v>
      </c>
      <c r="U27" s="407">
        <f t="shared" si="21"/>
        <v>43693</v>
      </c>
      <c r="V27" s="407">
        <f t="shared" si="21"/>
        <v>43700</v>
      </c>
      <c r="W27" s="407">
        <f t="shared" si="21"/>
        <v>43707</v>
      </c>
      <c r="X27" s="407">
        <f t="shared" si="21"/>
        <v>43714</v>
      </c>
      <c r="Y27" s="407">
        <f t="shared" si="21"/>
        <v>43721</v>
      </c>
      <c r="Z27" s="407">
        <f t="shared" si="21"/>
        <v>43728</v>
      </c>
      <c r="AA27" s="407">
        <f t="shared" si="21"/>
        <v>43735</v>
      </c>
      <c r="AB27" s="407">
        <f t="shared" si="21"/>
        <v>43742</v>
      </c>
      <c r="AC27" s="407">
        <f t="shared" si="21"/>
        <v>43749</v>
      </c>
      <c r="AD27" s="407">
        <f t="shared" si="21"/>
        <v>43756</v>
      </c>
    </row>
    <row r="28" spans="1:30" x14ac:dyDescent="0.25">
      <c r="A28" s="395" t="str">
        <f t="shared" si="15"/>
        <v>Juveniles</v>
      </c>
      <c r="B28" s="396">
        <f t="shared" si="16"/>
        <v>5.1373174741320957E-2</v>
      </c>
      <c r="C28" s="319"/>
      <c r="D28" s="389"/>
      <c r="E28" s="408"/>
      <c r="F28" s="346"/>
      <c r="G28" s="386" t="s">
        <v>641</v>
      </c>
      <c r="H28" s="394">
        <f>M16</f>
        <v>495040</v>
      </c>
      <c r="I28" s="349">
        <f t="shared" si="19"/>
        <v>6.8923045256380185E-3</v>
      </c>
      <c r="K28" s="409"/>
      <c r="L28" s="409"/>
      <c r="M28" s="409"/>
      <c r="N28" s="409"/>
      <c r="O28" s="409"/>
      <c r="P28" s="409"/>
      <c r="Q28" s="409"/>
      <c r="R28" s="409"/>
      <c r="S28" s="409"/>
      <c r="T28" s="409"/>
      <c r="U28" s="409"/>
      <c r="V28" s="409"/>
      <c r="W28" s="409"/>
      <c r="X28" s="409"/>
      <c r="Y28" s="409"/>
      <c r="Z28" s="409"/>
      <c r="AA28" s="409"/>
      <c r="AB28" s="409"/>
      <c r="AC28" s="409"/>
      <c r="AD28" s="409"/>
    </row>
    <row r="29" spans="1:30" x14ac:dyDescent="0.25">
      <c r="A29" s="395" t="str">
        <f t="shared" si="15"/>
        <v>Compra</v>
      </c>
      <c r="B29" s="396">
        <f t="shared" si="16"/>
        <v>0.23726066144473454</v>
      </c>
      <c r="D29" s="326" t="s">
        <v>659</v>
      </c>
      <c r="E29" s="335">
        <f>SUM(E30:E34)</f>
        <v>5870915</v>
      </c>
      <c r="F29" s="336">
        <f>E29/E35</f>
        <v>8.1739120119861272E-2</v>
      </c>
      <c r="G29" s="386" t="s">
        <v>645</v>
      </c>
      <c r="H29" s="394">
        <f>M18</f>
        <v>1109760</v>
      </c>
      <c r="I29" s="349">
        <f t="shared" si="19"/>
        <v>1.5450880475056656E-2</v>
      </c>
      <c r="K29" s="410"/>
      <c r="L29" s="410"/>
      <c r="M29" s="411" t="s">
        <v>636</v>
      </c>
      <c r="N29" s="412">
        <v>18</v>
      </c>
      <c r="O29" s="412">
        <v>18</v>
      </c>
      <c r="P29" s="412">
        <v>18</v>
      </c>
      <c r="Q29" s="412">
        <v>18</v>
      </c>
      <c r="R29" s="412">
        <v>18</v>
      </c>
      <c r="S29" s="412">
        <v>18</v>
      </c>
      <c r="T29" s="412"/>
      <c r="U29" s="412"/>
      <c r="V29" s="412">
        <v>17</v>
      </c>
      <c r="W29" s="412"/>
      <c r="X29" s="412"/>
      <c r="Y29" s="412"/>
      <c r="Z29" s="412"/>
      <c r="AA29" s="412"/>
      <c r="AB29" s="412"/>
      <c r="AC29" s="412"/>
      <c r="AD29" s="412"/>
    </row>
    <row r="30" spans="1:30" x14ac:dyDescent="0.25">
      <c r="A30" s="395" t="str">
        <f t="shared" si="15"/>
        <v>Entrenador</v>
      </c>
      <c r="B30" s="396">
        <f t="shared" si="16"/>
        <v>0</v>
      </c>
      <c r="D30" s="362" t="s">
        <v>609</v>
      </c>
      <c r="E30" s="397">
        <f>M11</f>
        <v>57212</v>
      </c>
      <c r="F30" s="346">
        <f>E30/E35</f>
        <v>7.9654679727052822E-4</v>
      </c>
      <c r="G30" s="386" t="s">
        <v>648</v>
      </c>
      <c r="H30" s="394">
        <f>M19</f>
        <v>340000</v>
      </c>
      <c r="I30" s="349">
        <f t="shared" si="19"/>
        <v>4.7337256357403972E-3</v>
      </c>
      <c r="K30" s="322"/>
      <c r="L30" s="456" t="s">
        <v>660</v>
      </c>
      <c r="M30" s="413" t="s">
        <v>12</v>
      </c>
      <c r="N30" s="412">
        <v>950340</v>
      </c>
      <c r="O30" s="412">
        <v>949900</v>
      </c>
      <c r="P30" s="412">
        <v>1007530</v>
      </c>
      <c r="Q30" s="412">
        <v>1065770</v>
      </c>
      <c r="R30" s="412">
        <v>1065800</v>
      </c>
      <c r="S30" s="412">
        <v>1092850</v>
      </c>
      <c r="T30" s="412"/>
      <c r="U30" s="412"/>
      <c r="V30" s="412">
        <v>1154480</v>
      </c>
      <c r="W30" s="412"/>
      <c r="X30" s="412"/>
      <c r="Y30" s="412"/>
      <c r="Z30" s="412"/>
      <c r="AA30" s="412"/>
      <c r="AB30" s="412"/>
      <c r="AC30" s="412"/>
      <c r="AD30" s="412"/>
    </row>
    <row r="31" spans="1:30" x14ac:dyDescent="0.25">
      <c r="A31" s="395" t="str">
        <f t="shared" si="15"/>
        <v>Viajes+Venta</v>
      </c>
      <c r="B31" s="396">
        <f t="shared" si="16"/>
        <v>2.1985905618412144E-2</v>
      </c>
      <c r="D31" s="362" t="s">
        <v>631</v>
      </c>
      <c r="E31" s="397">
        <f>M12</f>
        <v>400000</v>
      </c>
      <c r="F31" s="346">
        <f>E31/E35</f>
        <v>5.5690889832239968E-3</v>
      </c>
      <c r="G31" s="386" t="s">
        <v>651</v>
      </c>
      <c r="H31" s="394">
        <f>M22</f>
        <v>145508</v>
      </c>
      <c r="I31" s="349">
        <f t="shared" si="19"/>
        <v>2.0258674994273933E-3</v>
      </c>
      <c r="K31" s="322"/>
      <c r="L31" s="456"/>
      <c r="M31" s="413" t="s">
        <v>50</v>
      </c>
      <c r="N31" s="412">
        <v>162436</v>
      </c>
      <c r="O31" s="412">
        <v>162436</v>
      </c>
      <c r="P31" s="412">
        <v>162436</v>
      </c>
      <c r="Q31" s="412">
        <v>162436</v>
      </c>
      <c r="R31" s="412">
        <v>162436</v>
      </c>
      <c r="S31" s="412">
        <v>168396</v>
      </c>
      <c r="T31" s="412"/>
      <c r="U31" s="412"/>
      <c r="V31" s="412">
        <v>175918</v>
      </c>
      <c r="W31" s="412"/>
      <c r="X31" s="412"/>
      <c r="Y31" s="412"/>
      <c r="Z31" s="412"/>
      <c r="AA31" s="412"/>
      <c r="AB31" s="412"/>
      <c r="AC31" s="412"/>
      <c r="AD31" s="412"/>
    </row>
    <row r="32" spans="1:30" x14ac:dyDescent="0.25">
      <c r="A32" s="395" t="str">
        <f>L24</f>
        <v>Intereses</v>
      </c>
      <c r="B32" s="396">
        <f>M24/$M$25</f>
        <v>0</v>
      </c>
      <c r="D32" s="362" t="s">
        <v>616</v>
      </c>
      <c r="E32" s="397">
        <f>M6</f>
        <v>3583548</v>
      </c>
      <c r="F32" s="346">
        <f>E32/E35</f>
        <v>4.9892744219135969E-2</v>
      </c>
      <c r="G32" s="386" t="s">
        <v>653</v>
      </c>
      <c r="H32" s="394">
        <f>M24</f>
        <v>0</v>
      </c>
      <c r="I32" s="349">
        <f t="shared" si="19"/>
        <v>0</v>
      </c>
      <c r="K32" s="322"/>
      <c r="L32" s="456"/>
      <c r="M32" s="413" t="s">
        <v>661</v>
      </c>
      <c r="N32" s="412">
        <v>867000</v>
      </c>
      <c r="O32" s="412">
        <v>866870</v>
      </c>
      <c r="P32" s="412">
        <v>921130</v>
      </c>
      <c r="Q32" s="412">
        <v>981580</v>
      </c>
      <c r="R32" s="412">
        <v>981420</v>
      </c>
      <c r="S32" s="412">
        <v>1007480</v>
      </c>
      <c r="T32" s="412"/>
      <c r="U32" s="412"/>
      <c r="V32" s="412">
        <v>1062240</v>
      </c>
      <c r="W32" s="412"/>
      <c r="X32" s="412"/>
      <c r="Y32" s="412"/>
      <c r="Z32" s="412"/>
      <c r="AA32" s="412"/>
      <c r="AB32" s="412"/>
      <c r="AC32" s="412"/>
      <c r="AD32" s="412"/>
    </row>
    <row r="33" spans="1:30" ht="18.75" x14ac:dyDescent="0.3">
      <c r="A33" s="319"/>
      <c r="B33" s="414">
        <f>SUM(B24:B32)</f>
        <v>1</v>
      </c>
      <c r="D33" s="362" t="s">
        <v>619</v>
      </c>
      <c r="E33" s="397">
        <f>M7</f>
        <v>1758695</v>
      </c>
      <c r="F33" s="346">
        <f>E33/E35</f>
        <v>2.4485822373377816E-2</v>
      </c>
      <c r="G33" s="389"/>
      <c r="H33" s="390"/>
      <c r="I33" s="391"/>
      <c r="K33" s="322"/>
      <c r="L33" s="456"/>
      <c r="M33" s="413" t="s">
        <v>662</v>
      </c>
      <c r="N33" s="412">
        <v>140830</v>
      </c>
      <c r="O33" s="412">
        <v>140830</v>
      </c>
      <c r="P33" s="412">
        <v>140830</v>
      </c>
      <c r="Q33" s="412">
        <v>140830</v>
      </c>
      <c r="R33" s="412">
        <v>140830</v>
      </c>
      <c r="S33" s="412">
        <v>146790</v>
      </c>
      <c r="T33" s="412"/>
      <c r="U33" s="412"/>
      <c r="V33" s="412">
        <v>148210</v>
      </c>
      <c r="W33" s="412"/>
      <c r="X33" s="412"/>
      <c r="Y33" s="412"/>
      <c r="Z33" s="412"/>
      <c r="AA33" s="412"/>
      <c r="AB33" s="412"/>
      <c r="AC33" s="412"/>
      <c r="AD33" s="412"/>
    </row>
    <row r="34" spans="1:30" ht="18.75" x14ac:dyDescent="0.3">
      <c r="A34" s="315"/>
      <c r="B34" s="415"/>
      <c r="D34" s="416" t="s">
        <v>625</v>
      </c>
      <c r="E34" s="417">
        <f>M10</f>
        <v>71460</v>
      </c>
      <c r="F34" s="346">
        <f>E34/E35</f>
        <v>9.9491774685296695E-4</v>
      </c>
      <c r="G34" s="418"/>
      <c r="H34" s="419"/>
      <c r="I34" s="420"/>
      <c r="K34" s="322"/>
      <c r="L34" s="456"/>
      <c r="M34" s="413" t="s">
        <v>663</v>
      </c>
      <c r="N34" s="421" t="s">
        <v>668</v>
      </c>
      <c r="O34" s="421" t="s">
        <v>673</v>
      </c>
      <c r="P34" s="421" t="s">
        <v>674</v>
      </c>
      <c r="Q34" s="421" t="s">
        <v>687</v>
      </c>
      <c r="R34" s="421" t="s">
        <v>688</v>
      </c>
      <c r="S34" s="421" t="s">
        <v>691</v>
      </c>
      <c r="T34" s="421"/>
      <c r="U34" s="421"/>
      <c r="V34" s="421" t="s">
        <v>721</v>
      </c>
      <c r="W34" s="421"/>
      <c r="X34" s="421"/>
      <c r="Y34" s="421"/>
      <c r="Z34" s="421"/>
      <c r="AA34" s="421"/>
      <c r="AB34" s="421"/>
      <c r="AC34" s="421"/>
      <c r="AD34" s="421"/>
    </row>
    <row r="35" spans="1:30" ht="18.75" x14ac:dyDescent="0.3">
      <c r="A35" s="458">
        <f>M25</f>
        <v>6618240</v>
      </c>
      <c r="B35" s="458"/>
      <c r="D35" s="422" t="s">
        <v>85</v>
      </c>
      <c r="E35" s="423">
        <f>E29+E21+E15+E5+E10+E24</f>
        <v>71825033</v>
      </c>
      <c r="F35" s="424">
        <f>F29+F21+F15+F5+F10+F24</f>
        <v>1</v>
      </c>
      <c r="G35" s="422" t="s">
        <v>85</v>
      </c>
      <c r="H35" s="423">
        <f>H26+H18+H10+H5+H22</f>
        <v>71825033</v>
      </c>
      <c r="I35" s="425">
        <f>H35/$H$35</f>
        <v>1</v>
      </c>
      <c r="K35" s="322"/>
      <c r="L35" s="456"/>
      <c r="M35" s="413" t="s">
        <v>664</v>
      </c>
      <c r="N35" s="426">
        <v>6</v>
      </c>
      <c r="O35" s="426">
        <v>6</v>
      </c>
      <c r="P35" s="426">
        <v>6</v>
      </c>
      <c r="Q35" s="426">
        <v>6</v>
      </c>
      <c r="R35" s="426">
        <v>6</v>
      </c>
      <c r="S35" s="426">
        <v>6</v>
      </c>
      <c r="T35" s="426"/>
      <c r="U35" s="426"/>
      <c r="V35" s="426">
        <v>6.25</v>
      </c>
      <c r="W35" s="426"/>
      <c r="X35" s="426"/>
      <c r="Y35" s="426"/>
      <c r="Z35" s="426"/>
      <c r="AA35" s="426"/>
      <c r="AB35" s="426"/>
      <c r="AC35" s="426"/>
      <c r="AD35" s="426"/>
    </row>
    <row r="36" spans="1:30" x14ac:dyDescent="0.25">
      <c r="E36" s="358"/>
      <c r="F36" s="328"/>
      <c r="G36" s="427"/>
      <c r="H36" s="428">
        <f>E35-H35</f>
        <v>0</v>
      </c>
      <c r="I36" s="358"/>
      <c r="K36" s="319"/>
      <c r="L36" s="456"/>
      <c r="M36" s="413" t="s">
        <v>665</v>
      </c>
      <c r="N36" s="426">
        <v>5.25</v>
      </c>
      <c r="O36" s="426">
        <v>5.25</v>
      </c>
      <c r="P36" s="426">
        <v>5.75</v>
      </c>
      <c r="Q36" s="426">
        <v>6</v>
      </c>
      <c r="R36" s="426">
        <v>6</v>
      </c>
      <c r="S36" s="426">
        <v>6</v>
      </c>
      <c r="T36" s="426"/>
      <c r="U36" s="426"/>
      <c r="V36" s="426">
        <v>6</v>
      </c>
      <c r="W36" s="426"/>
      <c r="X36" s="426"/>
      <c r="Y36" s="426"/>
      <c r="Z36" s="426"/>
      <c r="AA36" s="426"/>
      <c r="AB36" s="426"/>
      <c r="AC36" s="426"/>
      <c r="AD36" s="426"/>
    </row>
    <row r="37" spans="1:30" x14ac:dyDescent="0.25">
      <c r="E37" s="358"/>
      <c r="F37" s="358"/>
      <c r="H37" s="358"/>
      <c r="I37" s="358"/>
      <c r="K37" s="319"/>
      <c r="L37" s="456"/>
      <c r="M37" s="413" t="s">
        <v>666</v>
      </c>
      <c r="N37" s="426">
        <v>4.25</v>
      </c>
      <c r="O37" s="426">
        <v>4.25</v>
      </c>
      <c r="P37" s="426">
        <v>4.25</v>
      </c>
      <c r="Q37" s="426">
        <v>4.5</v>
      </c>
      <c r="R37" s="426">
        <v>4.5</v>
      </c>
      <c r="S37" s="426">
        <v>4.5</v>
      </c>
      <c r="T37" s="426"/>
      <c r="U37" s="426"/>
      <c r="V37" s="426">
        <v>4.5</v>
      </c>
      <c r="W37" s="426"/>
      <c r="X37" s="426"/>
      <c r="Y37" s="426"/>
      <c r="Z37" s="426"/>
      <c r="AA37" s="426"/>
      <c r="AB37" s="426"/>
      <c r="AC37" s="426"/>
      <c r="AD37" s="426"/>
    </row>
    <row r="38" spans="1:30" ht="15.75" x14ac:dyDescent="0.25">
      <c r="D38" s="429"/>
      <c r="E38" s="430"/>
      <c r="F38" s="358"/>
      <c r="G38" s="46"/>
      <c r="H38" s="431"/>
      <c r="I38" s="431"/>
      <c r="K38" s="319"/>
      <c r="L38" s="319"/>
      <c r="M38" s="432" t="s">
        <v>667</v>
      </c>
      <c r="N38" s="433">
        <f t="shared" ref="N38:AD38" si="22">N30/N31</f>
        <v>5.8505503706075004</v>
      </c>
      <c r="O38" s="433">
        <f t="shared" si="22"/>
        <v>5.847841611465439</v>
      </c>
      <c r="P38" s="433">
        <f t="shared" si="22"/>
        <v>6.2026274963677999</v>
      </c>
      <c r="Q38" s="433">
        <f t="shared" si="22"/>
        <v>6.5611687064443842</v>
      </c>
      <c r="R38" s="433">
        <f t="shared" si="22"/>
        <v>6.5613533945677069</v>
      </c>
      <c r="S38" s="433">
        <f t="shared" si="22"/>
        <v>6.489762227131286</v>
      </c>
      <c r="T38" s="433"/>
      <c r="U38" s="433"/>
      <c r="V38" s="433">
        <f t="shared" si="22"/>
        <v>6.5626030309576056</v>
      </c>
      <c r="W38" s="433" t="e">
        <f t="shared" si="22"/>
        <v>#DIV/0!</v>
      </c>
      <c r="X38" s="433" t="e">
        <f t="shared" si="22"/>
        <v>#DIV/0!</v>
      </c>
      <c r="Y38" s="433" t="e">
        <f t="shared" si="22"/>
        <v>#DIV/0!</v>
      </c>
      <c r="Z38" s="433" t="e">
        <f t="shared" si="22"/>
        <v>#DIV/0!</v>
      </c>
      <c r="AA38" s="433" t="e">
        <f t="shared" si="22"/>
        <v>#DIV/0!</v>
      </c>
      <c r="AB38" s="433" t="e">
        <f t="shared" si="22"/>
        <v>#DIV/0!</v>
      </c>
      <c r="AC38" s="433" t="e">
        <f t="shared" si="22"/>
        <v>#DIV/0!</v>
      </c>
      <c r="AD38" s="433" t="e">
        <f t="shared" si="22"/>
        <v>#DIV/0!</v>
      </c>
    </row>
    <row r="39" spans="1:30" x14ac:dyDescent="0.25">
      <c r="E39" s="431"/>
      <c r="F39" s="358"/>
      <c r="H39" s="358"/>
      <c r="I39" s="358"/>
      <c r="K39" s="319"/>
      <c r="L39" s="319"/>
      <c r="M39" s="319"/>
      <c r="N39" s="132"/>
      <c r="O39" s="434"/>
      <c r="P39" s="459"/>
      <c r="Q39" s="459"/>
      <c r="R39" s="459"/>
      <c r="S39" s="459"/>
    </row>
    <row r="40" spans="1:30" x14ac:dyDescent="0.25">
      <c r="E40" s="358"/>
      <c r="F40" s="358"/>
      <c r="H40" s="358"/>
      <c r="I40" s="358"/>
      <c r="K40" s="319"/>
      <c r="L40" s="319"/>
      <c r="M40" s="319"/>
      <c r="N40" s="435"/>
      <c r="O40" s="435"/>
      <c r="P40" s="435"/>
      <c r="Q40" s="435"/>
      <c r="R40" s="435"/>
      <c r="S40" s="435"/>
      <c r="T40" s="435"/>
      <c r="U40" s="435"/>
      <c r="V40" s="435"/>
      <c r="W40" s="435"/>
      <c r="X40" s="435"/>
      <c r="Y40" s="435"/>
    </row>
    <row r="41" spans="1:30" x14ac:dyDescent="0.25">
      <c r="K41" s="319"/>
      <c r="L41" s="319"/>
      <c r="M41" s="319"/>
      <c r="O41" s="434"/>
      <c r="P41" s="434"/>
      <c r="Q41" s="434"/>
      <c r="R41" s="434"/>
      <c r="S41" s="434"/>
      <c r="T41" s="434"/>
      <c r="U41" s="434"/>
      <c r="V41" s="477">
        <f>V26-13263538-V13</f>
        <v>0</v>
      </c>
      <c r="W41" s="434"/>
      <c r="X41" s="434"/>
      <c r="Y41" s="434"/>
      <c r="Z41" s="434"/>
      <c r="AA41" s="434"/>
      <c r="AB41" s="434"/>
      <c r="AC41" s="434"/>
      <c r="AD41" s="434"/>
    </row>
    <row r="42" spans="1:30" x14ac:dyDescent="0.25">
      <c r="K42" s="319"/>
      <c r="L42" s="319"/>
      <c r="M42" s="319"/>
      <c r="O42" s="434"/>
      <c r="P42" s="452"/>
      <c r="Q42" s="452"/>
      <c r="R42" s="452"/>
      <c r="S42" s="452"/>
      <c r="V42" s="436"/>
    </row>
    <row r="43" spans="1:30" x14ac:dyDescent="0.25">
      <c r="K43" s="319"/>
      <c r="L43" s="319"/>
      <c r="M43" s="319"/>
      <c r="N43" s="436"/>
      <c r="O43" s="434"/>
      <c r="P43" s="437"/>
      <c r="Q43" s="437"/>
      <c r="R43" s="437"/>
      <c r="S43" s="437"/>
    </row>
    <row r="44" spans="1:30" x14ac:dyDescent="0.25">
      <c r="K44" s="319"/>
      <c r="L44" s="319"/>
      <c r="M44" s="319"/>
      <c r="O44" s="434"/>
      <c r="P44" s="452"/>
      <c r="Q44" s="452"/>
      <c r="R44" s="452"/>
      <c r="S44" s="452"/>
      <c r="Y44" s="436"/>
    </row>
    <row r="45" spans="1:30" x14ac:dyDescent="0.25">
      <c r="K45" s="319"/>
      <c r="L45" s="319"/>
      <c r="M45" s="319"/>
      <c r="O45" s="434"/>
      <c r="P45" s="452"/>
      <c r="Q45" s="452"/>
      <c r="R45" s="452"/>
      <c r="S45" s="438"/>
    </row>
    <row r="46" spans="1:30" x14ac:dyDescent="0.25">
      <c r="K46" s="319"/>
      <c r="L46" s="319"/>
      <c r="M46" s="319"/>
      <c r="O46" s="434"/>
    </row>
    <row r="47" spans="1:30" x14ac:dyDescent="0.25">
      <c r="K47" s="319"/>
      <c r="L47" s="319"/>
      <c r="M47" s="319"/>
      <c r="O47" s="434"/>
    </row>
    <row r="48" spans="1:30" x14ac:dyDescent="0.25">
      <c r="K48" s="319"/>
      <c r="L48" s="319"/>
      <c r="M48" s="319"/>
      <c r="O48" s="434"/>
    </row>
    <row r="49" spans="11:15" x14ac:dyDescent="0.25">
      <c r="K49" s="319"/>
      <c r="L49" s="319"/>
      <c r="M49" s="319"/>
      <c r="O49" s="434"/>
    </row>
    <row r="50" spans="11:15" x14ac:dyDescent="0.25">
      <c r="K50" s="319"/>
      <c r="L50" s="319"/>
      <c r="M50" s="319"/>
      <c r="O50" s="434"/>
    </row>
    <row r="51" spans="11:15" x14ac:dyDescent="0.25">
      <c r="K51" s="319"/>
      <c r="L51" s="319"/>
      <c r="M51" s="319"/>
      <c r="O51" s="434"/>
    </row>
    <row r="52" spans="11:15" x14ac:dyDescent="0.25">
      <c r="K52" s="319"/>
      <c r="L52" s="319"/>
      <c r="M52" s="319"/>
      <c r="O52" s="434"/>
    </row>
    <row r="53" spans="11:15" x14ac:dyDescent="0.25">
      <c r="K53" s="319"/>
      <c r="L53" s="319"/>
      <c r="M53" s="319"/>
      <c r="O53" s="434"/>
    </row>
    <row r="54" spans="11:15" x14ac:dyDescent="0.25">
      <c r="K54" s="319"/>
      <c r="L54" s="319"/>
      <c r="M54" s="319"/>
      <c r="O54" s="434"/>
    </row>
    <row r="55" spans="11:15" x14ac:dyDescent="0.25">
      <c r="K55" s="319"/>
      <c r="L55" s="319"/>
      <c r="M55" s="319"/>
      <c r="O55" s="434"/>
    </row>
    <row r="56" spans="11:15" x14ac:dyDescent="0.25">
      <c r="K56" s="319"/>
      <c r="L56" s="319"/>
      <c r="M56" s="319"/>
      <c r="O56" s="434"/>
    </row>
    <row r="57" spans="11:15" x14ac:dyDescent="0.25">
      <c r="K57" s="319"/>
      <c r="L57" s="319"/>
      <c r="M57" s="319"/>
      <c r="O57" s="434"/>
    </row>
    <row r="58" spans="11:15" x14ac:dyDescent="0.25">
      <c r="K58" s="319"/>
      <c r="L58" s="319"/>
      <c r="M58" s="319"/>
      <c r="O58" s="434"/>
    </row>
    <row r="59" spans="11:15" x14ac:dyDescent="0.25">
      <c r="K59" s="319"/>
      <c r="L59" s="319"/>
      <c r="M59" s="319"/>
      <c r="O59" s="434"/>
    </row>
    <row r="60" spans="11:15" x14ac:dyDescent="0.25">
      <c r="K60" s="319"/>
      <c r="L60" s="319"/>
      <c r="M60" s="319"/>
      <c r="O60" s="434"/>
    </row>
    <row r="61" spans="11:15" x14ac:dyDescent="0.25">
      <c r="K61" s="319"/>
      <c r="L61" s="319"/>
      <c r="M61" s="319"/>
      <c r="O61" s="434"/>
    </row>
    <row r="62" spans="11:15" x14ac:dyDescent="0.25">
      <c r="K62" s="319"/>
      <c r="L62" s="319"/>
      <c r="M62" s="319"/>
      <c r="O62" s="434"/>
    </row>
    <row r="63" spans="11:15" x14ac:dyDescent="0.25">
      <c r="K63" s="319"/>
      <c r="L63" s="319"/>
      <c r="M63" s="319"/>
      <c r="O63" s="434"/>
    </row>
    <row r="64" spans="11:15" x14ac:dyDescent="0.25">
      <c r="K64" s="319"/>
      <c r="L64" s="319"/>
      <c r="M64" s="319"/>
      <c r="O64" s="434"/>
    </row>
    <row r="65" spans="11:15" x14ac:dyDescent="0.25">
      <c r="K65" s="319"/>
      <c r="L65" s="319"/>
      <c r="M65" s="319"/>
      <c r="O65" s="434"/>
    </row>
    <row r="66" spans="11:15" x14ac:dyDescent="0.25">
      <c r="K66" s="319"/>
      <c r="L66" s="319"/>
      <c r="M66" s="319"/>
      <c r="O66" s="434"/>
    </row>
    <row r="67" spans="11:15" x14ac:dyDescent="0.25">
      <c r="K67" s="319"/>
      <c r="L67" s="319"/>
      <c r="M67" s="319"/>
      <c r="O67" s="434"/>
    </row>
    <row r="68" spans="11:15" x14ac:dyDescent="0.25">
      <c r="K68" s="319"/>
      <c r="L68" s="319"/>
      <c r="M68" s="319"/>
      <c r="O68" s="434"/>
    </row>
    <row r="69" spans="11:15" x14ac:dyDescent="0.25">
      <c r="K69" s="319"/>
      <c r="L69" s="319"/>
      <c r="M69" s="319"/>
      <c r="O69" s="434"/>
    </row>
    <row r="70" spans="11:15" x14ac:dyDescent="0.25">
      <c r="K70" s="319"/>
      <c r="L70" s="319"/>
      <c r="M70" s="319"/>
      <c r="O70" s="434"/>
    </row>
    <row r="71" spans="11:15" x14ac:dyDescent="0.25">
      <c r="K71" s="319"/>
      <c r="L71" s="319"/>
      <c r="M71" s="319"/>
      <c r="O71" s="434"/>
    </row>
    <row r="72" spans="11:15" x14ac:dyDescent="0.25">
      <c r="K72" s="319"/>
      <c r="L72" s="319"/>
      <c r="M72" s="319"/>
      <c r="O72" s="434"/>
    </row>
    <row r="73" spans="11:15" x14ac:dyDescent="0.25">
      <c r="K73" s="319"/>
      <c r="L73" s="319"/>
      <c r="M73" s="319"/>
      <c r="O73" s="434"/>
    </row>
    <row r="74" spans="11:15" x14ac:dyDescent="0.25">
      <c r="K74" s="319"/>
      <c r="L74" s="319"/>
      <c r="M74" s="319"/>
      <c r="O74" s="434"/>
    </row>
    <row r="75" spans="11:15" x14ac:dyDescent="0.25">
      <c r="K75" s="319"/>
      <c r="L75" s="319"/>
      <c r="M75" s="319"/>
      <c r="O75" s="434"/>
    </row>
    <row r="76" spans="11:15" x14ac:dyDescent="0.25">
      <c r="K76" s="319"/>
      <c r="L76" s="319"/>
      <c r="M76" s="319"/>
      <c r="O76" s="434"/>
    </row>
    <row r="77" spans="11:15" x14ac:dyDescent="0.25">
      <c r="K77" s="319"/>
      <c r="L77" s="319"/>
      <c r="M77" s="319"/>
      <c r="O77" s="434"/>
    </row>
    <row r="78" spans="11:15" x14ac:dyDescent="0.25">
      <c r="K78" s="319"/>
      <c r="L78" s="319"/>
      <c r="M78" s="319"/>
      <c r="O78" s="434"/>
    </row>
    <row r="79" spans="11:15" x14ac:dyDescent="0.25">
      <c r="K79" s="319"/>
      <c r="L79" s="319"/>
      <c r="M79" s="319"/>
      <c r="O79" s="434"/>
    </row>
    <row r="80" spans="11:15" x14ac:dyDescent="0.25">
      <c r="K80" s="319"/>
      <c r="L80" s="319"/>
      <c r="M80" s="319"/>
      <c r="O80" s="434"/>
    </row>
    <row r="81" spans="11:15" x14ac:dyDescent="0.25">
      <c r="K81" s="319"/>
      <c r="L81" s="319"/>
      <c r="M81" s="319"/>
      <c r="O81" s="434"/>
    </row>
  </sheetData>
  <mergeCells count="14">
    <mergeCell ref="D1:I1"/>
    <mergeCell ref="D2:I2"/>
    <mergeCell ref="D3:E3"/>
    <mergeCell ref="G3:H3"/>
    <mergeCell ref="P44:S44"/>
    <mergeCell ref="K11:K13"/>
    <mergeCell ref="P45:R45"/>
    <mergeCell ref="K21:K23"/>
    <mergeCell ref="L30:L37"/>
    <mergeCell ref="A15:B15"/>
    <mergeCell ref="A35:B35"/>
    <mergeCell ref="P39:Q39"/>
    <mergeCell ref="R39:S39"/>
    <mergeCell ref="P42:S42"/>
  </mergeCells>
  <conditionalFormatting sqref="H11:H16">
    <cfRule type="cellIs" dxfId="15" priority="4" operator="lessThan">
      <formula>0</formula>
    </cfRule>
    <cfRule type="cellIs" dxfId="14" priority="5" operator="greaterThan">
      <formula>0</formula>
    </cfRule>
  </conditionalFormatting>
  <conditionalFormatting sqref="H38">
    <cfRule type="cellIs" dxfId="13" priority="3" operator="lessThan">
      <formula>0</formula>
    </cfRule>
  </conditionalFormatting>
  <conditionalFormatting sqref="E39">
    <cfRule type="cellIs" dxfId="12" priority="1" operator="greaterThan">
      <formula>0</formula>
    </cfRule>
    <cfRule type="cellIs" dxfId="11" priority="2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39997558519241921"/>
  </sheetPr>
  <dimension ref="A1:S31"/>
  <sheetViews>
    <sheetView zoomScaleNormal="100" workbookViewId="0">
      <selection activeCell="J4" sqref="J4"/>
    </sheetView>
  </sheetViews>
  <sheetFormatPr baseColWidth="10" defaultColWidth="11.42578125" defaultRowHeight="15" x14ac:dyDescent="0.25"/>
  <cols>
    <col min="1" max="1" width="18.85546875" bestFit="1" customWidth="1"/>
    <col min="2" max="2" width="5.42578125" bestFit="1" customWidth="1"/>
    <col min="3" max="3" width="3" bestFit="1" customWidth="1"/>
    <col min="4" max="4" width="4.85546875" bestFit="1" customWidth="1"/>
    <col min="5" max="6" width="6" bestFit="1" customWidth="1"/>
    <col min="7" max="8" width="4.85546875" bestFit="1" customWidth="1"/>
    <col min="9" max="10" width="7.7109375" bestFit="1" customWidth="1"/>
    <col min="12" max="12" width="48.140625" bestFit="1" customWidth="1"/>
    <col min="14" max="14" width="7.7109375" bestFit="1" customWidth="1"/>
    <col min="15" max="15" width="22" bestFit="1" customWidth="1"/>
    <col min="16" max="17" width="6" bestFit="1" customWidth="1"/>
    <col min="18" max="18" width="8.7109375" customWidth="1"/>
    <col min="19" max="19" width="4.85546875" bestFit="1" customWidth="1"/>
  </cols>
  <sheetData>
    <row r="1" spans="1:19" x14ac:dyDescent="0.25">
      <c r="A1" s="28">
        <v>43062</v>
      </c>
      <c r="E1" s="91" t="s">
        <v>213</v>
      </c>
      <c r="F1" s="92" t="s">
        <v>214</v>
      </c>
      <c r="G1" s="93"/>
      <c r="H1" s="93"/>
      <c r="I1" s="94" t="s">
        <v>213</v>
      </c>
      <c r="J1" s="95" t="s">
        <v>214</v>
      </c>
      <c r="K1" s="52"/>
      <c r="P1" s="91" t="s">
        <v>213</v>
      </c>
      <c r="Q1" s="92" t="s">
        <v>214</v>
      </c>
      <c r="R1" s="91"/>
      <c r="S1" s="92"/>
    </row>
    <row r="2" spans="1:19" x14ac:dyDescent="0.25">
      <c r="A2" s="96" t="s">
        <v>3</v>
      </c>
      <c r="B2" s="96" t="s">
        <v>215</v>
      </c>
      <c r="C2" s="96" t="s">
        <v>216</v>
      </c>
      <c r="D2" s="96" t="s">
        <v>18</v>
      </c>
      <c r="E2" s="91" t="s">
        <v>8</v>
      </c>
      <c r="F2" s="92" t="s">
        <v>8</v>
      </c>
      <c r="G2" s="93" t="s">
        <v>7</v>
      </c>
      <c r="H2" s="93" t="s">
        <v>7</v>
      </c>
      <c r="I2" s="94" t="s">
        <v>217</v>
      </c>
      <c r="J2" s="95" t="s">
        <v>217</v>
      </c>
      <c r="K2" s="52"/>
      <c r="P2" s="91" t="s">
        <v>8</v>
      </c>
      <c r="Q2" s="92" t="s">
        <v>8</v>
      </c>
      <c r="R2" s="91" t="s">
        <v>7</v>
      </c>
      <c r="S2" s="92" t="s">
        <v>7</v>
      </c>
    </row>
    <row r="3" spans="1:19" x14ac:dyDescent="0.25">
      <c r="A3" s="97" t="str">
        <f>Plantilla!D4</f>
        <v>Cosme Fonteboa</v>
      </c>
      <c r="B3" s="98">
        <f>Plantilla!E4</f>
        <v>22</v>
      </c>
      <c r="C3" s="98">
        <f>Plantilla!H4</f>
        <v>4</v>
      </c>
      <c r="D3" s="99">
        <f>Plantilla!I4</f>
        <v>5</v>
      </c>
      <c r="E3" s="100">
        <f>D3</f>
        <v>5</v>
      </c>
      <c r="F3" s="100">
        <f>E3+0.1</f>
        <v>5.0999999999999996</v>
      </c>
      <c r="G3" s="100">
        <f>C3</f>
        <v>4</v>
      </c>
      <c r="H3" s="100">
        <f>G3+0.99</f>
        <v>4.99</v>
      </c>
      <c r="I3" s="101">
        <f>G3*G3*E3</f>
        <v>80</v>
      </c>
      <c r="J3" s="101">
        <f>H3*H3*F3</f>
        <v>126.99051</v>
      </c>
      <c r="K3" s="102"/>
      <c r="N3" s="46" t="s">
        <v>217</v>
      </c>
      <c r="O3" t="str">
        <f>A12</f>
        <v>Valeri Gomis</v>
      </c>
      <c r="P3" s="103">
        <f>E12</f>
        <v>4.4000000000000004</v>
      </c>
      <c r="Q3" s="103">
        <f t="shared" ref="Q3:S3" si="0">F12</f>
        <v>4.5</v>
      </c>
      <c r="R3" s="103">
        <f t="shared" si="0"/>
        <v>6</v>
      </c>
      <c r="S3" s="103">
        <f t="shared" si="0"/>
        <v>6.99</v>
      </c>
    </row>
    <row r="4" spans="1:19" x14ac:dyDescent="0.25">
      <c r="A4" s="97" t="str">
        <f>Plantilla!D5</f>
        <v>Nicolae Hornet</v>
      </c>
      <c r="B4" s="98">
        <f>Plantilla!E5</f>
        <v>23</v>
      </c>
      <c r="C4" s="98">
        <f>Plantilla!H5</f>
        <v>5</v>
      </c>
      <c r="D4" s="99">
        <f>Plantilla!I5</f>
        <v>1.4</v>
      </c>
      <c r="E4" s="100">
        <f t="shared" ref="E4:E20" si="1">D4</f>
        <v>1.4</v>
      </c>
      <c r="F4" s="100">
        <f t="shared" ref="F4:F20" si="2">E4+0.1</f>
        <v>1.5</v>
      </c>
      <c r="G4" s="100">
        <f t="shared" ref="G4:G20" si="3">C4</f>
        <v>5</v>
      </c>
      <c r="H4" s="100">
        <f t="shared" ref="H4:H20" si="4">G4+0.99</f>
        <v>5.99</v>
      </c>
      <c r="I4" s="101">
        <f t="shared" ref="I4:I20" si="5">G4*G4*E4</f>
        <v>35</v>
      </c>
      <c r="J4" s="101">
        <f t="shared" ref="J4:J20" si="6">H4*H4*F4</f>
        <v>53.820150000000012</v>
      </c>
      <c r="K4" s="102"/>
      <c r="O4" t="str">
        <f>A5</f>
        <v>Miguel Fernández</v>
      </c>
      <c r="P4" s="103">
        <f>E5</f>
        <v>2.8</v>
      </c>
      <c r="Q4" s="103">
        <f t="shared" ref="Q4:S4" si="7">F5</f>
        <v>2.9</v>
      </c>
      <c r="R4" s="103">
        <f t="shared" si="7"/>
        <v>5</v>
      </c>
      <c r="S4" s="103">
        <f t="shared" si="7"/>
        <v>5.99</v>
      </c>
    </row>
    <row r="5" spans="1:19" x14ac:dyDescent="0.25">
      <c r="A5" s="97" t="str">
        <f>Plantilla!D6</f>
        <v>Miguel Fernández</v>
      </c>
      <c r="B5" s="98">
        <f>Plantilla!E6</f>
        <v>22</v>
      </c>
      <c r="C5" s="98">
        <f>Plantilla!H6</f>
        <v>5</v>
      </c>
      <c r="D5" s="99">
        <f>Plantilla!I6</f>
        <v>2.8</v>
      </c>
      <c r="E5" s="100">
        <f t="shared" si="1"/>
        <v>2.8</v>
      </c>
      <c r="F5" s="100">
        <f t="shared" si="2"/>
        <v>2.9</v>
      </c>
      <c r="G5" s="100">
        <f t="shared" si="3"/>
        <v>5</v>
      </c>
      <c r="H5" s="100">
        <f t="shared" si="4"/>
        <v>5.99</v>
      </c>
      <c r="I5" s="101">
        <f t="shared" si="5"/>
        <v>70</v>
      </c>
      <c r="J5" s="101">
        <f t="shared" si="6"/>
        <v>104.05229000000001</v>
      </c>
      <c r="K5" s="102"/>
      <c r="L5" s="81"/>
      <c r="O5" t="str">
        <f>A3</f>
        <v>Cosme Fonteboa</v>
      </c>
      <c r="P5" s="103">
        <f>E3</f>
        <v>5</v>
      </c>
      <c r="Q5" s="103">
        <f t="shared" ref="Q5:S5" si="8">F3</f>
        <v>5.0999999999999996</v>
      </c>
      <c r="R5" s="103">
        <f t="shared" si="8"/>
        <v>4</v>
      </c>
      <c r="S5" s="103">
        <f t="shared" si="8"/>
        <v>4.99</v>
      </c>
    </row>
    <row r="6" spans="1:19" x14ac:dyDescent="0.25">
      <c r="A6" s="97" t="str">
        <f>Plantilla!D7</f>
        <v>Iván Real Figueroa</v>
      </c>
      <c r="B6" s="98">
        <f>Plantilla!E7</f>
        <v>22</v>
      </c>
      <c r="C6" s="98">
        <f>Plantilla!H7</f>
        <v>4</v>
      </c>
      <c r="D6" s="99">
        <f>Plantilla!I7</f>
        <v>3.8</v>
      </c>
      <c r="E6" s="100">
        <f t="shared" si="1"/>
        <v>3.8</v>
      </c>
      <c r="F6" s="100">
        <f t="shared" si="2"/>
        <v>3.9</v>
      </c>
      <c r="G6" s="100">
        <f t="shared" si="3"/>
        <v>4</v>
      </c>
      <c r="H6" s="100">
        <f t="shared" si="4"/>
        <v>4.99</v>
      </c>
      <c r="I6" s="101">
        <f t="shared" si="5"/>
        <v>60.8</v>
      </c>
      <c r="J6" s="101">
        <f t="shared" si="6"/>
        <v>97.11039000000001</v>
      </c>
      <c r="K6" s="102"/>
      <c r="O6" t="str">
        <f>A7</f>
        <v>Berto Abandero</v>
      </c>
      <c r="P6" s="103">
        <f>E7</f>
        <v>4</v>
      </c>
      <c r="Q6" s="103">
        <f t="shared" ref="Q6:S6" si="9">F7</f>
        <v>4.0999999999999996</v>
      </c>
      <c r="R6" s="103">
        <f t="shared" si="9"/>
        <v>1</v>
      </c>
      <c r="S6" s="103">
        <f t="shared" si="9"/>
        <v>1.99</v>
      </c>
    </row>
    <row r="7" spans="1:19" x14ac:dyDescent="0.25">
      <c r="A7" s="97" t="str">
        <f>Plantilla!D8</f>
        <v>Berto Abandero</v>
      </c>
      <c r="B7" s="98">
        <f>Plantilla!E8</f>
        <v>23</v>
      </c>
      <c r="C7" s="98">
        <f>Plantilla!H8</f>
        <v>1</v>
      </c>
      <c r="D7" s="99">
        <f>Plantilla!I8</f>
        <v>4</v>
      </c>
      <c r="E7" s="100">
        <f t="shared" si="1"/>
        <v>4</v>
      </c>
      <c r="F7" s="100">
        <f t="shared" si="2"/>
        <v>4.0999999999999996</v>
      </c>
      <c r="G7" s="100">
        <f t="shared" si="3"/>
        <v>1</v>
      </c>
      <c r="H7" s="100">
        <f t="shared" si="4"/>
        <v>1.99</v>
      </c>
      <c r="I7" s="101">
        <f t="shared" si="5"/>
        <v>4</v>
      </c>
      <c r="J7" s="101">
        <f t="shared" si="6"/>
        <v>16.236409999999999</v>
      </c>
      <c r="K7" s="102"/>
      <c r="O7" t="str">
        <f>A6</f>
        <v>Iván Real Figueroa</v>
      </c>
      <c r="P7" s="103">
        <f>E6</f>
        <v>3.8</v>
      </c>
      <c r="Q7" s="103">
        <f t="shared" ref="Q7:S7" si="10">F6</f>
        <v>3.9</v>
      </c>
      <c r="R7" s="103">
        <f t="shared" si="10"/>
        <v>4</v>
      </c>
      <c r="S7" s="103">
        <f t="shared" si="10"/>
        <v>4.99</v>
      </c>
    </row>
    <row r="8" spans="1:19" x14ac:dyDescent="0.25">
      <c r="A8" s="97" t="str">
        <f>Plantilla!D9</f>
        <v>Guillermo Pedrajas</v>
      </c>
      <c r="B8" s="98">
        <f>Plantilla!E9</f>
        <v>23</v>
      </c>
      <c r="C8" s="98">
        <f>Plantilla!H9</f>
        <v>4</v>
      </c>
      <c r="D8" s="99">
        <f>Plantilla!I9</f>
        <v>4.7</v>
      </c>
      <c r="E8" s="100">
        <f t="shared" si="1"/>
        <v>4.7</v>
      </c>
      <c r="F8" s="100">
        <f t="shared" si="2"/>
        <v>4.8</v>
      </c>
      <c r="G8" s="100">
        <f t="shared" si="3"/>
        <v>4</v>
      </c>
      <c r="H8" s="100">
        <f t="shared" si="4"/>
        <v>4.99</v>
      </c>
      <c r="I8" s="101">
        <f t="shared" si="5"/>
        <v>75.2</v>
      </c>
      <c r="J8" s="101">
        <f t="shared" si="6"/>
        <v>119.52048000000001</v>
      </c>
      <c r="K8" s="102"/>
      <c r="O8" t="str">
        <f>A10</f>
        <v>Francesc Añigas</v>
      </c>
      <c r="P8" s="103">
        <f>E10</f>
        <v>4.4000000000000004</v>
      </c>
      <c r="Q8" s="103">
        <f t="shared" ref="Q8:S8" si="11">F10</f>
        <v>4.5</v>
      </c>
      <c r="R8" s="103">
        <f t="shared" si="11"/>
        <v>5</v>
      </c>
      <c r="S8" s="103">
        <f t="shared" si="11"/>
        <v>5.99</v>
      </c>
    </row>
    <row r="9" spans="1:19" x14ac:dyDescent="0.25">
      <c r="A9" s="97">
        <f>Plantilla!D10</f>
        <v>0</v>
      </c>
      <c r="B9" s="98">
        <f>Plantilla!E10</f>
        <v>22</v>
      </c>
      <c r="C9" s="98">
        <f>Plantilla!H10</f>
        <v>0</v>
      </c>
      <c r="D9" s="99">
        <f>Plantilla!I10</f>
        <v>0</v>
      </c>
      <c r="E9" s="100">
        <f t="shared" si="1"/>
        <v>0</v>
      </c>
      <c r="F9" s="100">
        <f t="shared" si="2"/>
        <v>0.1</v>
      </c>
      <c r="G9" s="100">
        <f t="shared" si="3"/>
        <v>0</v>
      </c>
      <c r="H9" s="100">
        <f t="shared" si="4"/>
        <v>0.99</v>
      </c>
      <c r="I9" s="101">
        <f t="shared" si="5"/>
        <v>0</v>
      </c>
      <c r="J9" s="101">
        <f t="shared" si="6"/>
        <v>9.801E-2</v>
      </c>
      <c r="K9" s="102"/>
      <c r="O9" t="str">
        <f>A15</f>
        <v>David Garcia-Spiess</v>
      </c>
      <c r="P9" s="103">
        <f>E15</f>
        <v>7.3</v>
      </c>
      <c r="Q9" s="103">
        <f t="shared" ref="Q9:S9" si="12">F15</f>
        <v>7.3999999999999995</v>
      </c>
      <c r="R9" s="103">
        <f t="shared" si="12"/>
        <v>1</v>
      </c>
      <c r="S9" s="103">
        <f t="shared" si="12"/>
        <v>1.99</v>
      </c>
    </row>
    <row r="10" spans="1:19" x14ac:dyDescent="0.25">
      <c r="A10" s="97" t="str">
        <f>Plantilla!D11</f>
        <v>Francesc Añigas</v>
      </c>
      <c r="B10" s="98">
        <f>Plantilla!E11</f>
        <v>22</v>
      </c>
      <c r="C10" s="98">
        <f>Plantilla!H11</f>
        <v>5</v>
      </c>
      <c r="D10" s="99">
        <f>Plantilla!I11</f>
        <v>4.4000000000000004</v>
      </c>
      <c r="E10" s="100">
        <f t="shared" si="1"/>
        <v>4.4000000000000004</v>
      </c>
      <c r="F10" s="100">
        <f t="shared" si="2"/>
        <v>4.5</v>
      </c>
      <c r="G10" s="100">
        <f t="shared" si="3"/>
        <v>5</v>
      </c>
      <c r="H10" s="100">
        <f t="shared" si="4"/>
        <v>5.99</v>
      </c>
      <c r="I10" s="101">
        <f t="shared" si="5"/>
        <v>110.00000000000001</v>
      </c>
      <c r="J10" s="101">
        <f t="shared" si="6"/>
        <v>161.46045000000004</v>
      </c>
      <c r="K10" s="102"/>
      <c r="O10" t="str">
        <f>A14</f>
        <v>J. G. Peñuela</v>
      </c>
      <c r="P10" s="103">
        <f>E14</f>
        <v>4.3</v>
      </c>
      <c r="Q10" s="103">
        <f t="shared" ref="Q10:S10" si="13">F14</f>
        <v>4.3999999999999995</v>
      </c>
      <c r="R10" s="103">
        <f t="shared" si="13"/>
        <v>6</v>
      </c>
      <c r="S10" s="103">
        <f t="shared" si="13"/>
        <v>6.99</v>
      </c>
    </row>
    <row r="11" spans="1:19" x14ac:dyDescent="0.25">
      <c r="A11" s="97" t="str">
        <f>Plantilla!D12</f>
        <v>Will Duffill</v>
      </c>
      <c r="B11" s="98">
        <f>Plantilla!E12</f>
        <v>22</v>
      </c>
      <c r="C11" s="98">
        <f>Plantilla!H12</f>
        <v>3</v>
      </c>
      <c r="D11" s="99">
        <f>Plantilla!I12</f>
        <v>4.5</v>
      </c>
      <c r="E11" s="100">
        <f t="shared" si="1"/>
        <v>4.5</v>
      </c>
      <c r="F11" s="100">
        <f t="shared" si="2"/>
        <v>4.5999999999999996</v>
      </c>
      <c r="G11" s="100">
        <f t="shared" si="3"/>
        <v>3</v>
      </c>
      <c r="H11" s="100">
        <f t="shared" si="4"/>
        <v>3.99</v>
      </c>
      <c r="I11" s="101">
        <f t="shared" si="5"/>
        <v>40.5</v>
      </c>
      <c r="J11" s="101">
        <f t="shared" si="6"/>
        <v>73.232460000000003</v>
      </c>
      <c r="K11" s="102"/>
      <c r="O11" t="str">
        <f>A13</f>
        <v>Enrique Cubas</v>
      </c>
      <c r="P11" s="103">
        <f>E13</f>
        <v>5</v>
      </c>
      <c r="Q11" s="103">
        <f t="shared" ref="Q11:S11" si="14">F13</f>
        <v>5.0999999999999996</v>
      </c>
      <c r="R11" s="103">
        <f t="shared" si="14"/>
        <v>1</v>
      </c>
      <c r="S11" s="103">
        <f t="shared" si="14"/>
        <v>1.99</v>
      </c>
    </row>
    <row r="12" spans="1:19" x14ac:dyDescent="0.25">
      <c r="A12" s="97" t="str">
        <f>Plantilla!D13</f>
        <v>Valeri Gomis</v>
      </c>
      <c r="B12" s="98">
        <f>Plantilla!E13</f>
        <v>22</v>
      </c>
      <c r="C12" s="98">
        <f>Plantilla!H13</f>
        <v>6</v>
      </c>
      <c r="D12" s="99">
        <f>Plantilla!I13</f>
        <v>4.4000000000000004</v>
      </c>
      <c r="E12" s="100">
        <f t="shared" si="1"/>
        <v>4.4000000000000004</v>
      </c>
      <c r="F12" s="100">
        <f t="shared" si="2"/>
        <v>4.5</v>
      </c>
      <c r="G12" s="100">
        <f t="shared" si="3"/>
        <v>6</v>
      </c>
      <c r="H12" s="100">
        <f t="shared" si="4"/>
        <v>6.99</v>
      </c>
      <c r="I12" s="101">
        <f t="shared" si="5"/>
        <v>158.4</v>
      </c>
      <c r="J12" s="101">
        <f t="shared" si="6"/>
        <v>219.87045000000001</v>
      </c>
      <c r="K12" s="102"/>
      <c r="O12" t="str">
        <f>A20</f>
        <v>Leo Hilpinen</v>
      </c>
      <c r="P12" s="103">
        <f>E20</f>
        <v>6</v>
      </c>
      <c r="Q12" s="103">
        <f t="shared" ref="Q12:S12" si="15">F20</f>
        <v>6.1</v>
      </c>
      <c r="R12" s="103">
        <f t="shared" si="15"/>
        <v>3</v>
      </c>
      <c r="S12" s="103">
        <f t="shared" si="15"/>
        <v>3.99</v>
      </c>
    </row>
    <row r="13" spans="1:19" x14ac:dyDescent="0.25">
      <c r="A13" s="97" t="str">
        <f>Plantilla!D14</f>
        <v>Enrique Cubas</v>
      </c>
      <c r="B13" s="98">
        <f>Plantilla!E14</f>
        <v>22</v>
      </c>
      <c r="C13" s="98">
        <f>Plantilla!H14</f>
        <v>1</v>
      </c>
      <c r="D13" s="99">
        <f>Plantilla!I14</f>
        <v>5</v>
      </c>
      <c r="E13" s="100">
        <f t="shared" si="1"/>
        <v>5</v>
      </c>
      <c r="F13" s="100">
        <f t="shared" si="2"/>
        <v>5.0999999999999996</v>
      </c>
      <c r="G13" s="100">
        <f t="shared" si="3"/>
        <v>1</v>
      </c>
      <c r="H13" s="100">
        <f t="shared" si="4"/>
        <v>1.99</v>
      </c>
      <c r="I13" s="101">
        <f t="shared" si="5"/>
        <v>5</v>
      </c>
      <c r="J13" s="101">
        <f t="shared" si="6"/>
        <v>20.19651</v>
      </c>
      <c r="K13" s="102"/>
      <c r="O13" t="str">
        <f>A19</f>
        <v>Emilio Rojas</v>
      </c>
      <c r="P13" s="103">
        <f>E19</f>
        <v>6.4</v>
      </c>
      <c r="Q13" s="103">
        <f t="shared" ref="Q13:S13" si="16">F19</f>
        <v>6.5</v>
      </c>
      <c r="R13" s="103">
        <f t="shared" si="16"/>
        <v>4</v>
      </c>
      <c r="S13" s="103">
        <f t="shared" si="16"/>
        <v>4.99</v>
      </c>
    </row>
    <row r="14" spans="1:19" x14ac:dyDescent="0.25">
      <c r="A14" s="97" t="str">
        <f>Plantilla!D15</f>
        <v>J. G. Peñuela</v>
      </c>
      <c r="B14" s="98">
        <f>Plantilla!E15</f>
        <v>22</v>
      </c>
      <c r="C14" s="98">
        <f>Plantilla!H15</f>
        <v>6</v>
      </c>
      <c r="D14" s="99">
        <f>Plantilla!I15</f>
        <v>4.3</v>
      </c>
      <c r="E14" s="100">
        <f t="shared" si="1"/>
        <v>4.3</v>
      </c>
      <c r="F14" s="100">
        <f t="shared" si="2"/>
        <v>4.3999999999999995</v>
      </c>
      <c r="G14" s="100">
        <f t="shared" si="3"/>
        <v>6</v>
      </c>
      <c r="H14" s="100">
        <f t="shared" si="4"/>
        <v>6.99</v>
      </c>
      <c r="I14" s="101">
        <f t="shared" si="5"/>
        <v>154.79999999999998</v>
      </c>
      <c r="J14" s="101">
        <f t="shared" si="6"/>
        <v>214.98443999999998</v>
      </c>
      <c r="K14" s="102"/>
      <c r="P14" s="32">
        <f>SUM(P4:P13)/10</f>
        <v>4.9000000000000004</v>
      </c>
      <c r="Q14" s="32">
        <f>SUM(Q4:Q13)/10</f>
        <v>5</v>
      </c>
      <c r="R14" s="32"/>
      <c r="S14" s="32"/>
    </row>
    <row r="15" spans="1:19" x14ac:dyDescent="0.25">
      <c r="A15" s="97" t="str">
        <f>Plantilla!D16</f>
        <v>David Garcia-Spiess</v>
      </c>
      <c r="B15" s="98">
        <f>Plantilla!E16</f>
        <v>30</v>
      </c>
      <c r="C15" s="98">
        <f>Plantilla!H16</f>
        <v>1</v>
      </c>
      <c r="D15" s="99">
        <f>Plantilla!I16</f>
        <v>7.3</v>
      </c>
      <c r="E15" s="100">
        <f t="shared" si="1"/>
        <v>7.3</v>
      </c>
      <c r="F15" s="100">
        <f t="shared" si="2"/>
        <v>7.3999999999999995</v>
      </c>
      <c r="G15" s="100">
        <f t="shared" si="3"/>
        <v>1</v>
      </c>
      <c r="H15" s="100">
        <f t="shared" si="4"/>
        <v>1.99</v>
      </c>
      <c r="I15" s="101">
        <f t="shared" si="5"/>
        <v>7.3</v>
      </c>
      <c r="J15" s="101">
        <f t="shared" si="6"/>
        <v>29.304739999999999</v>
      </c>
      <c r="K15" s="102"/>
    </row>
    <row r="16" spans="1:19" x14ac:dyDescent="0.25">
      <c r="A16" s="97" t="str">
        <f>Plantilla!D17</f>
        <v>Fabien Fabre</v>
      </c>
      <c r="B16" s="98">
        <f>Plantilla!E17</f>
        <v>31</v>
      </c>
      <c r="C16" s="98">
        <f>Plantilla!H17</f>
        <v>5</v>
      </c>
      <c r="D16" s="99">
        <f>Plantilla!I17</f>
        <v>5</v>
      </c>
      <c r="E16" s="100">
        <f t="shared" si="1"/>
        <v>5</v>
      </c>
      <c r="F16" s="100">
        <f t="shared" si="2"/>
        <v>5.0999999999999996</v>
      </c>
      <c r="G16" s="100">
        <f t="shared" si="3"/>
        <v>5</v>
      </c>
      <c r="H16" s="100">
        <f t="shared" si="4"/>
        <v>5.99</v>
      </c>
      <c r="I16" s="101">
        <f t="shared" si="5"/>
        <v>125</v>
      </c>
      <c r="J16" s="101">
        <f t="shared" si="6"/>
        <v>182.98851000000002</v>
      </c>
      <c r="K16" s="102"/>
      <c r="L16" s="51" t="s">
        <v>218</v>
      </c>
      <c r="O16" t="s">
        <v>219</v>
      </c>
      <c r="P16" s="29">
        <f>SUM(P3:P13)</f>
        <v>53.4</v>
      </c>
      <c r="Q16" s="29">
        <f>SUM(Q3:Q13)</f>
        <v>54.5</v>
      </c>
      <c r="R16" s="29"/>
    </row>
    <row r="17" spans="1:18" x14ac:dyDescent="0.25">
      <c r="A17" s="97" t="str">
        <f>Plantilla!D18</f>
        <v>Fernando Gazón</v>
      </c>
      <c r="B17" s="98">
        <f>Plantilla!E18</f>
        <v>23</v>
      </c>
      <c r="C17" s="98">
        <f>Plantilla!H18</f>
        <v>3</v>
      </c>
      <c r="D17" s="99">
        <f>Plantilla!I18</f>
        <v>2.5</v>
      </c>
      <c r="E17" s="100">
        <f t="shared" si="1"/>
        <v>2.5</v>
      </c>
      <c r="F17" s="100">
        <f t="shared" si="2"/>
        <v>2.6</v>
      </c>
      <c r="G17" s="100">
        <f t="shared" si="3"/>
        <v>3</v>
      </c>
      <c r="H17" s="100">
        <f t="shared" si="4"/>
        <v>3.99</v>
      </c>
      <c r="I17" s="101">
        <f t="shared" si="5"/>
        <v>22.5</v>
      </c>
      <c r="J17" s="101">
        <f t="shared" si="6"/>
        <v>41.392260000000007</v>
      </c>
      <c r="K17" s="102"/>
      <c r="O17" t="s">
        <v>220</v>
      </c>
      <c r="P17" s="32">
        <f>P16/17</f>
        <v>3.1411764705882352</v>
      </c>
      <c r="Q17" s="32">
        <f>Q16/17</f>
        <v>3.2058823529411766</v>
      </c>
      <c r="R17" s="32"/>
    </row>
    <row r="18" spans="1:18" x14ac:dyDescent="0.25">
      <c r="A18" s="97" t="str">
        <f>Plantilla!D19</f>
        <v>Stanisław Zdankiewicz</v>
      </c>
      <c r="B18" s="98">
        <f>Plantilla!E19</f>
        <v>29</v>
      </c>
      <c r="C18" s="98">
        <f>Plantilla!H19</f>
        <v>2</v>
      </c>
      <c r="D18" s="99">
        <f>Plantilla!I19</f>
        <v>8.9</v>
      </c>
      <c r="E18" s="100">
        <f t="shared" si="1"/>
        <v>8.9</v>
      </c>
      <c r="F18" s="100">
        <f t="shared" si="2"/>
        <v>9</v>
      </c>
      <c r="G18" s="100">
        <f t="shared" si="3"/>
        <v>2</v>
      </c>
      <c r="H18" s="100">
        <f t="shared" si="4"/>
        <v>2.99</v>
      </c>
      <c r="I18" s="101">
        <f t="shared" si="5"/>
        <v>35.6</v>
      </c>
      <c r="J18" s="101">
        <f t="shared" si="6"/>
        <v>80.460900000000009</v>
      </c>
      <c r="K18" s="102"/>
      <c r="L18" s="51" t="s">
        <v>221</v>
      </c>
      <c r="O18" t="s">
        <v>222</v>
      </c>
      <c r="P18" s="29">
        <f>R3^2</f>
        <v>36</v>
      </c>
      <c r="Q18" s="29">
        <f>S3^2</f>
        <v>48.860100000000003</v>
      </c>
      <c r="R18" s="29"/>
    </row>
    <row r="19" spans="1:18" x14ac:dyDescent="0.25">
      <c r="A19" s="97" t="str">
        <f>Plantilla!D20</f>
        <v>Emilio Rojas</v>
      </c>
      <c r="B19" s="98">
        <f>Plantilla!E20</f>
        <v>31</v>
      </c>
      <c r="C19" s="98">
        <f>Plantilla!H20</f>
        <v>4</v>
      </c>
      <c r="D19" s="99">
        <f>Plantilla!I20</f>
        <v>6.4</v>
      </c>
      <c r="E19" s="100">
        <f t="shared" si="1"/>
        <v>6.4</v>
      </c>
      <c r="F19" s="100">
        <f t="shared" si="2"/>
        <v>6.5</v>
      </c>
      <c r="G19" s="100">
        <f t="shared" si="3"/>
        <v>4</v>
      </c>
      <c r="H19" s="100">
        <f t="shared" si="4"/>
        <v>4.99</v>
      </c>
      <c r="I19" s="101">
        <f t="shared" si="5"/>
        <v>102.4</v>
      </c>
      <c r="J19" s="101">
        <f t="shared" si="6"/>
        <v>161.85065</v>
      </c>
      <c r="K19" s="102"/>
      <c r="L19" s="51" t="s">
        <v>223</v>
      </c>
      <c r="O19" t="s">
        <v>224</v>
      </c>
      <c r="P19" s="29">
        <f>P18*P3</f>
        <v>158.4</v>
      </c>
      <c r="Q19" s="29">
        <f>Q18*Q3</f>
        <v>219.87045000000001</v>
      </c>
      <c r="R19" s="29"/>
    </row>
    <row r="20" spans="1:18" x14ac:dyDescent="0.25">
      <c r="A20" s="97" t="str">
        <f>Plantilla!D21</f>
        <v>Leo Hilpinen</v>
      </c>
      <c r="B20" s="98">
        <f>Plantilla!E21</f>
        <v>30</v>
      </c>
      <c r="C20" s="98">
        <f>Plantilla!H21</f>
        <v>3</v>
      </c>
      <c r="D20" s="99">
        <f>Plantilla!I21</f>
        <v>6</v>
      </c>
      <c r="E20" s="100">
        <f t="shared" si="1"/>
        <v>6</v>
      </c>
      <c r="F20" s="100">
        <f t="shared" si="2"/>
        <v>6.1</v>
      </c>
      <c r="G20" s="100">
        <f t="shared" si="3"/>
        <v>3</v>
      </c>
      <c r="H20" s="100">
        <f t="shared" si="4"/>
        <v>3.99</v>
      </c>
      <c r="I20" s="101">
        <f t="shared" si="5"/>
        <v>54</v>
      </c>
      <c r="J20" s="101">
        <f t="shared" si="6"/>
        <v>97.112610000000004</v>
      </c>
      <c r="K20" s="102"/>
      <c r="L20" s="51" t="s">
        <v>225</v>
      </c>
      <c r="O20" t="s">
        <v>226</v>
      </c>
      <c r="P20" s="32">
        <f>(P19^(2/3))/30</f>
        <v>0.9758480458587413</v>
      </c>
      <c r="Q20" s="32">
        <f>(Q19^(2/3))/30</f>
        <v>1.2142925265391908</v>
      </c>
      <c r="R20" s="32"/>
    </row>
    <row r="21" spans="1:18" x14ac:dyDescent="0.25">
      <c r="A21" s="97"/>
      <c r="B21" s="98"/>
      <c r="C21" s="98"/>
      <c r="D21" s="99"/>
      <c r="E21" s="100"/>
      <c r="F21" s="100"/>
      <c r="G21" s="100"/>
      <c r="H21" s="100"/>
      <c r="I21" s="101"/>
      <c r="J21" s="101"/>
      <c r="K21" s="102"/>
      <c r="L21" s="51" t="s">
        <v>227</v>
      </c>
      <c r="O21" s="60" t="s">
        <v>95</v>
      </c>
      <c r="P21" s="82">
        <f>P17+P20</f>
        <v>4.1170245164469765</v>
      </c>
      <c r="Q21" s="82">
        <f>Q17+Q20</f>
        <v>4.420174879480367</v>
      </c>
    </row>
    <row r="22" spans="1:18" x14ac:dyDescent="0.25">
      <c r="A22" s="97"/>
      <c r="B22" s="98"/>
      <c r="C22" s="98"/>
      <c r="D22" s="99"/>
      <c r="E22" s="100"/>
      <c r="F22" s="100"/>
      <c r="G22" s="100"/>
      <c r="H22" s="100"/>
      <c r="I22" s="101"/>
      <c r="J22" s="101"/>
      <c r="K22" s="102"/>
      <c r="L22" t="s">
        <v>228</v>
      </c>
    </row>
    <row r="23" spans="1:18" x14ac:dyDescent="0.25">
      <c r="A23" s="97"/>
      <c r="B23" s="98"/>
      <c r="C23" s="98"/>
      <c r="D23" s="99"/>
      <c r="E23" s="100"/>
      <c r="F23" s="100"/>
      <c r="G23" s="100"/>
      <c r="H23" s="100"/>
      <c r="I23" s="101"/>
      <c r="J23" s="101"/>
      <c r="K23" s="102"/>
      <c r="O23" s="28"/>
    </row>
    <row r="24" spans="1:18" x14ac:dyDescent="0.25">
      <c r="A24" s="97"/>
      <c r="B24" s="98"/>
      <c r="C24" s="98"/>
      <c r="D24" s="99"/>
      <c r="E24" s="100"/>
      <c r="F24" s="100"/>
      <c r="G24" s="100"/>
      <c r="H24" s="100"/>
      <c r="I24" s="101"/>
      <c r="J24" s="101"/>
    </row>
    <row r="25" spans="1:18" x14ac:dyDescent="0.25">
      <c r="A25" s="97"/>
      <c r="B25" s="98"/>
      <c r="C25" s="98"/>
      <c r="D25" s="99"/>
      <c r="E25" s="100"/>
      <c r="F25" s="100"/>
      <c r="G25" s="100"/>
      <c r="H25" s="100"/>
      <c r="I25" s="101"/>
      <c r="J25" s="101"/>
    </row>
    <row r="26" spans="1:18" x14ac:dyDescent="0.25">
      <c r="A26" s="97"/>
      <c r="B26" s="98"/>
      <c r="C26" s="98"/>
      <c r="D26" s="99"/>
      <c r="E26" s="100"/>
      <c r="F26" s="100"/>
      <c r="G26" s="100"/>
      <c r="H26" s="100"/>
      <c r="I26" s="101"/>
      <c r="J26" s="101"/>
    </row>
    <row r="27" spans="1:18" x14ac:dyDescent="0.25">
      <c r="A27" s="97"/>
      <c r="B27" s="98"/>
      <c r="C27" s="98"/>
      <c r="D27" s="99"/>
      <c r="E27" s="100"/>
      <c r="F27" s="100"/>
      <c r="G27" s="100"/>
      <c r="H27" s="100"/>
      <c r="I27" s="101"/>
      <c r="J27" s="101"/>
    </row>
    <row r="28" spans="1:18" x14ac:dyDescent="0.25">
      <c r="A28" s="97"/>
      <c r="B28" s="98"/>
      <c r="C28" s="98"/>
      <c r="D28" s="99"/>
      <c r="E28" s="100"/>
      <c r="F28" s="100"/>
      <c r="G28" s="100"/>
      <c r="H28" s="100"/>
      <c r="I28" s="101"/>
      <c r="J28" s="101"/>
    </row>
    <row r="29" spans="1:18" x14ac:dyDescent="0.25">
      <c r="A29" s="97"/>
      <c r="B29" s="98"/>
      <c r="C29" s="98"/>
      <c r="D29" s="99"/>
      <c r="E29" s="100"/>
      <c r="F29" s="100"/>
      <c r="G29" s="100"/>
      <c r="H29" s="100"/>
      <c r="I29" s="101"/>
      <c r="J29" s="101"/>
    </row>
    <row r="30" spans="1:18" x14ac:dyDescent="0.25">
      <c r="A30" s="97"/>
      <c r="B30" s="98"/>
      <c r="C30" s="98"/>
      <c r="D30" s="99"/>
      <c r="E30" s="100"/>
      <c r="F30" s="100"/>
      <c r="G30" s="100"/>
      <c r="H30" s="100"/>
      <c r="I30" s="101"/>
      <c r="J30" s="101"/>
    </row>
    <row r="31" spans="1:18" x14ac:dyDescent="0.25">
      <c r="A31" s="97"/>
      <c r="B31" s="98"/>
      <c r="C31" s="98"/>
      <c r="D31" s="99"/>
      <c r="E31" s="100"/>
      <c r="F31" s="100"/>
      <c r="G31" s="100"/>
      <c r="H31" s="100"/>
      <c r="I31" s="101"/>
      <c r="J31" s="101"/>
    </row>
  </sheetData>
  <conditionalFormatting sqref="I3:J31">
    <cfRule type="cellIs" dxfId="10" priority="1" operator="between">
      <formula>70</formula>
      <formula>100</formula>
    </cfRule>
    <cfRule type="cellIs" dxfId="9" priority="2" operator="greaterThan">
      <formula>100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AEB-9B8E-41CD-9B4A-A4779F3B6E5A}">
  <dimension ref="A1:T28"/>
  <sheetViews>
    <sheetView workbookViewId="0">
      <selection activeCell="K24" sqref="K24"/>
    </sheetView>
  </sheetViews>
  <sheetFormatPr baseColWidth="10" defaultRowHeight="15" x14ac:dyDescent="0.25"/>
  <cols>
    <col min="1" max="1" width="19" customWidth="1"/>
    <col min="2" max="3" width="4.5703125" bestFit="1" customWidth="1"/>
    <col min="4" max="4" width="5.85546875" bestFit="1" customWidth="1"/>
    <col min="5" max="5" width="4.5703125" bestFit="1" customWidth="1"/>
    <col min="6" max="6" width="4.85546875" bestFit="1" customWidth="1"/>
    <col min="8" max="8" width="18" bestFit="1" customWidth="1"/>
    <col min="9" max="10" width="4.5703125" bestFit="1" customWidth="1"/>
    <col min="11" max="11" width="7.7109375" bestFit="1" customWidth="1"/>
    <col min="12" max="13" width="6.28515625" bestFit="1" customWidth="1"/>
    <col min="15" max="15" width="18" bestFit="1" customWidth="1"/>
    <col min="16" max="17" width="5.5703125" bestFit="1" customWidth="1"/>
    <col min="18" max="18" width="7.7109375" bestFit="1" customWidth="1"/>
    <col min="19" max="20" width="6.28515625" bestFit="1" customWidth="1"/>
  </cols>
  <sheetData>
    <row r="1" spans="1:20" x14ac:dyDescent="0.25">
      <c r="A1" s="133" t="s">
        <v>3</v>
      </c>
      <c r="B1" s="133" t="s">
        <v>29</v>
      </c>
      <c r="C1" s="133" t="s">
        <v>69</v>
      </c>
      <c r="D1" s="134" t="s">
        <v>371</v>
      </c>
      <c r="E1" s="134" t="s">
        <v>213</v>
      </c>
      <c r="F1" s="134" t="s">
        <v>214</v>
      </c>
      <c r="H1" s="133" t="s">
        <v>372</v>
      </c>
      <c r="I1" s="133" t="s">
        <v>29</v>
      </c>
      <c r="J1" s="133" t="s">
        <v>69</v>
      </c>
      <c r="K1" s="133" t="str">
        <f>D1</f>
        <v>N_CA</v>
      </c>
      <c r="L1" s="134" t="s">
        <v>213</v>
      </c>
      <c r="M1" s="134" t="s">
        <v>214</v>
      </c>
      <c r="O1" s="133" t="s">
        <v>372</v>
      </c>
      <c r="P1" s="133" t="s">
        <v>29</v>
      </c>
      <c r="Q1" s="133" t="s">
        <v>69</v>
      </c>
      <c r="R1" s="133" t="str">
        <f>K1</f>
        <v>N_CA</v>
      </c>
      <c r="S1" s="134" t="s">
        <v>213</v>
      </c>
      <c r="T1" s="134" t="s">
        <v>214</v>
      </c>
    </row>
    <row r="2" spans="1:20" x14ac:dyDescent="0.25">
      <c r="A2" t="str">
        <f>Plantilla!D4</f>
        <v>Cosme Fonteboa</v>
      </c>
      <c r="B2" s="29">
        <f ca="1">Plantilla!Y4+Plantilla!N4+Plantilla!J4</f>
        <v>12.934968536011525</v>
      </c>
      <c r="C2" s="29">
        <f ca="1">Plantilla!AB4+Plantilla!N4+Plantilla!J4</f>
        <v>1.8238574249004147</v>
      </c>
      <c r="D2" s="82">
        <f ca="1">(C2*2+B2)/8</f>
        <v>2.072835423226544</v>
      </c>
      <c r="E2" s="29">
        <f ca="1">D2*Plantilla!R4</f>
        <v>1.9190726983436779</v>
      </c>
      <c r="F2" s="29">
        <f ca="1">D2*Plantilla!S4</f>
        <v>2.0713542973330803</v>
      </c>
      <c r="H2" s="32" t="str">
        <f>A6</f>
        <v>Berto Abandero</v>
      </c>
      <c r="I2" s="29">
        <f t="shared" ref="I2:M2" ca="1" si="0">B6</f>
        <v>14.841713208632802</v>
      </c>
      <c r="J2" s="29">
        <f t="shared" ca="1" si="0"/>
        <v>11.883379875299468</v>
      </c>
      <c r="K2" s="82">
        <f ca="1">(J2*2+I2)/8</f>
        <v>4.8260591199039675</v>
      </c>
      <c r="L2" s="32">
        <f t="shared" ca="1" si="0"/>
        <v>4.4680625358977233</v>
      </c>
      <c r="M2" s="32">
        <f t="shared" ca="1" si="0"/>
        <v>4.8226107028006213</v>
      </c>
      <c r="O2" t="str">
        <f>A2</f>
        <v>Cosme Fonteboa</v>
      </c>
      <c r="P2" s="29">
        <f ca="1">I2</f>
        <v>14.841713208632802</v>
      </c>
      <c r="Q2" s="29">
        <f ca="1">J2</f>
        <v>11.883379875299468</v>
      </c>
      <c r="R2" s="82">
        <f ca="1">(Q2*2+P2)/8</f>
        <v>4.8260591199039675</v>
      </c>
      <c r="S2" s="32">
        <f ca="1">E2</f>
        <v>1.9190726983436779</v>
      </c>
      <c r="T2" s="32">
        <f ca="1">F2</f>
        <v>2.0713542973330803</v>
      </c>
    </row>
    <row r="3" spans="1:20" x14ac:dyDescent="0.25">
      <c r="A3" t="str">
        <f>Plantilla!D5</f>
        <v>Nicolae Hornet</v>
      </c>
      <c r="B3" s="29">
        <f ca="1">Plantilla!Y5+Plantilla!N5+Plantilla!J5</f>
        <v>5.9448373809043176</v>
      </c>
      <c r="C3" s="29">
        <f ca="1">Plantilla!AB5+Plantilla!N5+Plantilla!J5</f>
        <v>1.1948373809043173</v>
      </c>
      <c r="D3" s="82">
        <f t="shared" ref="D3:D19" ca="1" si="1">(C3*2+B3)/8</f>
        <v>1.0418140178391191</v>
      </c>
      <c r="E3" s="29">
        <f ca="1">D3*Plantilla!R5</f>
        <v>0.96453235794025594</v>
      </c>
      <c r="F3" s="29">
        <f ca="1">D3*Plantilla!S5</f>
        <v>1.0410695990103473</v>
      </c>
      <c r="H3" s="32" t="str">
        <f>A7</f>
        <v>Guillermo Pedrajas</v>
      </c>
      <c r="I3" s="29">
        <f t="shared" ref="I3:M3" ca="1" si="2">B7</f>
        <v>12.890992581124097</v>
      </c>
      <c r="J3" s="29">
        <f t="shared" ca="1" si="2"/>
        <v>10.922738612870129</v>
      </c>
      <c r="K3" s="82">
        <f t="shared" ref="K3:K6" ca="1" si="3">(J3*2+I3)/8</f>
        <v>4.3420587258580445</v>
      </c>
      <c r="L3" s="32">
        <f t="shared" ca="1" si="2"/>
        <v>4.0199652427921722</v>
      </c>
      <c r="M3" s="32">
        <f t="shared" ca="1" si="2"/>
        <v>4.3389561468796334</v>
      </c>
      <c r="O3" t="str">
        <f>A7</f>
        <v>Guillermo Pedrajas</v>
      </c>
      <c r="P3" s="29">
        <f t="shared" ref="P3:P5" ca="1" si="4">I3</f>
        <v>12.890992581124097</v>
      </c>
      <c r="Q3" s="29">
        <f t="shared" ref="Q3:Q5" ca="1" si="5">J3</f>
        <v>10.922738612870129</v>
      </c>
      <c r="R3" s="82">
        <f t="shared" ref="R3:R5" ca="1" si="6">(Q3*2+P3)/8</f>
        <v>4.3420587258580445</v>
      </c>
      <c r="S3" s="32">
        <f ca="1">E7</f>
        <v>4.0199652427921722</v>
      </c>
      <c r="T3" s="32">
        <f ca="1">F7</f>
        <v>4.3389561468796334</v>
      </c>
    </row>
    <row r="4" spans="1:20" x14ac:dyDescent="0.25">
      <c r="A4" t="str">
        <f>Plantilla!D6</f>
        <v>Miguel Fernández</v>
      </c>
      <c r="B4" s="29">
        <f ca="1">Plantilla!Y6+Plantilla!N6+Plantilla!J6</f>
        <v>16.528231111426553</v>
      </c>
      <c r="C4" s="29">
        <f ca="1">Plantilla!AB6+Plantilla!N6+Plantilla!J6</f>
        <v>7.5282311114265532</v>
      </c>
      <c r="D4" s="82">
        <f t="shared" ca="1" si="1"/>
        <v>3.9480866667849575</v>
      </c>
      <c r="E4" s="29">
        <f ca="1">D4*Plantilla!R6</f>
        <v>2.9844729928122655</v>
      </c>
      <c r="F4" s="29">
        <f ca="1">D4*Plantilla!S6</f>
        <v>3.3334038321841821</v>
      </c>
      <c r="H4" t="str">
        <f>A10</f>
        <v>Will Duffill</v>
      </c>
      <c r="I4" s="29">
        <f t="shared" ref="I4:M4" ca="1" si="7">B10</f>
        <v>13.426505573922681</v>
      </c>
      <c r="J4" s="29">
        <f t="shared" ca="1" si="7"/>
        <v>9.1209500183671253</v>
      </c>
      <c r="K4" s="82">
        <f t="shared" ca="1" si="3"/>
        <v>3.9585507013321166</v>
      </c>
      <c r="L4" s="32">
        <f t="shared" ca="1" si="7"/>
        <v>3.3455859677893915</v>
      </c>
      <c r="M4" s="32">
        <f t="shared" ca="1" si="7"/>
        <v>3.6618504434926611</v>
      </c>
      <c r="O4" t="str">
        <f t="shared" ref="O4" si="8">A4</f>
        <v>Miguel Fernández</v>
      </c>
      <c r="P4" s="29">
        <f t="shared" ca="1" si="4"/>
        <v>13.426505573922681</v>
      </c>
      <c r="Q4" s="29">
        <f t="shared" ca="1" si="5"/>
        <v>9.1209500183671253</v>
      </c>
      <c r="R4" s="82">
        <f t="shared" ca="1" si="6"/>
        <v>3.9585507013321166</v>
      </c>
      <c r="S4" s="32">
        <f ca="1">E4</f>
        <v>2.9844729928122655</v>
      </c>
      <c r="T4" s="32">
        <f ca="1">F4</f>
        <v>3.3334038321841821</v>
      </c>
    </row>
    <row r="5" spans="1:20" x14ac:dyDescent="0.25">
      <c r="A5" t="str">
        <f>Plantilla!D7</f>
        <v>Iván Real Figueroa</v>
      </c>
      <c r="B5" s="29">
        <f ca="1">Plantilla!Y7+Plantilla!N7+Plantilla!J7</f>
        <v>16.612566782428978</v>
      </c>
      <c r="C5" s="29">
        <f ca="1">Plantilla!AB7+Plantilla!N7+Plantilla!J7</f>
        <v>6.9250667824289778</v>
      </c>
      <c r="D5" s="82">
        <f t="shared" ca="1" si="1"/>
        <v>3.8078375434108667</v>
      </c>
      <c r="E5" s="29">
        <f ca="1">D5*Plantilla!R7</f>
        <v>3.5253725343583158</v>
      </c>
      <c r="F5" s="29">
        <f ca="1">D5*Plantilla!S7</f>
        <v>3.8051166873696909</v>
      </c>
      <c r="H5" s="32" t="str">
        <f>A5</f>
        <v>Iván Real Figueroa</v>
      </c>
      <c r="I5" s="29">
        <f t="shared" ref="I5:M5" ca="1" si="9">B5</f>
        <v>16.612566782428978</v>
      </c>
      <c r="J5" s="29">
        <f t="shared" ca="1" si="9"/>
        <v>6.9250667824289778</v>
      </c>
      <c r="K5" s="82">
        <f t="shared" ca="1" si="3"/>
        <v>3.8078375434108667</v>
      </c>
      <c r="L5" s="32">
        <f t="shared" ca="1" si="9"/>
        <v>3.5253725343583158</v>
      </c>
      <c r="M5" s="32">
        <f t="shared" ca="1" si="9"/>
        <v>3.8051166873696909</v>
      </c>
      <c r="O5" s="32" t="str">
        <f>H5</f>
        <v>Iván Real Figueroa</v>
      </c>
      <c r="P5" s="29">
        <f t="shared" ca="1" si="4"/>
        <v>16.612566782428978</v>
      </c>
      <c r="Q5" s="29">
        <f t="shared" ca="1" si="5"/>
        <v>6.9250667824289778</v>
      </c>
      <c r="R5" s="82">
        <f t="shared" ca="1" si="6"/>
        <v>3.8078375434108667</v>
      </c>
      <c r="S5" s="32">
        <f ca="1">L5</f>
        <v>3.5253725343583158</v>
      </c>
      <c r="T5" s="32">
        <f ca="1">M5</f>
        <v>3.8051166873696909</v>
      </c>
    </row>
    <row r="6" spans="1:20" x14ac:dyDescent="0.25">
      <c r="A6" t="str">
        <f>Plantilla!D8</f>
        <v>Berto Abandero</v>
      </c>
      <c r="B6" s="29">
        <f ca="1">Plantilla!Y8+Plantilla!N8+Plantilla!J8</f>
        <v>14.841713208632802</v>
      </c>
      <c r="C6" s="29">
        <f ca="1">Plantilla!AB8+Plantilla!N8+Plantilla!J8</f>
        <v>11.883379875299468</v>
      </c>
      <c r="D6" s="82">
        <f t="shared" ca="1" si="1"/>
        <v>4.8260591199039675</v>
      </c>
      <c r="E6" s="29">
        <f ca="1">D6*Plantilla!R8</f>
        <v>4.4680625358977233</v>
      </c>
      <c r="F6" s="29">
        <f ca="1">D6*Plantilla!S8</f>
        <v>4.8226107028006213</v>
      </c>
      <c r="H6" t="str">
        <f>A4</f>
        <v>Miguel Fernández</v>
      </c>
      <c r="I6" s="29">
        <f t="shared" ref="I6:M6" ca="1" si="10">B4</f>
        <v>16.528231111426553</v>
      </c>
      <c r="J6" s="29">
        <f t="shared" ca="1" si="10"/>
        <v>7.5282311114265532</v>
      </c>
      <c r="K6" s="82">
        <f t="shared" ca="1" si="3"/>
        <v>3.9480866667849575</v>
      </c>
      <c r="L6" s="32">
        <f t="shared" ca="1" si="10"/>
        <v>2.9844729928122655</v>
      </c>
      <c r="M6" s="32">
        <f t="shared" ca="1" si="10"/>
        <v>3.3334038321841821</v>
      </c>
      <c r="R6" s="32"/>
      <c r="S6" s="29"/>
      <c r="T6" s="29"/>
    </row>
    <row r="7" spans="1:20" ht="18.75" x14ac:dyDescent="0.3">
      <c r="A7" t="str">
        <f>Plantilla!D9</f>
        <v>Guillermo Pedrajas</v>
      </c>
      <c r="B7" s="29">
        <f ca="1">Plantilla!Y9+Plantilla!N9+Plantilla!J9</f>
        <v>12.890992581124097</v>
      </c>
      <c r="C7" s="29">
        <f ca="1">Plantilla!AB9+Plantilla!N9+Plantilla!J9</f>
        <v>10.922738612870129</v>
      </c>
      <c r="D7" s="82">
        <f t="shared" ca="1" si="1"/>
        <v>4.3420587258580445</v>
      </c>
      <c r="E7" s="29">
        <f ca="1">D7*Plantilla!R9</f>
        <v>4.0199652427921722</v>
      </c>
      <c r="F7" s="29">
        <f ca="1">D7*Plantilla!S9</f>
        <v>4.3389561468796334</v>
      </c>
      <c r="K7" s="135">
        <f ca="1">SUM(K2:K6)</f>
        <v>20.882592757289952</v>
      </c>
      <c r="L7" s="135">
        <f t="shared" ref="L7:M7" ca="1" si="11">SUM(L2:L6)</f>
        <v>18.343459273649867</v>
      </c>
      <c r="M7" s="135">
        <f t="shared" ca="1" si="11"/>
        <v>19.961937812726788</v>
      </c>
      <c r="N7" s="135"/>
      <c r="O7" s="135"/>
      <c r="P7" s="135"/>
      <c r="Q7" s="135"/>
      <c r="R7" s="135">
        <f ca="1">SUM(R2:R6)</f>
        <v>16.934506090504996</v>
      </c>
      <c r="S7" s="135">
        <f t="shared" ref="S7:T7" ca="1" si="12">SUM(S2:S6)</f>
        <v>12.44888346830643</v>
      </c>
      <c r="T7" s="135">
        <f t="shared" ca="1" si="12"/>
        <v>13.548830963766587</v>
      </c>
    </row>
    <row r="8" spans="1:20" x14ac:dyDescent="0.25">
      <c r="A8">
        <f>Plantilla!D10</f>
        <v>0</v>
      </c>
      <c r="B8" s="29" t="e">
        <f ca="1">Plantilla!Y10+Plantilla!N10+Plantilla!J10</f>
        <v>#NUM!</v>
      </c>
      <c r="C8" s="29" t="e">
        <f ca="1">Plantilla!AB10+Plantilla!N10+Plantilla!J10</f>
        <v>#NUM!</v>
      </c>
      <c r="D8" s="82" t="e">
        <f t="shared" ca="1" si="1"/>
        <v>#NUM!</v>
      </c>
      <c r="E8" s="29" t="e">
        <f ca="1">D8*Plantilla!R10</f>
        <v>#NUM!</v>
      </c>
      <c r="F8" s="29" t="e">
        <f ca="1">D8*Plantilla!S10</f>
        <v>#NUM!</v>
      </c>
      <c r="L8" s="64">
        <f ca="1">(K7-L7)/K7</f>
        <v>0.1215909112987751</v>
      </c>
      <c r="M8" s="64">
        <f ca="1">(K7-M7)/K7</f>
        <v>4.4087195266582543E-2</v>
      </c>
      <c r="R8" s="32"/>
    </row>
    <row r="9" spans="1:20" x14ac:dyDescent="0.25">
      <c r="A9" t="str">
        <f>Plantilla!D11</f>
        <v>Francesc Añigas</v>
      </c>
      <c r="B9" s="29">
        <f ca="1">Plantilla!Y11+Plantilla!N11+Plantilla!J11</f>
        <v>14.257936901981584</v>
      </c>
      <c r="C9" s="29">
        <f ca="1">Plantilla!AB11+Plantilla!N11+Plantilla!J11</f>
        <v>6.3579369019815832</v>
      </c>
      <c r="D9" s="82">
        <f t="shared" ca="1" si="1"/>
        <v>3.3717263382430938</v>
      </c>
      <c r="E9" s="29">
        <f ca="1">D9*Plantilla!R11</f>
        <v>3.3717263382430938</v>
      </c>
      <c r="F9" s="29">
        <f ca="1">D9*Plantilla!S11</f>
        <v>3.3717263382430938</v>
      </c>
    </row>
    <row r="10" spans="1:20" x14ac:dyDescent="0.25">
      <c r="A10" t="str">
        <f>Plantilla!D12</f>
        <v>Will Duffill</v>
      </c>
      <c r="B10" s="29">
        <f ca="1">Plantilla!Y12+Plantilla!N12+Plantilla!J12</f>
        <v>13.426505573922681</v>
      </c>
      <c r="C10" s="29">
        <f ca="1">Plantilla!AB12+Plantilla!N12+Plantilla!J12</f>
        <v>9.1209500183671253</v>
      </c>
      <c r="D10" s="82">
        <f t="shared" ca="1" si="1"/>
        <v>3.9585507013321166</v>
      </c>
      <c r="E10" s="29">
        <f ca="1">D10*Plantilla!R12</f>
        <v>3.3455859677893915</v>
      </c>
      <c r="F10" s="29">
        <f ca="1">D10*Plantilla!S12</f>
        <v>3.6618504434926611</v>
      </c>
      <c r="H10" s="32"/>
      <c r="I10" s="32"/>
      <c r="J10" s="32"/>
    </row>
    <row r="11" spans="1:20" x14ac:dyDescent="0.25">
      <c r="A11" t="str">
        <f>Plantilla!D13</f>
        <v>Valeri Gomis</v>
      </c>
      <c r="B11" s="29">
        <f ca="1">Plantilla!Y13+Plantilla!N13+Plantilla!J13</f>
        <v>13.080159124203805</v>
      </c>
      <c r="C11" s="29">
        <f ca="1">Plantilla!AB13+Plantilla!N13+Plantilla!J13</f>
        <v>8.0579369019815843</v>
      </c>
      <c r="D11" s="82">
        <f t="shared" ca="1" si="1"/>
        <v>3.6495041160208714</v>
      </c>
      <c r="E11" s="29">
        <f ca="1">D11*Plantilla!R13</f>
        <v>3.0843939313042732</v>
      </c>
      <c r="F11" s="29">
        <f ca="1">D11*Plantilla!S13</f>
        <v>3.3759674370931103</v>
      </c>
    </row>
    <row r="12" spans="1:20" x14ac:dyDescent="0.25">
      <c r="A12" t="str">
        <f>Plantilla!D14</f>
        <v>Enrique Cubas</v>
      </c>
      <c r="B12" s="29">
        <f>Plantilla!Y14+Plantilla!N14+Plantilla!J14</f>
        <v>12.289102862924215</v>
      </c>
      <c r="C12" s="29">
        <f>Plantilla!AB14+Plantilla!N14+Plantilla!J14</f>
        <v>8.6319600057813588</v>
      </c>
      <c r="D12" s="82">
        <f t="shared" si="1"/>
        <v>3.6941278593108668</v>
      </c>
      <c r="E12" s="29">
        <f>D12*Plantilla!R14</f>
        <v>3.4200978232797485</v>
      </c>
      <c r="F12" s="29">
        <f>D12*Plantilla!S14</f>
        <v>3.6914882535009301</v>
      </c>
      <c r="H12" s="136" t="s">
        <v>372</v>
      </c>
      <c r="I12" s="136" t="s">
        <v>29</v>
      </c>
      <c r="J12" s="136" t="s">
        <v>69</v>
      </c>
      <c r="K12" s="137" t="s">
        <v>371</v>
      </c>
      <c r="L12" s="137" t="s">
        <v>213</v>
      </c>
      <c r="M12" s="137" t="s">
        <v>214</v>
      </c>
      <c r="O12" s="136" t="s">
        <v>372</v>
      </c>
      <c r="P12" s="136" t="s">
        <v>29</v>
      </c>
      <c r="Q12" s="136" t="s">
        <v>69</v>
      </c>
      <c r="R12" s="136" t="str">
        <f>K12</f>
        <v>N_CA</v>
      </c>
      <c r="S12" s="137" t="s">
        <v>213</v>
      </c>
      <c r="T12" s="137" t="s">
        <v>214</v>
      </c>
    </row>
    <row r="13" spans="1:20" x14ac:dyDescent="0.25">
      <c r="A13" t="str">
        <f>Plantilla!D15</f>
        <v>J. G. Peñuela</v>
      </c>
      <c r="B13" s="29">
        <f ca="1">Plantilla!Y15+Plantilla!N15+Plantilla!J15</f>
        <v>12.094624607439449</v>
      </c>
      <c r="C13" s="29">
        <f ca="1">Plantilla!AB15+Plantilla!N15+Plantilla!J15</f>
        <v>7.0946246074394486</v>
      </c>
      <c r="D13" s="82">
        <f t="shared" ca="1" si="1"/>
        <v>3.2854842277897935</v>
      </c>
      <c r="E13" s="29">
        <f ca="1">D13*Plantilla!R15</f>
        <v>3.0417673355734909</v>
      </c>
      <c r="F13" s="29">
        <f ca="1">D13*Plantilla!S15</f>
        <v>3.2831366146084386</v>
      </c>
      <c r="H13" s="32" t="str">
        <f>H2</f>
        <v>Berto Abandero</v>
      </c>
      <c r="I13" s="29">
        <f ca="1">I2</f>
        <v>14.841713208632802</v>
      </c>
      <c r="J13" s="29">
        <f ca="1">J2</f>
        <v>11.883379875299468</v>
      </c>
      <c r="K13" s="82">
        <f ca="1">(J13*2+I13)/8</f>
        <v>4.8260591199039675</v>
      </c>
      <c r="L13" s="32">
        <f ca="1">K13*(1-$L$8)</f>
        <v>4.2392541935330801</v>
      </c>
      <c r="M13" s="32">
        <f ca="1">K13*(1-$M$8)</f>
        <v>4.6132917091166901</v>
      </c>
      <c r="O13" s="32" t="str">
        <f>H13</f>
        <v>Berto Abandero</v>
      </c>
      <c r="P13" s="32">
        <f t="shared" ref="P13:Q13" ca="1" si="13">I13</f>
        <v>14.841713208632802</v>
      </c>
      <c r="Q13" s="32">
        <f t="shared" ca="1" si="13"/>
        <v>11.883379875299468</v>
      </c>
      <c r="R13" s="82">
        <f ca="1">(Q13*2+P13)/8</f>
        <v>4.8260591199039675</v>
      </c>
      <c r="S13" s="32">
        <f ca="1">L13</f>
        <v>4.2392541935330801</v>
      </c>
      <c r="T13" s="32">
        <f ca="1">M13</f>
        <v>4.6132917091166901</v>
      </c>
    </row>
    <row r="14" spans="1:20" x14ac:dyDescent="0.25">
      <c r="A14" t="str">
        <f>Plantilla!D16</f>
        <v>David Garcia-Spiess</v>
      </c>
      <c r="B14" s="29">
        <f ca="1">Plantilla!Y16+Plantilla!N16+Plantilla!J16</f>
        <v>10.737219637493826</v>
      </c>
      <c r="C14" s="29">
        <f ca="1">Plantilla!AB16+Plantilla!N16+Plantilla!J16</f>
        <v>8.7689656692398579</v>
      </c>
      <c r="D14" s="82">
        <f t="shared" ca="1" si="1"/>
        <v>3.5343938719966927</v>
      </c>
      <c r="E14" s="29">
        <f ca="1">D14*Plantilla!R16</f>
        <v>3.2722128872074725</v>
      </c>
      <c r="F14" s="29">
        <f ca="1">D14*Plantilla!S16</f>
        <v>3.5318684026695788</v>
      </c>
      <c r="H14" s="32" t="str">
        <f t="shared" ref="H14:I17" si="14">H3</f>
        <v>Guillermo Pedrajas</v>
      </c>
      <c r="I14" s="29">
        <f t="shared" ca="1" si="14"/>
        <v>12.890992581124097</v>
      </c>
      <c r="J14" s="29">
        <f t="shared" ref="J14:J17" ca="1" si="15">J3</f>
        <v>10.922738612870129</v>
      </c>
      <c r="K14" s="82">
        <f t="shared" ref="K14:K17" ca="1" si="16">(J14*2+I14)/8</f>
        <v>4.3420587258580445</v>
      </c>
      <c r="L14" s="32">
        <f t="shared" ref="L14:L17" ca="1" si="17">K14*(1-$L$8)</f>
        <v>3.8141038484681666</v>
      </c>
      <c r="M14" s="32">
        <f t="shared" ref="M14:M17" ca="1" si="18">K14*(1-$M$8)</f>
        <v>4.1506295349521727</v>
      </c>
      <c r="O14" s="32" t="str">
        <f t="shared" ref="O14:O16" si="19">H14</f>
        <v>Guillermo Pedrajas</v>
      </c>
      <c r="P14" s="32">
        <f t="shared" ref="P14:P16" ca="1" si="20">I14</f>
        <v>12.890992581124097</v>
      </c>
      <c r="Q14" s="32">
        <f t="shared" ref="Q14:Q16" ca="1" si="21">J14</f>
        <v>10.922738612870129</v>
      </c>
      <c r="R14" s="82">
        <f t="shared" ref="R14:R16" ca="1" si="22">(Q14*2+P14)/8</f>
        <v>4.3420587258580445</v>
      </c>
      <c r="S14" s="32">
        <f t="shared" ref="S14:S16" ca="1" si="23">L14</f>
        <v>3.8141038484681666</v>
      </c>
      <c r="T14" s="32">
        <f t="shared" ref="T14:T16" ca="1" si="24">M14</f>
        <v>4.1506295349521727</v>
      </c>
    </row>
    <row r="15" spans="1:20" x14ac:dyDescent="0.25">
      <c r="A15" t="str">
        <f>Plantilla!D17</f>
        <v>Fabien Fabre</v>
      </c>
      <c r="B15" s="29">
        <f ca="1">Plantilla!Y17+Plantilla!N17+Plantilla!J17</f>
        <v>7.8238574249004147</v>
      </c>
      <c r="C15" s="29">
        <f ca="1">Plantilla!AB17+Plantilla!N17+Plantilla!J17</f>
        <v>5.8655240915670817</v>
      </c>
      <c r="D15" s="82">
        <f t="shared" ca="1" si="1"/>
        <v>2.4443632010043221</v>
      </c>
      <c r="E15" s="29">
        <f ca="1">D15*Plantilla!R17</f>
        <v>2.2630405826341748</v>
      </c>
      <c r="F15" s="29">
        <f ca="1">D15*Plantilla!S17</f>
        <v>2.4426166032814782</v>
      </c>
      <c r="H15" s="32" t="str">
        <f t="shared" si="14"/>
        <v>Will Duffill</v>
      </c>
      <c r="I15" s="29">
        <f t="shared" ca="1" si="14"/>
        <v>13.426505573922681</v>
      </c>
      <c r="J15" s="29">
        <f t="shared" ca="1" si="15"/>
        <v>9.1209500183671253</v>
      </c>
      <c r="K15" s="82">
        <f t="shared" ca="1" si="16"/>
        <v>3.9585507013321166</v>
      </c>
      <c r="L15" s="32">
        <f t="shared" ca="1" si="17"/>
        <v>3.4772269141347394</v>
      </c>
      <c r="M15" s="32">
        <f t="shared" ca="1" si="18"/>
        <v>3.7840293035898203</v>
      </c>
      <c r="O15" s="32" t="str">
        <f t="shared" si="19"/>
        <v>Will Duffill</v>
      </c>
      <c r="P15" s="32">
        <f t="shared" ca="1" si="20"/>
        <v>13.426505573922681</v>
      </c>
      <c r="Q15" s="32">
        <f t="shared" ca="1" si="21"/>
        <v>9.1209500183671253</v>
      </c>
      <c r="R15" s="82">
        <f t="shared" ca="1" si="22"/>
        <v>3.9585507013321166</v>
      </c>
      <c r="S15" s="32">
        <f t="shared" ca="1" si="23"/>
        <v>3.4772269141347394</v>
      </c>
      <c r="T15" s="32">
        <f t="shared" ca="1" si="24"/>
        <v>3.7840293035898203</v>
      </c>
    </row>
    <row r="16" spans="1:20" x14ac:dyDescent="0.25">
      <c r="A16" t="str">
        <f>Plantilla!D18</f>
        <v>Fernando Gazón</v>
      </c>
      <c r="B16" s="29">
        <f ca="1">Plantilla!Y18+Plantilla!N18+Plantilla!J18</f>
        <v>5.8305866782293831</v>
      </c>
      <c r="C16" s="29">
        <f ca="1">Plantilla!AB18+Plantilla!N18+Plantilla!J18</f>
        <v>5.943086678229383</v>
      </c>
      <c r="D16" s="82">
        <f t="shared" ca="1" si="1"/>
        <v>2.2145950043360187</v>
      </c>
      <c r="E16" s="29">
        <f ca="1">D16*Plantilla!R18</f>
        <v>1.6740764674854611</v>
      </c>
      <c r="F16" s="29">
        <f ca="1">D16*Plantilla!S18</f>
        <v>1.8698017792504851</v>
      </c>
      <c r="H16" s="32" t="str">
        <f t="shared" si="14"/>
        <v>Iván Real Figueroa</v>
      </c>
      <c r="I16" s="29">
        <f t="shared" ca="1" si="14"/>
        <v>16.612566782428978</v>
      </c>
      <c r="J16" s="29">
        <f t="shared" ca="1" si="15"/>
        <v>6.9250667824289778</v>
      </c>
      <c r="K16" s="82">
        <f t="shared" ca="1" si="16"/>
        <v>3.8078375434108667</v>
      </c>
      <c r="L16" s="32">
        <f t="shared" ca="1" si="17"/>
        <v>3.3448391064298502</v>
      </c>
      <c r="M16" s="32">
        <f t="shared" ca="1" si="18"/>
        <v>3.6399606660910879</v>
      </c>
      <c r="O16" s="32" t="str">
        <f t="shared" si="19"/>
        <v>Iván Real Figueroa</v>
      </c>
      <c r="P16" s="32">
        <f t="shared" ca="1" si="20"/>
        <v>16.612566782428978</v>
      </c>
      <c r="Q16" s="32">
        <f t="shared" ca="1" si="21"/>
        <v>6.9250667824289778</v>
      </c>
      <c r="R16" s="82">
        <f t="shared" ca="1" si="22"/>
        <v>3.8078375434108667</v>
      </c>
      <c r="S16" s="32">
        <f t="shared" ca="1" si="23"/>
        <v>3.3448391064298502</v>
      </c>
      <c r="T16" s="32">
        <f t="shared" ca="1" si="24"/>
        <v>3.6399606660910879</v>
      </c>
    </row>
    <row r="17" spans="1:20" x14ac:dyDescent="0.25">
      <c r="A17" t="str">
        <f>Plantilla!D19</f>
        <v>Stanisław Zdankiewicz</v>
      </c>
      <c r="B17" s="29">
        <f ca="1">Plantilla!Y19+Plantilla!N19+Plantilla!J19</f>
        <v>2.3644490634889945</v>
      </c>
      <c r="C17" s="29">
        <f ca="1">Plantilla!AB19+Plantilla!N19+Plantilla!J19</f>
        <v>8.3644490634889941</v>
      </c>
      <c r="D17" s="82">
        <f t="shared" ca="1" si="1"/>
        <v>2.3866683988083728</v>
      </c>
      <c r="E17" s="29">
        <f ca="1">D17*Plantilla!R19</f>
        <v>1.2757279205973262</v>
      </c>
      <c r="F17" s="29">
        <f ca="1">D17*Plantilla!S19</f>
        <v>1.5598349856476514</v>
      </c>
      <c r="H17" s="32" t="str">
        <f t="shared" si="14"/>
        <v>Miguel Fernández</v>
      </c>
      <c r="I17" s="29">
        <f t="shared" ca="1" si="14"/>
        <v>16.528231111426553</v>
      </c>
      <c r="J17" s="29">
        <f t="shared" ca="1" si="15"/>
        <v>7.5282311114265532</v>
      </c>
      <c r="K17" s="82">
        <f t="shared" ca="1" si="16"/>
        <v>3.9480866667849575</v>
      </c>
      <c r="L17" s="32">
        <f t="shared" ca="1" si="17"/>
        <v>3.4680352110840311</v>
      </c>
      <c r="M17" s="32">
        <f t="shared" ca="1" si="18"/>
        <v>3.7740265989770179</v>
      </c>
      <c r="R17" s="32"/>
      <c r="S17" s="29"/>
      <c r="T17" s="29"/>
    </row>
    <row r="18" spans="1:20" ht="18.75" x14ac:dyDescent="0.3">
      <c r="A18" t="str">
        <f>Plantilla!D20</f>
        <v>Emilio Rojas</v>
      </c>
      <c r="B18" s="29">
        <f ca="1">Plantilla!Y20+Plantilla!N20+Plantilla!J20</f>
        <v>7.9627360937298626</v>
      </c>
      <c r="C18" s="29">
        <f ca="1">Plantilla!AB20+Plantilla!N20+Plantilla!J20</f>
        <v>11.073847204840973</v>
      </c>
      <c r="D18" s="82">
        <f t="shared" ca="1" si="1"/>
        <v>3.7638038129264761</v>
      </c>
      <c r="E18" s="29">
        <f ca="1">D18*Plantilla!R20</f>
        <v>3.4846052216078998</v>
      </c>
      <c r="F18" s="29">
        <f ca="1">D18*Plantilla!S20</f>
        <v>3.7611144207910572</v>
      </c>
      <c r="K18" s="135">
        <f ca="1">SUM(K13:K17)</f>
        <v>20.882592757289952</v>
      </c>
      <c r="L18" s="135">
        <f t="shared" ref="L18:M18" ca="1" si="25">SUM(L13:L17)</f>
        <v>18.343459273649867</v>
      </c>
      <c r="M18" s="135">
        <f t="shared" ca="1" si="25"/>
        <v>19.961937812726788</v>
      </c>
      <c r="N18" s="135"/>
      <c r="O18" s="135"/>
      <c r="P18" s="135"/>
      <c r="Q18" s="135"/>
      <c r="R18" s="135">
        <f ca="1">SUM(R13:R17)</f>
        <v>16.934506090504996</v>
      </c>
      <c r="S18" s="135">
        <f t="shared" ref="S18:T18" ca="1" si="26">SUM(S13:S17)</f>
        <v>14.875424062565836</v>
      </c>
      <c r="T18" s="135">
        <f t="shared" ca="1" si="26"/>
        <v>16.187911213749771</v>
      </c>
    </row>
    <row r="19" spans="1:20" x14ac:dyDescent="0.25">
      <c r="A19" t="str">
        <f>Plantilla!D21</f>
        <v>Leo Hilpinen</v>
      </c>
      <c r="B19" s="29">
        <f ca="1">Plantilla!Y21+Plantilla!N21+Plantilla!J21</f>
        <v>6.5154367454486612</v>
      </c>
      <c r="C19" s="29">
        <f ca="1">Plantilla!AB21+Plantilla!N21+Plantilla!J21</f>
        <v>10.658293888305803</v>
      </c>
      <c r="D19" s="82">
        <f t="shared" ca="1" si="1"/>
        <v>3.4790030652575332</v>
      </c>
      <c r="E19" s="29">
        <f ca="1">D19*Plantilla!R21</f>
        <v>3.4790030652575332</v>
      </c>
      <c r="F19" s="29">
        <f ca="1">D19*Plantilla!S21</f>
        <v>3.4790030652575332</v>
      </c>
    </row>
    <row r="20" spans="1:20" x14ac:dyDescent="0.25">
      <c r="B20" s="29"/>
      <c r="C20" s="29"/>
      <c r="D20" s="82"/>
      <c r="E20" s="29"/>
      <c r="F20" s="29"/>
    </row>
    <row r="21" spans="1:20" x14ac:dyDescent="0.25">
      <c r="B21" s="29"/>
      <c r="C21" s="29"/>
      <c r="D21" s="82"/>
      <c r="E21" s="29"/>
      <c r="F21" s="29"/>
    </row>
    <row r="22" spans="1:20" x14ac:dyDescent="0.25">
      <c r="B22" s="29"/>
      <c r="C22" s="29"/>
      <c r="D22" s="82"/>
      <c r="E22" s="29"/>
      <c r="F22" s="29"/>
    </row>
    <row r="23" spans="1:20" x14ac:dyDescent="0.25">
      <c r="B23" s="29"/>
      <c r="C23" s="29"/>
      <c r="D23" s="82"/>
      <c r="E23" s="29"/>
      <c r="F23" s="29"/>
    </row>
    <row r="24" spans="1:20" x14ac:dyDescent="0.25">
      <c r="B24" s="29"/>
      <c r="C24" s="29"/>
      <c r="D24" s="82"/>
      <c r="E24" s="29"/>
      <c r="F24" s="29"/>
    </row>
    <row r="25" spans="1:20" x14ac:dyDescent="0.25">
      <c r="B25" s="29"/>
      <c r="C25" s="29"/>
      <c r="D25" s="82"/>
      <c r="E25" s="29"/>
      <c r="F25" s="29"/>
    </row>
    <row r="26" spans="1:20" x14ac:dyDescent="0.25">
      <c r="B26" s="29"/>
      <c r="C26" s="29"/>
      <c r="D26" s="82"/>
      <c r="E26" s="29"/>
      <c r="F26" s="29"/>
    </row>
    <row r="27" spans="1:20" x14ac:dyDescent="0.25">
      <c r="B27" s="29"/>
      <c r="C27" s="29"/>
      <c r="D27" s="82"/>
      <c r="E27" s="29"/>
      <c r="F27" s="29"/>
    </row>
    <row r="28" spans="1:20" x14ac:dyDescent="0.25">
      <c r="B28" s="29"/>
      <c r="C28" s="29"/>
      <c r="D28" s="82"/>
      <c r="E28" s="29"/>
      <c r="F28" s="29"/>
    </row>
  </sheetData>
  <conditionalFormatting sqref="D20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9 K2:K6 K13:K17 R2:R5 R13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4D58-9D2A-43C3-A984-4B882EB34A19}">
  <dimension ref="A1:N48"/>
  <sheetViews>
    <sheetView zoomScale="90" zoomScaleNormal="90" workbookViewId="0">
      <selection activeCell="H20" sqref="H20"/>
    </sheetView>
  </sheetViews>
  <sheetFormatPr baseColWidth="10" defaultRowHeight="15" x14ac:dyDescent="0.25"/>
  <cols>
    <col min="1" max="1" width="12.5703125" style="132" customWidth="1"/>
    <col min="2" max="2" width="17.7109375" style="132" bestFit="1" customWidth="1"/>
    <col min="3" max="3" width="27.140625" style="132" bestFit="1" customWidth="1"/>
    <col min="4" max="4" width="11.7109375" style="132" bestFit="1" customWidth="1"/>
    <col min="5" max="5" width="16.85546875" style="132" bestFit="1" customWidth="1"/>
    <col min="6" max="6" width="17.28515625" style="132" bestFit="1" customWidth="1"/>
    <col min="7" max="7" width="4.28515625" style="132" bestFit="1" customWidth="1"/>
    <col min="8" max="8" width="13.5703125" style="132" bestFit="1" customWidth="1"/>
    <col min="10" max="10" width="17.5703125" bestFit="1" customWidth="1"/>
    <col min="11" max="11" width="8.285156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8" t="s">
        <v>380</v>
      </c>
      <c r="B1" s="48" t="s">
        <v>381</v>
      </c>
      <c r="C1" s="48" t="s">
        <v>382</v>
      </c>
      <c r="D1" s="48" t="s">
        <v>386</v>
      </c>
      <c r="E1" s="48" t="s">
        <v>387</v>
      </c>
      <c r="F1" s="48" t="s">
        <v>383</v>
      </c>
      <c r="G1" s="48" t="s">
        <v>384</v>
      </c>
      <c r="H1" s="48" t="s">
        <v>385</v>
      </c>
      <c r="J1" s="439" t="s">
        <v>678</v>
      </c>
      <c r="K1" t="s">
        <v>686</v>
      </c>
      <c r="L1" t="s">
        <v>680</v>
      </c>
      <c r="M1" t="s">
        <v>681</v>
      </c>
      <c r="N1" s="132" t="s">
        <v>89</v>
      </c>
    </row>
    <row r="2" spans="1:14" x14ac:dyDescent="0.25">
      <c r="A2" s="148">
        <v>43670</v>
      </c>
      <c r="B2" s="150" t="s">
        <v>388</v>
      </c>
      <c r="C2" s="132" t="s">
        <v>689</v>
      </c>
      <c r="D2" s="132">
        <v>14</v>
      </c>
      <c r="E2" s="34">
        <f>(7+11+14+11+10+12+14+11+13+14+10)/11</f>
        <v>11.545454545454545</v>
      </c>
      <c r="F2" s="132">
        <v>7</v>
      </c>
      <c r="G2" s="132">
        <v>2</v>
      </c>
      <c r="H2" s="43">
        <f t="shared" ref="H2:H48" si="0">G2/F2</f>
        <v>0.2857142857142857</v>
      </c>
      <c r="J2" s="440">
        <v>14</v>
      </c>
      <c r="K2" s="441">
        <v>1</v>
      </c>
      <c r="L2" s="441">
        <v>7</v>
      </c>
      <c r="M2" s="441">
        <v>2</v>
      </c>
      <c r="N2" s="65">
        <f>M2/L2</f>
        <v>0.2857142857142857</v>
      </c>
    </row>
    <row r="3" spans="1:14" x14ac:dyDescent="0.25">
      <c r="A3" s="148">
        <v>43617</v>
      </c>
      <c r="B3" s="444" t="s">
        <v>692</v>
      </c>
      <c r="C3" s="150" t="s">
        <v>388</v>
      </c>
      <c r="D3" s="444">
        <v>15</v>
      </c>
      <c r="E3" s="447">
        <f>(15+8+9+11+14+11+14+9+13+13+12)/11</f>
        <v>11.727272727272727</v>
      </c>
      <c r="F3" s="444">
        <v>9</v>
      </c>
      <c r="G3" s="444">
        <v>2</v>
      </c>
      <c r="H3" s="445">
        <f t="shared" si="0"/>
        <v>0.22222222222222221</v>
      </c>
      <c r="J3" s="440">
        <v>15</v>
      </c>
      <c r="K3" s="441">
        <v>1</v>
      </c>
      <c r="L3" s="441">
        <v>9</v>
      </c>
      <c r="M3" s="441">
        <v>2</v>
      </c>
      <c r="N3" s="65">
        <f t="shared" ref="N3:N8" si="1">M3/L3</f>
        <v>0.22222222222222221</v>
      </c>
    </row>
    <row r="4" spans="1:14" x14ac:dyDescent="0.25">
      <c r="A4" s="148">
        <v>43550</v>
      </c>
      <c r="B4" s="444" t="s">
        <v>699</v>
      </c>
      <c r="C4" s="150" t="s">
        <v>388</v>
      </c>
      <c r="D4" s="444">
        <v>16</v>
      </c>
      <c r="E4" s="447">
        <f>(15+8+9+11+14+11+14+9+13+13+12)/11</f>
        <v>11.727272727272727</v>
      </c>
      <c r="F4" s="444">
        <v>4</v>
      </c>
      <c r="G4" s="444">
        <v>2</v>
      </c>
      <c r="H4" s="445">
        <f t="shared" si="0"/>
        <v>0.5</v>
      </c>
      <c r="J4" s="440">
        <v>16</v>
      </c>
      <c r="K4" s="441">
        <v>18</v>
      </c>
      <c r="L4" s="441">
        <v>115</v>
      </c>
      <c r="M4" s="441">
        <v>46</v>
      </c>
      <c r="N4" s="65">
        <f t="shared" si="1"/>
        <v>0.4</v>
      </c>
    </row>
    <row r="5" spans="1:14" x14ac:dyDescent="0.25">
      <c r="A5" s="148">
        <v>43602</v>
      </c>
      <c r="B5" s="444" t="s">
        <v>696</v>
      </c>
      <c r="C5" s="150" t="s">
        <v>388</v>
      </c>
      <c r="D5" s="444">
        <v>16</v>
      </c>
      <c r="E5" s="447">
        <f>(15+11+11+14+14+10+14+13+13+9+9)/11</f>
        <v>12.090909090909092</v>
      </c>
      <c r="F5" s="444">
        <v>6</v>
      </c>
      <c r="G5" s="444">
        <v>3</v>
      </c>
      <c r="H5" s="445">
        <f t="shared" si="0"/>
        <v>0.5</v>
      </c>
      <c r="J5" s="440">
        <v>17</v>
      </c>
      <c r="K5" s="441">
        <v>13</v>
      </c>
      <c r="L5" s="441">
        <v>92</v>
      </c>
      <c r="M5" s="441">
        <v>35</v>
      </c>
      <c r="N5" s="65">
        <f t="shared" si="1"/>
        <v>0.38043478260869568</v>
      </c>
    </row>
    <row r="6" spans="1:14" x14ac:dyDescent="0.25">
      <c r="A6" s="148">
        <v>43610</v>
      </c>
      <c r="B6" s="150" t="s">
        <v>388</v>
      </c>
      <c r="C6" s="150" t="s">
        <v>694</v>
      </c>
      <c r="D6" s="444">
        <v>16</v>
      </c>
      <c r="E6" s="447">
        <f>(15+11+11+14+14+10+14+13+13+9+9)/11</f>
        <v>12.090909090909092</v>
      </c>
      <c r="F6" s="444">
        <v>5</v>
      </c>
      <c r="G6" s="444">
        <v>3</v>
      </c>
      <c r="H6" s="445">
        <f t="shared" si="0"/>
        <v>0.6</v>
      </c>
      <c r="J6" s="440">
        <v>18</v>
      </c>
      <c r="K6" s="441">
        <v>8</v>
      </c>
      <c r="L6" s="441">
        <v>52</v>
      </c>
      <c r="M6" s="441">
        <v>16</v>
      </c>
      <c r="N6" s="65">
        <f t="shared" si="1"/>
        <v>0.30769230769230771</v>
      </c>
    </row>
    <row r="7" spans="1:14" x14ac:dyDescent="0.25">
      <c r="A7" s="148">
        <v>43615</v>
      </c>
      <c r="B7" s="150" t="s">
        <v>388</v>
      </c>
      <c r="C7" s="150" t="s">
        <v>693</v>
      </c>
      <c r="D7" s="444">
        <v>16</v>
      </c>
      <c r="E7" s="447">
        <f>(15+11+11+14+14+10+14+13+13+9+12)/11</f>
        <v>12.363636363636363</v>
      </c>
      <c r="F7" s="444">
        <v>9</v>
      </c>
      <c r="G7" s="444">
        <v>4</v>
      </c>
      <c r="H7" s="445">
        <f t="shared" si="0"/>
        <v>0.44444444444444442</v>
      </c>
      <c r="J7" s="440">
        <v>19</v>
      </c>
      <c r="K7" s="441">
        <v>3</v>
      </c>
      <c r="L7" s="441">
        <v>26</v>
      </c>
      <c r="M7" s="441">
        <v>12</v>
      </c>
      <c r="N7" s="65">
        <f t="shared" si="1"/>
        <v>0.46153846153846156</v>
      </c>
    </row>
    <row r="8" spans="1:14" x14ac:dyDescent="0.25">
      <c r="A8" s="148">
        <v>43617</v>
      </c>
      <c r="B8" s="132" t="s">
        <v>404</v>
      </c>
      <c r="C8" s="150" t="s">
        <v>388</v>
      </c>
      <c r="D8" s="444">
        <v>16</v>
      </c>
      <c r="E8" s="34">
        <f>(15+10+14+10+11+10+13+14+13+10+12)/11</f>
        <v>12</v>
      </c>
      <c r="F8" s="444">
        <v>5</v>
      </c>
      <c r="G8" s="444">
        <v>3</v>
      </c>
      <c r="H8" s="445">
        <f t="shared" si="0"/>
        <v>0.6</v>
      </c>
      <c r="J8" s="440">
        <v>20</v>
      </c>
      <c r="K8" s="441">
        <v>3</v>
      </c>
      <c r="L8" s="441">
        <v>18</v>
      </c>
      <c r="M8" s="441">
        <v>9</v>
      </c>
      <c r="N8" s="65">
        <f t="shared" si="1"/>
        <v>0.5</v>
      </c>
    </row>
    <row r="9" spans="1:14" x14ac:dyDescent="0.25">
      <c r="A9" s="148">
        <v>43624</v>
      </c>
      <c r="B9" s="150" t="s">
        <v>403</v>
      </c>
      <c r="C9" s="150" t="s">
        <v>388</v>
      </c>
      <c r="D9" s="444">
        <v>16</v>
      </c>
      <c r="E9" s="34">
        <f t="shared" ref="E9:E20" si="2">(15+10+14+14+11+10+13+14+13+10+10)/11</f>
        <v>12.181818181818182</v>
      </c>
      <c r="F9" s="444">
        <v>4</v>
      </c>
      <c r="G9" s="444">
        <v>2</v>
      </c>
      <c r="H9" s="445">
        <f t="shared" si="0"/>
        <v>0.5</v>
      </c>
      <c r="J9" s="440" t="s">
        <v>679</v>
      </c>
      <c r="K9" s="441">
        <v>47</v>
      </c>
      <c r="L9" s="441">
        <v>319</v>
      </c>
      <c r="M9" s="441">
        <v>122</v>
      </c>
      <c r="N9" s="65"/>
    </row>
    <row r="10" spans="1:14" x14ac:dyDescent="0.25">
      <c r="A10" s="148">
        <v>43633</v>
      </c>
      <c r="B10" s="150" t="s">
        <v>388</v>
      </c>
      <c r="C10" s="132" t="s">
        <v>401</v>
      </c>
      <c r="D10" s="444">
        <v>16</v>
      </c>
      <c r="E10" s="34">
        <f t="shared" si="2"/>
        <v>12.181818181818182</v>
      </c>
      <c r="F10" s="444">
        <v>10</v>
      </c>
      <c r="G10" s="444">
        <v>3</v>
      </c>
      <c r="H10" s="446">
        <f t="shared" si="0"/>
        <v>0.3</v>
      </c>
    </row>
    <row r="11" spans="1:14" x14ac:dyDescent="0.25">
      <c r="A11" s="148">
        <v>43633</v>
      </c>
      <c r="B11" s="150" t="s">
        <v>388</v>
      </c>
      <c r="C11" s="132" t="s">
        <v>402</v>
      </c>
      <c r="D11" s="444">
        <v>16</v>
      </c>
      <c r="E11" s="34">
        <f t="shared" si="2"/>
        <v>12.181818181818182</v>
      </c>
      <c r="F11" s="444">
        <v>7</v>
      </c>
      <c r="G11" s="444">
        <v>3</v>
      </c>
      <c r="H11" s="446">
        <f t="shared" si="0"/>
        <v>0.42857142857142855</v>
      </c>
      <c r="I11" s="34"/>
    </row>
    <row r="12" spans="1:14" x14ac:dyDescent="0.25">
      <c r="A12" s="148">
        <v>43634</v>
      </c>
      <c r="B12" s="132" t="s">
        <v>399</v>
      </c>
      <c r="C12" s="150" t="s">
        <v>388</v>
      </c>
      <c r="D12" s="444">
        <v>16</v>
      </c>
      <c r="E12" s="34">
        <f t="shared" si="2"/>
        <v>12.181818181818182</v>
      </c>
      <c r="F12" s="444">
        <v>9</v>
      </c>
      <c r="G12" s="444">
        <v>3</v>
      </c>
      <c r="H12" s="446">
        <f t="shared" si="0"/>
        <v>0.33333333333333331</v>
      </c>
    </row>
    <row r="13" spans="1:14" x14ac:dyDescent="0.25">
      <c r="A13" s="148">
        <v>43634</v>
      </c>
      <c r="B13" s="132" t="s">
        <v>400</v>
      </c>
      <c r="C13" s="150" t="s">
        <v>388</v>
      </c>
      <c r="D13" s="132">
        <v>16</v>
      </c>
      <c r="E13" s="34">
        <f t="shared" si="2"/>
        <v>12.181818181818182</v>
      </c>
      <c r="F13" s="132">
        <v>6</v>
      </c>
      <c r="G13" s="132">
        <v>2</v>
      </c>
      <c r="H13" s="149">
        <f t="shared" si="0"/>
        <v>0.33333333333333331</v>
      </c>
    </row>
    <row r="14" spans="1:14" x14ac:dyDescent="0.25">
      <c r="A14" s="148">
        <v>43635</v>
      </c>
      <c r="B14" s="150" t="s">
        <v>388</v>
      </c>
      <c r="C14" s="132" t="s">
        <v>397</v>
      </c>
      <c r="D14" s="132">
        <v>16</v>
      </c>
      <c r="E14" s="34">
        <f t="shared" si="2"/>
        <v>12.181818181818182</v>
      </c>
      <c r="F14" s="132">
        <v>7</v>
      </c>
      <c r="G14" s="132">
        <v>2</v>
      </c>
      <c r="H14" s="149">
        <f t="shared" si="0"/>
        <v>0.2857142857142857</v>
      </c>
    </row>
    <row r="15" spans="1:14" x14ac:dyDescent="0.25">
      <c r="A15" s="148">
        <v>43635</v>
      </c>
      <c r="B15" s="150" t="s">
        <v>388</v>
      </c>
      <c r="C15" s="132" t="s">
        <v>398</v>
      </c>
      <c r="D15" s="132">
        <v>16</v>
      </c>
      <c r="E15" s="34">
        <f t="shared" si="2"/>
        <v>12.181818181818182</v>
      </c>
      <c r="F15" s="132">
        <v>5</v>
      </c>
      <c r="G15" s="132">
        <v>2</v>
      </c>
      <c r="H15" s="149">
        <f t="shared" si="0"/>
        <v>0.4</v>
      </c>
    </row>
    <row r="16" spans="1:14" x14ac:dyDescent="0.25">
      <c r="A16" s="148">
        <v>43636</v>
      </c>
      <c r="B16" s="132" t="s">
        <v>396</v>
      </c>
      <c r="C16" s="150" t="s">
        <v>388</v>
      </c>
      <c r="D16" s="132">
        <v>16</v>
      </c>
      <c r="E16" s="34">
        <f t="shared" si="2"/>
        <v>12.181818181818182</v>
      </c>
      <c r="F16" s="132">
        <v>9</v>
      </c>
      <c r="G16" s="132">
        <v>2</v>
      </c>
      <c r="H16" s="149">
        <f t="shared" si="0"/>
        <v>0.22222222222222221</v>
      </c>
    </row>
    <row r="17" spans="1:8" x14ac:dyDescent="0.25">
      <c r="A17" s="148">
        <v>43640</v>
      </c>
      <c r="B17" s="132" t="s">
        <v>394</v>
      </c>
      <c r="C17" s="150" t="s">
        <v>388</v>
      </c>
      <c r="D17" s="132">
        <v>16</v>
      </c>
      <c r="E17" s="34">
        <f t="shared" si="2"/>
        <v>12.181818181818182</v>
      </c>
      <c r="F17" s="132">
        <v>3</v>
      </c>
      <c r="G17" s="132">
        <v>2</v>
      </c>
      <c r="H17" s="149">
        <f t="shared" si="0"/>
        <v>0.66666666666666663</v>
      </c>
    </row>
    <row r="18" spans="1:8" x14ac:dyDescent="0.25">
      <c r="A18" s="148">
        <v>43641</v>
      </c>
      <c r="B18" s="132" t="s">
        <v>392</v>
      </c>
      <c r="C18" s="150" t="s">
        <v>388</v>
      </c>
      <c r="D18" s="132">
        <v>16</v>
      </c>
      <c r="E18" s="34">
        <f t="shared" si="2"/>
        <v>12.181818181818182</v>
      </c>
      <c r="F18" s="132">
        <v>6</v>
      </c>
      <c r="G18" s="132">
        <v>2</v>
      </c>
      <c r="H18" s="149">
        <f t="shared" si="0"/>
        <v>0.33333333333333331</v>
      </c>
    </row>
    <row r="19" spans="1:8" x14ac:dyDescent="0.25">
      <c r="A19" s="148">
        <v>43641</v>
      </c>
      <c r="B19" s="150" t="s">
        <v>388</v>
      </c>
      <c r="C19" s="132" t="s">
        <v>393</v>
      </c>
      <c r="D19" s="132">
        <v>16</v>
      </c>
      <c r="E19" s="34">
        <f t="shared" si="2"/>
        <v>12.181818181818182</v>
      </c>
      <c r="F19" s="132">
        <v>4</v>
      </c>
      <c r="G19" s="132">
        <v>2</v>
      </c>
      <c r="H19" s="149">
        <f t="shared" si="0"/>
        <v>0.5</v>
      </c>
    </row>
    <row r="20" spans="1:8" x14ac:dyDescent="0.25">
      <c r="A20" s="148">
        <v>43642</v>
      </c>
      <c r="B20" s="150" t="s">
        <v>388</v>
      </c>
      <c r="C20" s="132" t="s">
        <v>389</v>
      </c>
      <c r="D20" s="132">
        <v>16</v>
      </c>
      <c r="E20" s="34">
        <f t="shared" si="2"/>
        <v>12.181818181818182</v>
      </c>
      <c r="F20" s="132">
        <v>9</v>
      </c>
      <c r="G20" s="132">
        <v>3</v>
      </c>
      <c r="H20" s="149">
        <f t="shared" si="0"/>
        <v>0.33333333333333331</v>
      </c>
    </row>
    <row r="21" spans="1:8" x14ac:dyDescent="0.25">
      <c r="A21" s="148">
        <v>43677</v>
      </c>
      <c r="B21" s="150" t="s">
        <v>703</v>
      </c>
      <c r="C21" s="150" t="s">
        <v>388</v>
      </c>
      <c r="D21" s="132">
        <v>16</v>
      </c>
      <c r="E21" s="34">
        <f>(15+9+10+8+12+8+12+13+13+9+12)/11</f>
        <v>11</v>
      </c>
      <c r="F21" s="132">
        <v>7</v>
      </c>
      <c r="G21" s="132">
        <v>3</v>
      </c>
      <c r="H21" s="149">
        <f t="shared" si="0"/>
        <v>0.42857142857142855</v>
      </c>
    </row>
    <row r="22" spans="1:8" x14ac:dyDescent="0.25">
      <c r="A22" s="148">
        <v>43537</v>
      </c>
      <c r="B22" s="444" t="s">
        <v>701</v>
      </c>
      <c r="C22" s="150" t="s">
        <v>388</v>
      </c>
      <c r="D22" s="444">
        <v>17</v>
      </c>
      <c r="E22" s="447">
        <f>(15+8+9+11+14+11+14+9+13+13+12)/11</f>
        <v>11.727272727272727</v>
      </c>
      <c r="F22" s="444">
        <v>7</v>
      </c>
      <c r="G22" s="444">
        <v>4</v>
      </c>
      <c r="H22" s="445">
        <f t="shared" si="0"/>
        <v>0.5714285714285714</v>
      </c>
    </row>
    <row r="23" spans="1:8" x14ac:dyDescent="0.25">
      <c r="A23" s="148">
        <v>43540</v>
      </c>
      <c r="B23" s="444" t="s">
        <v>700</v>
      </c>
      <c r="C23" s="150" t="s">
        <v>388</v>
      </c>
      <c r="D23" s="444">
        <v>17</v>
      </c>
      <c r="E23" s="447">
        <f>(15+8+9+11+14+11+14+9+13+13+12)/11</f>
        <v>11.727272727272727</v>
      </c>
      <c r="F23" s="444">
        <v>7</v>
      </c>
      <c r="G23" s="444">
        <v>3</v>
      </c>
      <c r="H23" s="445">
        <f t="shared" si="0"/>
        <v>0.42857142857142855</v>
      </c>
    </row>
    <row r="24" spans="1:8" x14ac:dyDescent="0.25">
      <c r="A24" s="148">
        <v>43547</v>
      </c>
      <c r="B24" s="150" t="s">
        <v>388</v>
      </c>
      <c r="C24" s="150" t="s">
        <v>403</v>
      </c>
      <c r="D24" s="444">
        <v>17</v>
      </c>
      <c r="E24" s="447">
        <f>(15+11+14+11+14+10+13+11+14+9+9)/11</f>
        <v>11.909090909090908</v>
      </c>
      <c r="F24" s="444">
        <v>5</v>
      </c>
      <c r="G24" s="444">
        <v>1</v>
      </c>
      <c r="H24" s="445">
        <f t="shared" si="0"/>
        <v>0.2</v>
      </c>
    </row>
    <row r="25" spans="1:8" x14ac:dyDescent="0.25">
      <c r="A25" s="148">
        <v>43589</v>
      </c>
      <c r="B25" s="444" t="s">
        <v>698</v>
      </c>
      <c r="C25" s="150" t="s">
        <v>388</v>
      </c>
      <c r="D25" s="444">
        <v>17</v>
      </c>
      <c r="E25" s="447">
        <f>(15+11+11+14+14+10+14+11+13+9+9)/11</f>
        <v>11.909090909090908</v>
      </c>
      <c r="F25" s="444">
        <v>8</v>
      </c>
      <c r="G25" s="444">
        <v>4</v>
      </c>
      <c r="H25" s="445">
        <f t="shared" si="0"/>
        <v>0.5</v>
      </c>
    </row>
    <row r="26" spans="1:8" x14ac:dyDescent="0.25">
      <c r="A26" s="148">
        <v>43596</v>
      </c>
      <c r="B26" s="150" t="s">
        <v>388</v>
      </c>
      <c r="C26" s="150" t="s">
        <v>697</v>
      </c>
      <c r="D26" s="444">
        <v>17</v>
      </c>
      <c r="E26" s="447">
        <f>(15+11+11+14+14+10+14+13+13+9+9)/11</f>
        <v>12.090909090909092</v>
      </c>
      <c r="F26" s="444">
        <v>6</v>
      </c>
      <c r="G26" s="444">
        <v>1</v>
      </c>
      <c r="H26" s="445">
        <f t="shared" si="0"/>
        <v>0.16666666666666666</v>
      </c>
    </row>
    <row r="27" spans="1:8" x14ac:dyDescent="0.25">
      <c r="A27" s="148">
        <v>43603</v>
      </c>
      <c r="B27" s="444" t="s">
        <v>695</v>
      </c>
      <c r="C27" s="150" t="s">
        <v>388</v>
      </c>
      <c r="D27" s="444">
        <v>17</v>
      </c>
      <c r="E27" s="447">
        <f>(15+11+11+14+14+10+14+13+13+9+9)/11</f>
        <v>12.090909090909092</v>
      </c>
      <c r="F27" s="444">
        <v>9</v>
      </c>
      <c r="G27" s="444">
        <v>5</v>
      </c>
      <c r="H27" s="445">
        <f t="shared" si="0"/>
        <v>0.55555555555555558</v>
      </c>
    </row>
    <row r="28" spans="1:8" x14ac:dyDescent="0.25">
      <c r="A28" s="148">
        <v>43636</v>
      </c>
      <c r="B28" s="132" t="s">
        <v>395</v>
      </c>
      <c r="C28" s="150" t="s">
        <v>388</v>
      </c>
      <c r="D28" s="132">
        <v>17</v>
      </c>
      <c r="E28" s="34">
        <f t="shared" ref="E28:E33" si="3">(15+10+14+14+11+10+13+14+13+10+10)/11</f>
        <v>12.181818181818182</v>
      </c>
      <c r="F28" s="132">
        <v>8</v>
      </c>
      <c r="G28" s="132">
        <v>3</v>
      </c>
      <c r="H28" s="149">
        <f t="shared" si="0"/>
        <v>0.375</v>
      </c>
    </row>
    <row r="29" spans="1:8" x14ac:dyDescent="0.25">
      <c r="A29" s="148">
        <v>43641</v>
      </c>
      <c r="B29" s="150" t="s">
        <v>388</v>
      </c>
      <c r="C29" s="132" t="s">
        <v>391</v>
      </c>
      <c r="D29" s="132">
        <v>17</v>
      </c>
      <c r="E29" s="34">
        <f t="shared" si="3"/>
        <v>12.181818181818182</v>
      </c>
      <c r="F29" s="132">
        <v>8</v>
      </c>
      <c r="G29" s="132">
        <v>3</v>
      </c>
      <c r="H29" s="149">
        <f t="shared" si="0"/>
        <v>0.375</v>
      </c>
    </row>
    <row r="30" spans="1:8" x14ac:dyDescent="0.25">
      <c r="A30" s="148">
        <v>43642</v>
      </c>
      <c r="B30" s="132" t="s">
        <v>390</v>
      </c>
      <c r="C30" s="150" t="s">
        <v>388</v>
      </c>
      <c r="D30" s="132">
        <v>17</v>
      </c>
      <c r="E30" s="34">
        <f t="shared" si="3"/>
        <v>12.181818181818182</v>
      </c>
      <c r="F30" s="132">
        <v>7</v>
      </c>
      <c r="G30" s="132">
        <v>1</v>
      </c>
      <c r="H30" s="149">
        <f t="shared" si="0"/>
        <v>0.14285714285714285</v>
      </c>
    </row>
    <row r="31" spans="1:8" x14ac:dyDescent="0.25">
      <c r="A31" s="148">
        <v>43643</v>
      </c>
      <c r="B31" s="132" t="s">
        <v>405</v>
      </c>
      <c r="C31" s="150" t="s">
        <v>388</v>
      </c>
      <c r="D31" s="132">
        <v>17</v>
      </c>
      <c r="E31" s="34">
        <f t="shared" si="3"/>
        <v>12.181818181818182</v>
      </c>
      <c r="F31" s="132">
        <v>4</v>
      </c>
      <c r="G31" s="132">
        <v>2</v>
      </c>
      <c r="H31" s="43">
        <f t="shared" si="0"/>
        <v>0.5</v>
      </c>
    </row>
    <row r="32" spans="1:8" x14ac:dyDescent="0.25">
      <c r="A32" s="148">
        <v>43643</v>
      </c>
      <c r="B32" s="150" t="s">
        <v>388</v>
      </c>
      <c r="C32" s="132" t="s">
        <v>406</v>
      </c>
      <c r="D32" s="132">
        <v>17</v>
      </c>
      <c r="E32" s="34">
        <f t="shared" si="3"/>
        <v>12.181818181818182</v>
      </c>
      <c r="F32" s="132">
        <v>6</v>
      </c>
      <c r="G32" s="132">
        <v>1</v>
      </c>
      <c r="H32" s="43">
        <f t="shared" si="0"/>
        <v>0.16666666666666666</v>
      </c>
    </row>
    <row r="33" spans="1:8" x14ac:dyDescent="0.25">
      <c r="A33" s="148">
        <v>43643</v>
      </c>
      <c r="B33" s="132" t="s">
        <v>407</v>
      </c>
      <c r="C33" s="150" t="s">
        <v>388</v>
      </c>
      <c r="D33" s="132">
        <v>17</v>
      </c>
      <c r="E33" s="34">
        <f t="shared" si="3"/>
        <v>12.181818181818182</v>
      </c>
      <c r="F33" s="132">
        <v>7</v>
      </c>
      <c r="G33" s="132">
        <v>3</v>
      </c>
      <c r="H33" s="43">
        <f t="shared" si="0"/>
        <v>0.42857142857142855</v>
      </c>
    </row>
    <row r="34" spans="1:8" x14ac:dyDescent="0.25">
      <c r="A34" s="148">
        <v>43644</v>
      </c>
      <c r="B34" s="150" t="s">
        <v>388</v>
      </c>
      <c r="C34" s="132" t="s">
        <v>672</v>
      </c>
      <c r="D34" s="132">
        <v>17</v>
      </c>
      <c r="E34" s="34">
        <f>(15+10+10+14+11+10+13+14+13+10+10)/11</f>
        <v>11.818181818181818</v>
      </c>
      <c r="F34" s="132">
        <v>10</v>
      </c>
      <c r="G34" s="132">
        <v>4</v>
      </c>
      <c r="H34" s="43">
        <f t="shared" si="0"/>
        <v>0.4</v>
      </c>
    </row>
    <row r="35" spans="1:8" x14ac:dyDescent="0.25">
      <c r="A35" s="148">
        <v>43554</v>
      </c>
      <c r="B35" s="150" t="s">
        <v>388</v>
      </c>
      <c r="C35" s="132" t="s">
        <v>404</v>
      </c>
      <c r="D35" s="444">
        <v>18</v>
      </c>
      <c r="E35" s="447">
        <f>(15+11+14+11+14+10+13+11+14+9+9)/11</f>
        <v>11.909090909090908</v>
      </c>
      <c r="F35" s="444">
        <v>6</v>
      </c>
      <c r="G35" s="444">
        <v>1</v>
      </c>
      <c r="H35" s="445">
        <f t="shared" si="0"/>
        <v>0.16666666666666666</v>
      </c>
    </row>
    <row r="36" spans="1:8" x14ac:dyDescent="0.25">
      <c r="A36" s="148">
        <v>43561</v>
      </c>
      <c r="B36" s="150" t="s">
        <v>694</v>
      </c>
      <c r="C36" s="150" t="s">
        <v>388</v>
      </c>
      <c r="D36" s="444">
        <v>18</v>
      </c>
      <c r="E36" s="447">
        <f>(15+11+11+14+14+10+14+11+13+9+9)/11</f>
        <v>11.909090909090908</v>
      </c>
      <c r="F36" s="444">
        <v>8</v>
      </c>
      <c r="G36" s="444">
        <v>3</v>
      </c>
      <c r="H36" s="445">
        <f t="shared" si="0"/>
        <v>0.375</v>
      </c>
    </row>
    <row r="37" spans="1:8" x14ac:dyDescent="0.25">
      <c r="A37" s="148">
        <v>43568</v>
      </c>
      <c r="B37" s="150" t="s">
        <v>388</v>
      </c>
      <c r="C37" s="150" t="s">
        <v>695</v>
      </c>
      <c r="D37" s="444">
        <v>18</v>
      </c>
      <c r="E37" s="447">
        <f>(15+11+11+14+14+10+14+11+13+9+9)/11</f>
        <v>11.909090909090908</v>
      </c>
      <c r="F37" s="444">
        <v>8</v>
      </c>
      <c r="G37" s="444">
        <v>3</v>
      </c>
      <c r="H37" s="445">
        <f t="shared" si="0"/>
        <v>0.375</v>
      </c>
    </row>
    <row r="38" spans="1:8" x14ac:dyDescent="0.25">
      <c r="A38" s="148">
        <v>43575</v>
      </c>
      <c r="B38" s="150" t="s">
        <v>697</v>
      </c>
      <c r="C38" s="150" t="s">
        <v>388</v>
      </c>
      <c r="D38" s="444">
        <v>18</v>
      </c>
      <c r="E38" s="447">
        <f>(15+11+11+14+14+10+14+11+13+9+9)/11</f>
        <v>11.909090909090908</v>
      </c>
      <c r="F38" s="444">
        <v>9</v>
      </c>
      <c r="G38" s="444">
        <v>3</v>
      </c>
      <c r="H38" s="445">
        <f t="shared" si="0"/>
        <v>0.33333333333333331</v>
      </c>
    </row>
    <row r="39" spans="1:8" x14ac:dyDescent="0.25">
      <c r="A39" s="148">
        <v>43582</v>
      </c>
      <c r="B39" s="150" t="s">
        <v>388</v>
      </c>
      <c r="C39" s="444" t="s">
        <v>698</v>
      </c>
      <c r="D39" s="444">
        <v>18</v>
      </c>
      <c r="E39" s="447">
        <f>(15+11+11+14+14+10+14+11+13+9+9)/11</f>
        <v>11.909090909090908</v>
      </c>
      <c r="F39" s="444">
        <v>7</v>
      </c>
      <c r="G39" s="444">
        <v>2</v>
      </c>
      <c r="H39" s="445">
        <f t="shared" si="0"/>
        <v>0.2857142857142857</v>
      </c>
    </row>
    <row r="40" spans="1:8" x14ac:dyDescent="0.25">
      <c r="A40" s="148">
        <v>43655</v>
      </c>
      <c r="B40" s="150" t="s">
        <v>388</v>
      </c>
      <c r="C40" s="132" t="s">
        <v>677</v>
      </c>
      <c r="D40" s="132">
        <v>18</v>
      </c>
      <c r="E40" s="34">
        <f>(15+10+14+10+12+10+14+13+14+10+9)/11</f>
        <v>11.909090909090908</v>
      </c>
      <c r="F40" s="132">
        <v>5</v>
      </c>
      <c r="G40" s="132">
        <v>1</v>
      </c>
      <c r="H40" s="43">
        <f t="shared" si="0"/>
        <v>0.2</v>
      </c>
    </row>
    <row r="41" spans="1:8" x14ac:dyDescent="0.25">
      <c r="A41" s="148">
        <v>43656</v>
      </c>
      <c r="B41" s="132" t="s">
        <v>682</v>
      </c>
      <c r="C41" s="150" t="s">
        <v>388</v>
      </c>
      <c r="D41" s="132">
        <v>18</v>
      </c>
      <c r="E41" s="34">
        <f>(12+10+14+13+14+10+12+10+14+10+15)/11</f>
        <v>12.181818181818182</v>
      </c>
      <c r="F41" s="132">
        <v>6</v>
      </c>
      <c r="G41" s="132">
        <v>2</v>
      </c>
      <c r="H41" s="43">
        <f t="shared" si="0"/>
        <v>0.33333333333333331</v>
      </c>
    </row>
    <row r="42" spans="1:8" x14ac:dyDescent="0.25">
      <c r="A42" s="148">
        <v>43656</v>
      </c>
      <c r="B42" s="150" t="s">
        <v>388</v>
      </c>
      <c r="C42" s="132" t="s">
        <v>683</v>
      </c>
      <c r="D42" s="132">
        <v>18</v>
      </c>
      <c r="E42" s="34">
        <f>(15+10+14+10+12+10+14+13+12+10+12)/11</f>
        <v>12</v>
      </c>
      <c r="F42" s="132">
        <v>3</v>
      </c>
      <c r="G42" s="132">
        <v>1</v>
      </c>
      <c r="H42" s="43">
        <f t="shared" si="0"/>
        <v>0.33333333333333331</v>
      </c>
    </row>
    <row r="43" spans="1:8" x14ac:dyDescent="0.25">
      <c r="A43" s="148">
        <v>43652</v>
      </c>
      <c r="B43" s="150" t="s">
        <v>388</v>
      </c>
      <c r="C43" s="132" t="s">
        <v>676</v>
      </c>
      <c r="D43" s="132">
        <v>19</v>
      </c>
      <c r="E43" s="34">
        <f>(15+10+14+10+12+10+14+13+14+10+9)/11</f>
        <v>11.909090909090908</v>
      </c>
      <c r="F43" s="132">
        <v>9</v>
      </c>
      <c r="G43" s="132">
        <v>5</v>
      </c>
      <c r="H43" s="43">
        <f t="shared" si="0"/>
        <v>0.55555555555555558</v>
      </c>
    </row>
    <row r="44" spans="1:8" x14ac:dyDescent="0.25">
      <c r="A44" s="148">
        <v>43657</v>
      </c>
      <c r="B44" s="150" t="s">
        <v>388</v>
      </c>
      <c r="C44" s="132" t="s">
        <v>684</v>
      </c>
      <c r="D44" s="132">
        <v>19</v>
      </c>
      <c r="E44" s="34">
        <f>(15+10+14+10+12+10+14+13+14+10+9)/11</f>
        <v>11.909090909090908</v>
      </c>
      <c r="F44" s="132">
        <v>12</v>
      </c>
      <c r="G44" s="132">
        <v>5</v>
      </c>
      <c r="H44" s="149">
        <f t="shared" si="0"/>
        <v>0.41666666666666669</v>
      </c>
    </row>
    <row r="45" spans="1:8" x14ac:dyDescent="0.25">
      <c r="A45" s="148">
        <v>43666</v>
      </c>
      <c r="B45" s="132" t="s">
        <v>403</v>
      </c>
      <c r="C45" s="150" t="s">
        <v>388</v>
      </c>
      <c r="D45" s="132">
        <v>19</v>
      </c>
      <c r="E45" s="34">
        <f>(15+9+9+12+10+14+12+10+13+12+10)/11</f>
        <v>11.454545454545455</v>
      </c>
      <c r="F45" s="132">
        <v>5</v>
      </c>
      <c r="G45" s="132">
        <v>2</v>
      </c>
      <c r="H45" s="43">
        <f t="shared" si="0"/>
        <v>0.4</v>
      </c>
    </row>
    <row r="46" spans="1:8" x14ac:dyDescent="0.25">
      <c r="A46" s="148">
        <v>43663</v>
      </c>
      <c r="B46" s="150" t="s">
        <v>388</v>
      </c>
      <c r="C46" s="132" t="s">
        <v>685</v>
      </c>
      <c r="D46" s="132">
        <v>20</v>
      </c>
      <c r="E46" s="34">
        <f>(15+12+14.5+10+12+11+14+13+14+9+12)/11</f>
        <v>12.409090909090908</v>
      </c>
      <c r="F46" s="132">
        <v>7</v>
      </c>
      <c r="G46" s="132">
        <v>4</v>
      </c>
      <c r="H46" s="43">
        <f t="shared" si="0"/>
        <v>0.5714285714285714</v>
      </c>
    </row>
    <row r="47" spans="1:8" x14ac:dyDescent="0.25">
      <c r="A47" s="148">
        <v>43672</v>
      </c>
      <c r="B47" s="132" t="s">
        <v>690</v>
      </c>
      <c r="C47" s="150" t="s">
        <v>388</v>
      </c>
      <c r="D47" s="132">
        <v>20</v>
      </c>
      <c r="E47" s="34">
        <f>(15+12+12+10+14+10+13+13+14+10+12)/11</f>
        <v>12.272727272727273</v>
      </c>
      <c r="F47" s="132">
        <v>5</v>
      </c>
      <c r="G47" s="132">
        <v>3</v>
      </c>
      <c r="H47" s="43">
        <f t="shared" si="0"/>
        <v>0.6</v>
      </c>
    </row>
    <row r="48" spans="1:8" x14ac:dyDescent="0.25">
      <c r="A48" s="148">
        <v>43677</v>
      </c>
      <c r="B48" s="150" t="s">
        <v>388</v>
      </c>
      <c r="C48" s="132" t="s">
        <v>702</v>
      </c>
      <c r="D48" s="132">
        <v>20</v>
      </c>
      <c r="E48" s="34">
        <f>(15+11+14+10+12+12+13+13+14+12+9)/11</f>
        <v>12.272727272727273</v>
      </c>
      <c r="F48" s="132">
        <v>6</v>
      </c>
      <c r="G48" s="132">
        <v>2</v>
      </c>
      <c r="H48" s="43">
        <f t="shared" si="0"/>
        <v>0.33333333333333331</v>
      </c>
    </row>
  </sheetData>
  <sortState ref="A2:H49">
    <sortCondition ref="D2:D49"/>
  </sortState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</sheetPr>
  <dimension ref="A1:U76"/>
  <sheetViews>
    <sheetView zoomScale="90" zoomScaleNormal="90" workbookViewId="0">
      <pane ySplit="1" topLeftCell="A2" activePane="bottomLeft" state="frozen"/>
      <selection pane="bottomLeft" activeCell="R13" sqref="R13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0.85546875" bestFit="1" customWidth="1"/>
    <col min="5" max="5" width="3.140625" customWidth="1"/>
    <col min="6" max="6" width="38.7109375" bestFit="1" customWidth="1"/>
    <col min="7" max="7" width="5.7109375" bestFit="1" customWidth="1"/>
    <col min="8" max="8" width="5.28515625" bestFit="1" customWidth="1"/>
    <col min="9" max="9" width="4.5703125" bestFit="1" customWidth="1"/>
    <col min="10" max="10" width="4.140625" bestFit="1" customWidth="1"/>
    <col min="11" max="11" width="10" bestFit="1" customWidth="1"/>
    <col min="12" max="12" width="12.7109375" bestFit="1" customWidth="1"/>
    <col min="13" max="13" width="5.28515625" bestFit="1" customWidth="1"/>
    <col min="14" max="14" width="17.5703125" bestFit="1" customWidth="1"/>
    <col min="15" max="15" width="21.28515625" bestFit="1" customWidth="1"/>
    <col min="16" max="16" width="9.7109375" bestFit="1" customWidth="1"/>
    <col min="17" max="18" width="13.5703125" bestFit="1" customWidth="1"/>
    <col min="19" max="19" width="17.140625" bestFit="1" customWidth="1"/>
    <col min="20" max="20" width="9.7109375" bestFit="1" customWidth="1"/>
    <col min="21" max="21" width="13.5703125" bestFit="1" customWidth="1"/>
  </cols>
  <sheetData>
    <row r="1" spans="1:21" ht="19.5" x14ac:dyDescent="0.25">
      <c r="A1" s="474" t="s">
        <v>122</v>
      </c>
      <c r="B1" s="474"/>
      <c r="C1" s="474"/>
      <c r="D1" s="474"/>
      <c r="F1" s="10" t="s">
        <v>3</v>
      </c>
      <c r="G1" s="10" t="s">
        <v>4</v>
      </c>
      <c r="H1" s="10" t="s">
        <v>5</v>
      </c>
      <c r="I1" s="31" t="s">
        <v>67</v>
      </c>
      <c r="J1" s="31" t="s">
        <v>7</v>
      </c>
      <c r="K1" s="31" t="s">
        <v>50</v>
      </c>
      <c r="L1" s="31" t="s">
        <v>107</v>
      </c>
      <c r="M1" s="31" t="s">
        <v>187</v>
      </c>
      <c r="N1" s="74" t="s">
        <v>108</v>
      </c>
      <c r="O1" s="74" t="s">
        <v>109</v>
      </c>
      <c r="P1" s="74" t="s">
        <v>182</v>
      </c>
      <c r="Q1" s="74" t="s">
        <v>86</v>
      </c>
      <c r="R1" s="75" t="s">
        <v>110</v>
      </c>
      <c r="S1" s="75" t="s">
        <v>111</v>
      </c>
      <c r="T1" s="75" t="s">
        <v>182</v>
      </c>
      <c r="U1" s="75" t="s">
        <v>86</v>
      </c>
    </row>
    <row r="2" spans="1:21" x14ac:dyDescent="0.25">
      <c r="A2" s="475" t="s">
        <v>123</v>
      </c>
      <c r="B2" s="476" t="s">
        <v>124</v>
      </c>
      <c r="C2" s="476" t="s">
        <v>125</v>
      </c>
      <c r="D2" s="476" t="s">
        <v>126</v>
      </c>
      <c r="F2" s="104" t="s">
        <v>229</v>
      </c>
      <c r="G2">
        <v>36</v>
      </c>
      <c r="H2">
        <v>92</v>
      </c>
      <c r="I2" s="61">
        <v>14.3</v>
      </c>
      <c r="J2" s="62">
        <v>4</v>
      </c>
      <c r="K2" s="50">
        <v>2448</v>
      </c>
      <c r="L2" s="50">
        <v>1000</v>
      </c>
      <c r="M2" s="70">
        <v>3</v>
      </c>
      <c r="N2" s="50">
        <v>325000</v>
      </c>
      <c r="O2" s="50">
        <f>L2+N2</f>
        <v>326000</v>
      </c>
      <c r="P2" s="76">
        <v>6.5</v>
      </c>
      <c r="Q2" s="87">
        <f>O2/P2</f>
        <v>50153.846153846156</v>
      </c>
      <c r="R2" s="50">
        <v>2375000</v>
      </c>
      <c r="S2" s="50">
        <f>R2+L2</f>
        <v>2376000</v>
      </c>
      <c r="T2" s="77">
        <f>P2</f>
        <v>6.5</v>
      </c>
      <c r="U2" s="87">
        <f>S2/T2</f>
        <v>365538.46153846156</v>
      </c>
    </row>
    <row r="3" spans="1:21" x14ac:dyDescent="0.25">
      <c r="A3" s="475"/>
      <c r="B3" s="476"/>
      <c r="C3" s="476"/>
      <c r="D3" s="476"/>
      <c r="F3" s="104" t="s">
        <v>230</v>
      </c>
      <c r="G3">
        <v>40</v>
      </c>
      <c r="H3">
        <v>26</v>
      </c>
      <c r="I3" s="61">
        <v>14.1</v>
      </c>
      <c r="J3" s="62">
        <v>5</v>
      </c>
      <c r="K3" s="50">
        <v>468</v>
      </c>
      <c r="L3" s="50">
        <v>410000</v>
      </c>
      <c r="M3" s="70">
        <v>3</v>
      </c>
      <c r="N3" s="50">
        <v>335000</v>
      </c>
      <c r="O3" s="50">
        <f>L3+N3</f>
        <v>745000</v>
      </c>
      <c r="P3" s="76">
        <v>8</v>
      </c>
      <c r="Q3" s="87">
        <f>O3/P3</f>
        <v>93125</v>
      </c>
      <c r="R3" s="50">
        <v>2390000</v>
      </c>
      <c r="S3" s="50">
        <f>R3+L3</f>
        <v>2800000</v>
      </c>
      <c r="T3" s="77">
        <f>P3</f>
        <v>8</v>
      </c>
      <c r="U3" s="87">
        <f>S3/T3</f>
        <v>350000</v>
      </c>
    </row>
    <row r="4" spans="1:21" x14ac:dyDescent="0.25">
      <c r="A4" s="83" t="s">
        <v>124</v>
      </c>
      <c r="B4" s="84" t="s">
        <v>127</v>
      </c>
      <c r="C4" s="84" t="s">
        <v>128</v>
      </c>
      <c r="D4" s="84" t="s">
        <v>128</v>
      </c>
      <c r="F4" s="104" t="s">
        <v>231</v>
      </c>
      <c r="G4">
        <v>35</v>
      </c>
      <c r="H4">
        <v>85</v>
      </c>
      <c r="I4" s="61">
        <v>18.2</v>
      </c>
      <c r="J4" s="62">
        <v>4</v>
      </c>
      <c r="K4" s="50">
        <v>14808</v>
      </c>
      <c r="L4" s="50">
        <v>1245000</v>
      </c>
      <c r="M4" s="70">
        <v>3</v>
      </c>
      <c r="N4" s="50">
        <v>259000</v>
      </c>
      <c r="O4" s="50">
        <f>L4+N4</f>
        <v>1504000</v>
      </c>
      <c r="P4" s="76">
        <v>6.5</v>
      </c>
      <c r="Q4" s="87">
        <f>O4/P4</f>
        <v>231384.61538461538</v>
      </c>
      <c r="R4" s="50">
        <v>1850000</v>
      </c>
      <c r="S4" s="50">
        <f>R4+L4</f>
        <v>3095000</v>
      </c>
      <c r="T4" s="77">
        <f>P4</f>
        <v>6.5</v>
      </c>
      <c r="U4" s="87">
        <f>S4/T4</f>
        <v>476153.84615384613</v>
      </c>
    </row>
    <row r="5" spans="1:21" x14ac:dyDescent="0.25">
      <c r="A5" s="85" t="s">
        <v>125</v>
      </c>
      <c r="B5" s="86" t="s">
        <v>129</v>
      </c>
      <c r="C5" s="86" t="s">
        <v>130</v>
      </c>
      <c r="D5" s="86" t="s">
        <v>128</v>
      </c>
      <c r="F5" s="104" t="s">
        <v>232</v>
      </c>
      <c r="G5">
        <v>36</v>
      </c>
      <c r="H5">
        <v>97</v>
      </c>
      <c r="I5" s="61">
        <v>14</v>
      </c>
      <c r="J5" s="62">
        <v>5</v>
      </c>
      <c r="K5" s="50">
        <v>4956</v>
      </c>
      <c r="L5" s="50">
        <v>405000</v>
      </c>
      <c r="M5" s="70">
        <v>3</v>
      </c>
      <c r="N5" s="78">
        <v>337500</v>
      </c>
      <c r="O5" s="50">
        <f>L5+N5</f>
        <v>742500</v>
      </c>
      <c r="P5" s="76">
        <v>8</v>
      </c>
      <c r="Q5" s="87">
        <f>O5/P5</f>
        <v>92812.5</v>
      </c>
      <c r="R5" s="50">
        <v>2400000</v>
      </c>
      <c r="S5" s="50">
        <f>R5+L5</f>
        <v>2805000</v>
      </c>
      <c r="T5" s="77">
        <f>P5</f>
        <v>8</v>
      </c>
      <c r="U5" s="87">
        <f>S5/T5</f>
        <v>350625</v>
      </c>
    </row>
    <row r="6" spans="1:21" x14ac:dyDescent="0.25">
      <c r="A6" s="83" t="s">
        <v>126</v>
      </c>
      <c r="B6" s="84" t="s">
        <v>131</v>
      </c>
      <c r="C6" s="84" t="s">
        <v>132</v>
      </c>
      <c r="D6" s="84" t="s">
        <v>133</v>
      </c>
      <c r="F6" s="104" t="s">
        <v>234</v>
      </c>
      <c r="G6">
        <v>40</v>
      </c>
      <c r="H6">
        <v>71</v>
      </c>
      <c r="I6" s="61">
        <v>15.3</v>
      </c>
      <c r="J6" s="62">
        <v>5</v>
      </c>
      <c r="K6" s="50">
        <v>840</v>
      </c>
      <c r="L6" s="50">
        <v>325000</v>
      </c>
      <c r="M6" s="70">
        <v>3</v>
      </c>
      <c r="N6" s="50">
        <v>305000</v>
      </c>
      <c r="O6" s="50">
        <f>L6+N6</f>
        <v>630000</v>
      </c>
      <c r="P6" s="76">
        <v>8</v>
      </c>
      <c r="Q6" s="87">
        <f>O6/P6</f>
        <v>78750</v>
      </c>
      <c r="R6" s="50">
        <v>2200000</v>
      </c>
      <c r="S6" s="50">
        <f>R6+L6</f>
        <v>2525000</v>
      </c>
      <c r="T6" s="77">
        <f>P6</f>
        <v>8</v>
      </c>
      <c r="U6" s="87">
        <f>S6/T6</f>
        <v>315625</v>
      </c>
    </row>
    <row r="7" spans="1:21" x14ac:dyDescent="0.25">
      <c r="A7" s="85" t="s">
        <v>134</v>
      </c>
      <c r="B7" s="86" t="s">
        <v>135</v>
      </c>
      <c r="C7" s="86" t="s">
        <v>136</v>
      </c>
      <c r="D7" s="86" t="s">
        <v>137</v>
      </c>
      <c r="I7" s="61">
        <v>0</v>
      </c>
      <c r="J7" s="62">
        <v>0</v>
      </c>
      <c r="K7" s="50"/>
      <c r="L7" s="50"/>
      <c r="M7" s="70">
        <v>3</v>
      </c>
      <c r="N7" s="50"/>
      <c r="O7" s="50">
        <f t="shared" ref="O7:O14" si="0">L7+N7</f>
        <v>0</v>
      </c>
      <c r="P7" s="76">
        <v>9</v>
      </c>
      <c r="Q7" s="87">
        <f t="shared" ref="Q7:Q14" si="1">O7/P7</f>
        <v>0</v>
      </c>
      <c r="R7" s="50"/>
      <c r="S7" s="50">
        <f t="shared" ref="S7:S14" si="2">R7+L7</f>
        <v>0</v>
      </c>
      <c r="T7" s="77">
        <f t="shared" ref="T7:T14" si="3">P7</f>
        <v>9</v>
      </c>
      <c r="U7" s="87">
        <f t="shared" ref="U7:U14" si="4">S7/T7</f>
        <v>0</v>
      </c>
    </row>
    <row r="8" spans="1:21" x14ac:dyDescent="0.25">
      <c r="A8" s="83" t="s">
        <v>138</v>
      </c>
      <c r="B8" s="84" t="s">
        <v>139</v>
      </c>
      <c r="C8" s="84" t="s">
        <v>140</v>
      </c>
      <c r="D8" s="84" t="s">
        <v>141</v>
      </c>
      <c r="F8" s="104" t="s">
        <v>233</v>
      </c>
      <c r="G8">
        <v>38</v>
      </c>
      <c r="H8">
        <v>105</v>
      </c>
      <c r="I8" s="61">
        <v>17.8</v>
      </c>
      <c r="J8" s="62">
        <v>4</v>
      </c>
      <c r="K8" s="50">
        <v>1080</v>
      </c>
      <c r="L8" s="50">
        <v>320000</v>
      </c>
      <c r="M8" s="70">
        <v>3</v>
      </c>
      <c r="N8" s="50">
        <v>269000</v>
      </c>
      <c r="O8" s="50">
        <f t="shared" si="0"/>
        <v>589000</v>
      </c>
      <c r="P8" s="76">
        <v>6.5</v>
      </c>
      <c r="Q8" s="87">
        <f t="shared" si="1"/>
        <v>90615.38461538461</v>
      </c>
      <c r="R8" s="50">
        <v>1900000</v>
      </c>
      <c r="S8" s="50">
        <f t="shared" si="2"/>
        <v>2220000</v>
      </c>
      <c r="T8" s="77">
        <f t="shared" si="3"/>
        <v>6.5</v>
      </c>
      <c r="U8" s="87">
        <f t="shared" si="4"/>
        <v>341538.46153846156</v>
      </c>
    </row>
    <row r="9" spans="1:21" x14ac:dyDescent="0.25">
      <c r="A9" s="85" t="s">
        <v>142</v>
      </c>
      <c r="B9" s="86" t="s">
        <v>143</v>
      </c>
      <c r="C9" s="86" t="s">
        <v>144</v>
      </c>
      <c r="D9" s="86" t="s">
        <v>145</v>
      </c>
      <c r="F9" s="104" t="s">
        <v>235</v>
      </c>
      <c r="G9">
        <v>40</v>
      </c>
      <c r="H9">
        <v>43</v>
      </c>
      <c r="I9" s="61">
        <v>33.4</v>
      </c>
      <c r="J9" s="62">
        <v>4</v>
      </c>
      <c r="K9" s="50">
        <f>470*1.2</f>
        <v>564</v>
      </c>
      <c r="L9" s="50">
        <v>920000</v>
      </c>
      <c r="M9" s="70">
        <v>3</v>
      </c>
      <c r="N9" s="50">
        <v>125000</v>
      </c>
      <c r="O9" s="50">
        <f t="shared" si="0"/>
        <v>1045000</v>
      </c>
      <c r="P9" s="76">
        <v>6.5</v>
      </c>
      <c r="Q9" s="87">
        <f t="shared" si="1"/>
        <v>160769.23076923078</v>
      </c>
      <c r="R9" s="50">
        <v>1050000</v>
      </c>
      <c r="S9" s="50">
        <f t="shared" si="2"/>
        <v>1970000</v>
      </c>
      <c r="T9" s="77">
        <f t="shared" si="3"/>
        <v>6.5</v>
      </c>
      <c r="U9" s="87">
        <f t="shared" si="4"/>
        <v>303076.92307692306</v>
      </c>
    </row>
    <row r="10" spans="1:21" x14ac:dyDescent="0.25">
      <c r="A10" s="83" t="s">
        <v>146</v>
      </c>
      <c r="B10" s="84" t="s">
        <v>147</v>
      </c>
      <c r="C10" s="84" t="s">
        <v>148</v>
      </c>
      <c r="D10" s="84" t="s">
        <v>149</v>
      </c>
      <c r="F10" s="104" t="s">
        <v>236</v>
      </c>
      <c r="G10">
        <v>38</v>
      </c>
      <c r="H10">
        <v>73</v>
      </c>
      <c r="I10" s="61">
        <v>15.5</v>
      </c>
      <c r="J10" s="62">
        <v>4</v>
      </c>
      <c r="K10" s="50">
        <v>1280</v>
      </c>
      <c r="L10" s="50">
        <v>10000</v>
      </c>
      <c r="M10" s="70">
        <v>3</v>
      </c>
      <c r="N10" s="50">
        <v>305000</v>
      </c>
      <c r="O10" s="50">
        <f t="shared" si="0"/>
        <v>315000</v>
      </c>
      <c r="P10" s="76">
        <v>6.5</v>
      </c>
      <c r="Q10" s="87">
        <f t="shared" si="1"/>
        <v>48461.538461538461</v>
      </c>
      <c r="R10" s="50">
        <v>2200000</v>
      </c>
      <c r="S10" s="50">
        <f t="shared" si="2"/>
        <v>2210000</v>
      </c>
      <c r="T10" s="77">
        <f t="shared" si="3"/>
        <v>6.5</v>
      </c>
      <c r="U10" s="87">
        <f t="shared" si="4"/>
        <v>340000</v>
      </c>
    </row>
    <row r="11" spans="1:21" x14ac:dyDescent="0.25">
      <c r="A11" s="85" t="s">
        <v>150</v>
      </c>
      <c r="B11" s="86" t="s">
        <v>151</v>
      </c>
      <c r="C11" s="86" t="s">
        <v>152</v>
      </c>
      <c r="D11" s="86" t="s">
        <v>153</v>
      </c>
      <c r="F11" s="104" t="s">
        <v>237</v>
      </c>
      <c r="G11">
        <v>38</v>
      </c>
      <c r="H11">
        <v>33</v>
      </c>
      <c r="I11" s="61">
        <v>16.7</v>
      </c>
      <c r="J11" s="62">
        <v>4</v>
      </c>
      <c r="K11" s="50">
        <v>1224</v>
      </c>
      <c r="L11" s="50">
        <v>10000</v>
      </c>
      <c r="M11" s="70">
        <v>3</v>
      </c>
      <c r="N11" s="78">
        <v>283000</v>
      </c>
      <c r="O11" s="50">
        <f t="shared" si="0"/>
        <v>293000</v>
      </c>
      <c r="P11" s="76">
        <v>6.5</v>
      </c>
      <c r="Q11" s="87">
        <f t="shared" si="1"/>
        <v>45076.923076923078</v>
      </c>
      <c r="R11" s="50">
        <v>2005000</v>
      </c>
      <c r="S11" s="50">
        <f t="shared" si="2"/>
        <v>2015000</v>
      </c>
      <c r="T11" s="77">
        <f t="shared" si="3"/>
        <v>6.5</v>
      </c>
      <c r="U11" s="87">
        <f t="shared" si="4"/>
        <v>310000</v>
      </c>
    </row>
    <row r="12" spans="1:21" x14ac:dyDescent="0.25">
      <c r="A12" s="83" t="s">
        <v>154</v>
      </c>
      <c r="B12" s="84" t="s">
        <v>155</v>
      </c>
      <c r="C12" s="84" t="s">
        <v>156</v>
      </c>
      <c r="D12" s="84" t="s">
        <v>157</v>
      </c>
      <c r="F12" s="104" t="s">
        <v>238</v>
      </c>
      <c r="G12">
        <v>38</v>
      </c>
      <c r="H12">
        <v>106</v>
      </c>
      <c r="I12" s="61">
        <v>15.1</v>
      </c>
      <c r="J12" s="62">
        <v>4</v>
      </c>
      <c r="K12" s="50">
        <v>1368</v>
      </c>
      <c r="L12" s="50">
        <v>5000</v>
      </c>
      <c r="M12" s="70">
        <v>3</v>
      </c>
      <c r="N12" s="50">
        <v>315000</v>
      </c>
      <c r="O12" s="50">
        <f t="shared" si="0"/>
        <v>320000</v>
      </c>
      <c r="P12" s="76">
        <v>6.5</v>
      </c>
      <c r="Q12" s="87">
        <f t="shared" si="1"/>
        <v>49230.769230769234</v>
      </c>
      <c r="R12" s="50">
        <v>2242290</v>
      </c>
      <c r="S12" s="50">
        <f t="shared" si="2"/>
        <v>2247290</v>
      </c>
      <c r="T12" s="77">
        <f t="shared" si="3"/>
        <v>6.5</v>
      </c>
      <c r="U12" s="87">
        <f t="shared" si="4"/>
        <v>345736.92307692306</v>
      </c>
    </row>
    <row r="13" spans="1:21" x14ac:dyDescent="0.25">
      <c r="A13" s="85" t="s">
        <v>158</v>
      </c>
      <c r="B13" s="86" t="s">
        <v>159</v>
      </c>
      <c r="C13" s="86" t="s">
        <v>160</v>
      </c>
      <c r="D13" s="86" t="s">
        <v>161</v>
      </c>
      <c r="F13" s="104" t="s">
        <v>241</v>
      </c>
      <c r="G13">
        <v>58</v>
      </c>
      <c r="H13">
        <v>49</v>
      </c>
      <c r="I13" s="61">
        <v>16</v>
      </c>
      <c r="J13" s="62">
        <v>4</v>
      </c>
      <c r="K13" s="50">
        <v>300</v>
      </c>
      <c r="L13" s="50">
        <v>125000</v>
      </c>
      <c r="M13" s="70">
        <v>3</v>
      </c>
      <c r="N13" s="50">
        <v>296000</v>
      </c>
      <c r="O13" s="50">
        <f t="shared" si="0"/>
        <v>421000</v>
      </c>
      <c r="P13" s="76">
        <v>6.5</v>
      </c>
      <c r="Q13" s="87">
        <f t="shared" si="1"/>
        <v>64769.230769230766</v>
      </c>
      <c r="R13" s="50">
        <v>2105000</v>
      </c>
      <c r="S13" s="50">
        <f t="shared" si="2"/>
        <v>2230000</v>
      </c>
      <c r="T13" s="77">
        <f t="shared" si="3"/>
        <v>6.5</v>
      </c>
      <c r="U13" s="87">
        <f t="shared" si="4"/>
        <v>343076.92307692306</v>
      </c>
    </row>
    <row r="14" spans="1:21" x14ac:dyDescent="0.25">
      <c r="A14" s="83" t="s">
        <v>162</v>
      </c>
      <c r="B14" s="84" t="s">
        <v>163</v>
      </c>
      <c r="C14" s="84" t="s">
        <v>164</v>
      </c>
      <c r="D14" s="84" t="s">
        <v>165</v>
      </c>
      <c r="I14" s="61">
        <v>0</v>
      </c>
      <c r="J14" s="62">
        <v>0</v>
      </c>
      <c r="K14" s="50"/>
      <c r="L14" s="50"/>
      <c r="M14" s="70">
        <v>3</v>
      </c>
      <c r="N14" s="50"/>
      <c r="O14" s="50">
        <f t="shared" si="0"/>
        <v>0</v>
      </c>
      <c r="P14" s="76">
        <v>9</v>
      </c>
      <c r="Q14" s="87">
        <f t="shared" si="1"/>
        <v>0</v>
      </c>
      <c r="R14" s="50"/>
      <c r="S14" s="50">
        <f t="shared" si="2"/>
        <v>0</v>
      </c>
      <c r="T14" s="77">
        <f t="shared" si="3"/>
        <v>9</v>
      </c>
      <c r="U14" s="87">
        <f t="shared" si="4"/>
        <v>0</v>
      </c>
    </row>
    <row r="15" spans="1:21" x14ac:dyDescent="0.25">
      <c r="A15" s="85" t="s">
        <v>166</v>
      </c>
      <c r="B15" s="86" t="s">
        <v>167</v>
      </c>
      <c r="C15" s="86" t="s">
        <v>168</v>
      </c>
      <c r="D15" s="86" t="s">
        <v>169</v>
      </c>
      <c r="F15" s="104" t="s">
        <v>343</v>
      </c>
      <c r="G15">
        <v>40</v>
      </c>
      <c r="H15">
        <v>1</v>
      </c>
      <c r="I15" s="61">
        <v>16.100000000000001</v>
      </c>
      <c r="J15" s="62">
        <v>5</v>
      </c>
      <c r="K15" s="50">
        <v>492</v>
      </c>
      <c r="L15" s="50">
        <v>1100000</v>
      </c>
      <c r="M15" s="70">
        <v>2</v>
      </c>
      <c r="N15" s="50">
        <v>296000</v>
      </c>
      <c r="O15" s="50">
        <f t="shared" ref="O15:O46" si="5">L15+N15</f>
        <v>1396000</v>
      </c>
      <c r="P15" s="76">
        <v>8</v>
      </c>
      <c r="Q15" s="87">
        <f t="shared" ref="Q15:Q46" si="6">O15/P15</f>
        <v>174500</v>
      </c>
      <c r="R15" s="50">
        <v>2100000</v>
      </c>
      <c r="S15" s="50">
        <f t="shared" ref="S15:S46" si="7">R15+L15</f>
        <v>3200000</v>
      </c>
      <c r="T15" s="77">
        <f t="shared" ref="T15:T46" si="8">P15</f>
        <v>8</v>
      </c>
      <c r="U15" s="87">
        <f t="shared" ref="U15:U46" si="9">S15/T15</f>
        <v>400000</v>
      </c>
    </row>
    <row r="16" spans="1:21" x14ac:dyDescent="0.25">
      <c r="A16" s="83" t="s">
        <v>170</v>
      </c>
      <c r="B16" s="84" t="s">
        <v>171</v>
      </c>
      <c r="C16" s="84" t="s">
        <v>172</v>
      </c>
      <c r="D16" s="84" t="s">
        <v>173</v>
      </c>
      <c r="F16" s="104" t="s">
        <v>344</v>
      </c>
      <c r="G16">
        <v>36</v>
      </c>
      <c r="H16">
        <v>0</v>
      </c>
      <c r="I16" s="61">
        <v>27</v>
      </c>
      <c r="J16" s="62">
        <v>5</v>
      </c>
      <c r="K16" s="50">
        <v>7812</v>
      </c>
      <c r="L16" s="50">
        <v>3500000</v>
      </c>
      <c r="M16" s="70">
        <v>3</v>
      </c>
      <c r="N16" s="78">
        <v>161800</v>
      </c>
      <c r="O16" s="50">
        <f t="shared" si="5"/>
        <v>3661800</v>
      </c>
      <c r="P16" s="76">
        <v>8</v>
      </c>
      <c r="Q16" s="87">
        <f t="shared" si="6"/>
        <v>457725</v>
      </c>
      <c r="R16" s="50">
        <v>1150800</v>
      </c>
      <c r="S16" s="50">
        <f t="shared" si="7"/>
        <v>4650800</v>
      </c>
      <c r="T16" s="77">
        <f t="shared" si="8"/>
        <v>8</v>
      </c>
      <c r="U16" s="87">
        <f t="shared" si="9"/>
        <v>581350</v>
      </c>
    </row>
    <row r="17" spans="1:21" x14ac:dyDescent="0.25">
      <c r="A17" s="85" t="s">
        <v>174</v>
      </c>
      <c r="B17" s="86" t="s">
        <v>175</v>
      </c>
      <c r="C17" s="86" t="s">
        <v>176</v>
      </c>
      <c r="D17" s="86" t="s">
        <v>177</v>
      </c>
      <c r="I17" s="61">
        <v>0</v>
      </c>
      <c r="J17" s="62">
        <v>0</v>
      </c>
      <c r="K17" s="50"/>
      <c r="L17" s="50"/>
      <c r="M17" s="70">
        <v>3</v>
      </c>
      <c r="N17" s="50"/>
      <c r="O17" s="50">
        <f t="shared" si="5"/>
        <v>0</v>
      </c>
      <c r="P17" s="76">
        <v>9</v>
      </c>
      <c r="Q17" s="87">
        <f t="shared" si="6"/>
        <v>0</v>
      </c>
      <c r="R17" s="50"/>
      <c r="S17" s="50">
        <f t="shared" si="7"/>
        <v>0</v>
      </c>
      <c r="T17" s="77">
        <f t="shared" si="8"/>
        <v>9</v>
      </c>
      <c r="U17" s="87">
        <f t="shared" si="9"/>
        <v>0</v>
      </c>
    </row>
    <row r="18" spans="1:21" x14ac:dyDescent="0.25">
      <c r="A18" s="83" t="s">
        <v>178</v>
      </c>
      <c r="B18" s="84" t="s">
        <v>179</v>
      </c>
      <c r="C18" s="84" t="s">
        <v>180</v>
      </c>
      <c r="D18" s="84" t="s">
        <v>181</v>
      </c>
      <c r="I18" s="61">
        <v>0</v>
      </c>
      <c r="J18" s="62">
        <v>0</v>
      </c>
      <c r="K18" s="50"/>
      <c r="L18" s="50"/>
      <c r="M18" s="70">
        <v>3</v>
      </c>
      <c r="N18" s="50"/>
      <c r="O18" s="50">
        <f t="shared" si="5"/>
        <v>0</v>
      </c>
      <c r="P18" s="76">
        <v>9</v>
      </c>
      <c r="Q18" s="87">
        <f t="shared" si="6"/>
        <v>0</v>
      </c>
      <c r="R18" s="50"/>
      <c r="S18" s="50">
        <f t="shared" si="7"/>
        <v>0</v>
      </c>
      <c r="T18" s="77">
        <f t="shared" si="8"/>
        <v>9</v>
      </c>
      <c r="U18" s="87">
        <f t="shared" si="9"/>
        <v>0</v>
      </c>
    </row>
    <row r="19" spans="1:21" x14ac:dyDescent="0.25">
      <c r="I19" s="61">
        <v>0</v>
      </c>
      <c r="J19" s="62">
        <v>0</v>
      </c>
      <c r="K19" s="50"/>
      <c r="L19" s="50"/>
      <c r="M19" s="70">
        <v>3</v>
      </c>
      <c r="N19" s="50"/>
      <c r="O19" s="50">
        <f t="shared" si="5"/>
        <v>0</v>
      </c>
      <c r="P19" s="76">
        <v>9</v>
      </c>
      <c r="Q19" s="87">
        <f t="shared" si="6"/>
        <v>0</v>
      </c>
      <c r="R19" s="50"/>
      <c r="S19" s="50">
        <f t="shared" si="7"/>
        <v>0</v>
      </c>
      <c r="T19" s="77">
        <f t="shared" si="8"/>
        <v>9</v>
      </c>
      <c r="U19" s="87">
        <f t="shared" si="9"/>
        <v>0</v>
      </c>
    </row>
    <row r="20" spans="1:21" x14ac:dyDescent="0.25">
      <c r="A20" s="10" t="s">
        <v>120</v>
      </c>
      <c r="B20" s="10" t="s">
        <v>121</v>
      </c>
      <c r="I20" s="61">
        <v>0</v>
      </c>
      <c r="J20" s="62">
        <v>0</v>
      </c>
      <c r="K20" s="50"/>
      <c r="L20" s="50"/>
      <c r="M20" s="70">
        <v>3</v>
      </c>
      <c r="N20" s="50"/>
      <c r="O20" s="50">
        <f t="shared" si="5"/>
        <v>0</v>
      </c>
      <c r="P20" s="76">
        <v>9</v>
      </c>
      <c r="Q20" s="87">
        <f t="shared" si="6"/>
        <v>0</v>
      </c>
      <c r="R20" s="50"/>
      <c r="S20" s="50">
        <f t="shared" si="7"/>
        <v>0</v>
      </c>
      <c r="T20" s="77">
        <f t="shared" si="8"/>
        <v>9</v>
      </c>
      <c r="U20" s="87">
        <f t="shared" si="9"/>
        <v>0</v>
      </c>
    </row>
    <row r="21" spans="1:21" x14ac:dyDescent="0.25">
      <c r="A21" s="88" t="s">
        <v>119</v>
      </c>
      <c r="B21" s="88">
        <v>2</v>
      </c>
      <c r="I21" s="61">
        <v>0</v>
      </c>
      <c r="J21" s="62">
        <v>0</v>
      </c>
      <c r="K21" s="50"/>
      <c r="L21" s="50"/>
      <c r="M21" s="70">
        <v>3</v>
      </c>
      <c r="N21" s="78"/>
      <c r="O21" s="50">
        <f t="shared" si="5"/>
        <v>0</v>
      </c>
      <c r="P21" s="76">
        <v>9</v>
      </c>
      <c r="Q21" s="87">
        <f t="shared" si="6"/>
        <v>0</v>
      </c>
      <c r="R21" s="50"/>
      <c r="S21" s="50">
        <f t="shared" si="7"/>
        <v>0</v>
      </c>
      <c r="T21" s="77">
        <f t="shared" si="8"/>
        <v>9</v>
      </c>
      <c r="U21" s="87">
        <f t="shared" si="9"/>
        <v>0</v>
      </c>
    </row>
    <row r="22" spans="1:21" x14ac:dyDescent="0.25">
      <c r="A22" s="88" t="s">
        <v>118</v>
      </c>
      <c r="B22" s="88">
        <v>1.5</v>
      </c>
      <c r="I22" s="61">
        <v>0</v>
      </c>
      <c r="J22" s="62">
        <v>0</v>
      </c>
      <c r="K22" s="50"/>
      <c r="L22" s="50"/>
      <c r="M22" s="70">
        <v>3</v>
      </c>
      <c r="N22" s="50"/>
      <c r="O22" s="50">
        <f t="shared" si="5"/>
        <v>0</v>
      </c>
      <c r="P22" s="76">
        <v>9</v>
      </c>
      <c r="Q22" s="87">
        <f t="shared" si="6"/>
        <v>0</v>
      </c>
      <c r="R22" s="50"/>
      <c r="S22" s="50">
        <f t="shared" si="7"/>
        <v>0</v>
      </c>
      <c r="T22" s="77">
        <f t="shared" si="8"/>
        <v>9</v>
      </c>
      <c r="U22" s="87">
        <f t="shared" si="9"/>
        <v>0</v>
      </c>
    </row>
    <row r="23" spans="1:21" x14ac:dyDescent="0.25">
      <c r="A23" s="88" t="s">
        <v>117</v>
      </c>
      <c r="B23" s="88">
        <v>1.5</v>
      </c>
      <c r="I23" s="61">
        <v>0</v>
      </c>
      <c r="J23" s="62">
        <v>0</v>
      </c>
      <c r="K23" s="50"/>
      <c r="L23" s="50"/>
      <c r="M23" s="70">
        <v>3</v>
      </c>
      <c r="N23" s="50"/>
      <c r="O23" s="50">
        <f t="shared" si="5"/>
        <v>0</v>
      </c>
      <c r="P23" s="76">
        <v>9</v>
      </c>
      <c r="Q23" s="87">
        <f t="shared" si="6"/>
        <v>0</v>
      </c>
      <c r="R23" s="50"/>
      <c r="S23" s="50">
        <f t="shared" si="7"/>
        <v>0</v>
      </c>
      <c r="T23" s="77">
        <f t="shared" si="8"/>
        <v>9</v>
      </c>
      <c r="U23" s="87">
        <f t="shared" si="9"/>
        <v>0</v>
      </c>
    </row>
    <row r="24" spans="1:21" x14ac:dyDescent="0.25">
      <c r="A24" s="88" t="s">
        <v>114</v>
      </c>
      <c r="B24" s="88">
        <v>1.5</v>
      </c>
      <c r="I24" s="61">
        <v>0</v>
      </c>
      <c r="J24" s="62">
        <v>0</v>
      </c>
      <c r="K24" s="50"/>
      <c r="L24" s="50"/>
      <c r="M24" s="70">
        <v>3</v>
      </c>
      <c r="N24" s="50"/>
      <c r="O24" s="50">
        <f t="shared" si="5"/>
        <v>0</v>
      </c>
      <c r="P24" s="76">
        <v>9</v>
      </c>
      <c r="Q24" s="87">
        <f t="shared" si="6"/>
        <v>0</v>
      </c>
      <c r="R24" s="50"/>
      <c r="S24" s="50">
        <f t="shared" si="7"/>
        <v>0</v>
      </c>
      <c r="T24" s="77">
        <f t="shared" si="8"/>
        <v>9</v>
      </c>
      <c r="U24" s="87">
        <f t="shared" si="9"/>
        <v>0</v>
      </c>
    </row>
    <row r="25" spans="1:21" x14ac:dyDescent="0.25">
      <c r="A25" s="88" t="s">
        <v>115</v>
      </c>
      <c r="B25" s="88">
        <v>1.5</v>
      </c>
      <c r="I25" s="61">
        <v>0</v>
      </c>
      <c r="J25" s="62">
        <v>0</v>
      </c>
      <c r="K25" s="50"/>
      <c r="L25" s="50"/>
      <c r="M25" s="70">
        <v>3</v>
      </c>
      <c r="N25" s="50"/>
      <c r="O25" s="50">
        <f t="shared" si="5"/>
        <v>0</v>
      </c>
      <c r="P25" s="76">
        <v>9</v>
      </c>
      <c r="Q25" s="87">
        <f t="shared" si="6"/>
        <v>0</v>
      </c>
      <c r="R25" s="50"/>
      <c r="S25" s="50">
        <f t="shared" si="7"/>
        <v>0</v>
      </c>
      <c r="T25" s="77">
        <f t="shared" si="8"/>
        <v>9</v>
      </c>
      <c r="U25" s="87">
        <f t="shared" si="9"/>
        <v>0</v>
      </c>
    </row>
    <row r="26" spans="1:21" x14ac:dyDescent="0.25">
      <c r="A26" s="88" t="s">
        <v>116</v>
      </c>
      <c r="B26" s="88">
        <v>1.5</v>
      </c>
      <c r="I26" s="61">
        <v>0</v>
      </c>
      <c r="J26" s="62">
        <v>0</v>
      </c>
      <c r="K26" s="50"/>
      <c r="L26" s="50"/>
      <c r="M26" s="70">
        <v>3</v>
      </c>
      <c r="N26" s="78"/>
      <c r="O26" s="50">
        <f t="shared" si="5"/>
        <v>0</v>
      </c>
      <c r="P26" s="76">
        <v>9</v>
      </c>
      <c r="Q26" s="87">
        <f t="shared" si="6"/>
        <v>0</v>
      </c>
      <c r="R26" s="50"/>
      <c r="S26" s="50">
        <f t="shared" si="7"/>
        <v>0</v>
      </c>
      <c r="T26" s="77">
        <f t="shared" si="8"/>
        <v>9</v>
      </c>
      <c r="U26" s="87">
        <f t="shared" si="9"/>
        <v>0</v>
      </c>
    </row>
    <row r="27" spans="1:21" x14ac:dyDescent="0.25">
      <c r="A27" s="88"/>
      <c r="B27" s="88"/>
      <c r="I27" s="61">
        <v>0</v>
      </c>
      <c r="J27" s="62">
        <v>0</v>
      </c>
      <c r="K27" s="50"/>
      <c r="L27" s="50"/>
      <c r="M27" s="70">
        <v>3</v>
      </c>
      <c r="N27" s="50"/>
      <c r="O27" s="50">
        <f t="shared" si="5"/>
        <v>0</v>
      </c>
      <c r="P27" s="76">
        <v>9</v>
      </c>
      <c r="Q27" s="87">
        <f t="shared" si="6"/>
        <v>0</v>
      </c>
      <c r="R27" s="50"/>
      <c r="S27" s="50">
        <f t="shared" si="7"/>
        <v>0</v>
      </c>
      <c r="T27" s="77">
        <f t="shared" si="8"/>
        <v>9</v>
      </c>
      <c r="U27" s="87">
        <f t="shared" si="9"/>
        <v>0</v>
      </c>
    </row>
    <row r="28" spans="1:21" x14ac:dyDescent="0.25">
      <c r="A28" s="10" t="s">
        <v>183</v>
      </c>
      <c r="B28" s="10" t="s">
        <v>184</v>
      </c>
      <c r="I28" s="61">
        <v>0</v>
      </c>
      <c r="J28" s="62">
        <v>0</v>
      </c>
      <c r="K28" s="50"/>
      <c r="L28" s="50"/>
      <c r="M28" s="70">
        <v>3</v>
      </c>
      <c r="N28" s="50"/>
      <c r="O28" s="50">
        <f t="shared" si="5"/>
        <v>0</v>
      </c>
      <c r="P28" s="76">
        <v>9</v>
      </c>
      <c r="Q28" s="87">
        <f t="shared" si="6"/>
        <v>0</v>
      </c>
      <c r="R28" s="50"/>
      <c r="S28" s="50">
        <f t="shared" si="7"/>
        <v>0</v>
      </c>
      <c r="T28" s="77">
        <f t="shared" si="8"/>
        <v>9</v>
      </c>
      <c r="U28" s="87">
        <f t="shared" si="9"/>
        <v>0</v>
      </c>
    </row>
    <row r="29" spans="1:21" x14ac:dyDescent="0.25">
      <c r="A29" s="88" t="s">
        <v>87</v>
      </c>
      <c r="B29" s="34">
        <v>9.5</v>
      </c>
      <c r="I29" s="61">
        <v>0</v>
      </c>
      <c r="J29" s="62">
        <v>0</v>
      </c>
      <c r="K29" s="50"/>
      <c r="L29" s="50"/>
      <c r="M29" s="70">
        <v>3</v>
      </c>
      <c r="N29" s="50"/>
      <c r="O29" s="50">
        <f t="shared" si="5"/>
        <v>0</v>
      </c>
      <c r="P29" s="76">
        <v>9</v>
      </c>
      <c r="Q29" s="87">
        <f t="shared" si="6"/>
        <v>0</v>
      </c>
      <c r="R29" s="50"/>
      <c r="S29" s="50">
        <f t="shared" si="7"/>
        <v>0</v>
      </c>
      <c r="T29" s="77">
        <f t="shared" si="8"/>
        <v>9</v>
      </c>
      <c r="U29" s="87">
        <f t="shared" si="9"/>
        <v>0</v>
      </c>
    </row>
    <row r="30" spans="1:21" x14ac:dyDescent="0.25">
      <c r="A30" s="88" t="s">
        <v>81</v>
      </c>
      <c r="B30" s="34">
        <v>8</v>
      </c>
      <c r="I30" s="61">
        <v>0</v>
      </c>
      <c r="J30" s="62">
        <v>0</v>
      </c>
      <c r="K30" s="50"/>
      <c r="L30" s="50"/>
      <c r="M30" s="70">
        <v>3</v>
      </c>
      <c r="N30" s="50"/>
      <c r="O30" s="50">
        <f t="shared" si="5"/>
        <v>0</v>
      </c>
      <c r="P30" s="76">
        <v>9</v>
      </c>
      <c r="Q30" s="87">
        <f t="shared" si="6"/>
        <v>0</v>
      </c>
      <c r="R30" s="50"/>
      <c r="S30" s="50">
        <f t="shared" si="7"/>
        <v>0</v>
      </c>
      <c r="T30" s="77">
        <f t="shared" si="8"/>
        <v>9</v>
      </c>
      <c r="U30" s="87">
        <f t="shared" si="9"/>
        <v>0</v>
      </c>
    </row>
    <row r="31" spans="1:21" x14ac:dyDescent="0.25">
      <c r="A31" s="88" t="s">
        <v>82</v>
      </c>
      <c r="B31" s="34">
        <f>B30-1.5</f>
        <v>6.5</v>
      </c>
      <c r="I31" s="61">
        <v>0</v>
      </c>
      <c r="J31" s="62">
        <v>0</v>
      </c>
      <c r="K31" s="50"/>
      <c r="L31" s="50"/>
      <c r="M31" s="70">
        <v>3</v>
      </c>
      <c r="N31" s="78"/>
      <c r="O31" s="50">
        <f t="shared" si="5"/>
        <v>0</v>
      </c>
      <c r="P31" s="76">
        <v>9</v>
      </c>
      <c r="Q31" s="87">
        <f t="shared" si="6"/>
        <v>0</v>
      </c>
      <c r="R31" s="50"/>
      <c r="S31" s="50">
        <f t="shared" si="7"/>
        <v>0</v>
      </c>
      <c r="T31" s="77">
        <f t="shared" si="8"/>
        <v>9</v>
      </c>
      <c r="U31" s="87">
        <f t="shared" si="9"/>
        <v>0</v>
      </c>
    </row>
    <row r="32" spans="1:21" x14ac:dyDescent="0.25">
      <c r="A32" s="88" t="s">
        <v>83</v>
      </c>
      <c r="B32" s="34">
        <f>B31-1.5</f>
        <v>5</v>
      </c>
      <c r="I32" s="61">
        <v>0</v>
      </c>
      <c r="J32" s="62">
        <v>0</v>
      </c>
      <c r="K32" s="50"/>
      <c r="L32" s="50"/>
      <c r="M32" s="70">
        <v>3</v>
      </c>
      <c r="N32" s="50"/>
      <c r="O32" s="50">
        <f t="shared" si="5"/>
        <v>0</v>
      </c>
      <c r="P32" s="76">
        <v>9</v>
      </c>
      <c r="Q32" s="87">
        <f t="shared" si="6"/>
        <v>0</v>
      </c>
      <c r="R32" s="50"/>
      <c r="S32" s="50">
        <f t="shared" si="7"/>
        <v>0</v>
      </c>
      <c r="T32" s="77">
        <f t="shared" si="8"/>
        <v>9</v>
      </c>
      <c r="U32" s="87">
        <f t="shared" si="9"/>
        <v>0</v>
      </c>
    </row>
    <row r="33" spans="1:21" x14ac:dyDescent="0.25">
      <c r="A33" s="88" t="s">
        <v>84</v>
      </c>
      <c r="B33" s="34">
        <f>2+1.5</f>
        <v>3.5</v>
      </c>
      <c r="I33" s="61">
        <v>0</v>
      </c>
      <c r="J33" s="62">
        <v>0</v>
      </c>
      <c r="K33" s="50"/>
      <c r="L33" s="50"/>
      <c r="M33" s="70">
        <v>3</v>
      </c>
      <c r="N33" s="50"/>
      <c r="O33" s="50">
        <f t="shared" si="5"/>
        <v>0</v>
      </c>
      <c r="P33" s="76">
        <v>9</v>
      </c>
      <c r="Q33" s="87">
        <f t="shared" si="6"/>
        <v>0</v>
      </c>
      <c r="R33" s="50"/>
      <c r="S33" s="50">
        <f t="shared" si="7"/>
        <v>0</v>
      </c>
      <c r="T33" s="77">
        <f t="shared" si="8"/>
        <v>9</v>
      </c>
      <c r="U33" s="87">
        <f t="shared" si="9"/>
        <v>0</v>
      </c>
    </row>
    <row r="34" spans="1:21" x14ac:dyDescent="0.25">
      <c r="A34" s="88" t="s">
        <v>186</v>
      </c>
      <c r="B34" s="34">
        <v>2</v>
      </c>
      <c r="I34" s="61">
        <v>0</v>
      </c>
      <c r="J34" s="62">
        <v>0</v>
      </c>
      <c r="K34" s="50"/>
      <c r="L34" s="50"/>
      <c r="M34" s="70">
        <v>3</v>
      </c>
      <c r="N34" s="50"/>
      <c r="O34" s="50">
        <f t="shared" si="5"/>
        <v>0</v>
      </c>
      <c r="P34" s="76">
        <v>9</v>
      </c>
      <c r="Q34" s="87">
        <f t="shared" si="6"/>
        <v>0</v>
      </c>
      <c r="R34" s="50"/>
      <c r="S34" s="50">
        <f t="shared" si="7"/>
        <v>0</v>
      </c>
      <c r="T34" s="77">
        <f t="shared" si="8"/>
        <v>9</v>
      </c>
      <c r="U34" s="87">
        <f t="shared" si="9"/>
        <v>0</v>
      </c>
    </row>
    <row r="35" spans="1:21" x14ac:dyDescent="0.25">
      <c r="A35" s="88" t="s">
        <v>185</v>
      </c>
      <c r="B35" s="34">
        <v>1</v>
      </c>
      <c r="I35" s="61">
        <v>0</v>
      </c>
      <c r="J35" s="62">
        <v>0</v>
      </c>
      <c r="K35" s="50"/>
      <c r="L35" s="50"/>
      <c r="M35" s="70">
        <v>3</v>
      </c>
      <c r="N35" s="50"/>
      <c r="O35" s="50">
        <f t="shared" si="5"/>
        <v>0</v>
      </c>
      <c r="P35" s="76">
        <v>9</v>
      </c>
      <c r="Q35" s="87">
        <f t="shared" si="6"/>
        <v>0</v>
      </c>
      <c r="R35" s="50"/>
      <c r="S35" s="50">
        <f t="shared" si="7"/>
        <v>0</v>
      </c>
      <c r="T35" s="77">
        <f t="shared" si="8"/>
        <v>9</v>
      </c>
      <c r="U35" s="87">
        <f t="shared" si="9"/>
        <v>0</v>
      </c>
    </row>
    <row r="36" spans="1:21" x14ac:dyDescent="0.25">
      <c r="I36" s="61">
        <v>0</v>
      </c>
      <c r="J36" s="62">
        <v>0</v>
      </c>
      <c r="K36" s="50"/>
      <c r="L36" s="50"/>
      <c r="M36" s="70">
        <v>3</v>
      </c>
      <c r="N36" s="78"/>
      <c r="O36" s="50">
        <f t="shared" si="5"/>
        <v>0</v>
      </c>
      <c r="P36" s="76">
        <v>9</v>
      </c>
      <c r="Q36" s="87">
        <f t="shared" si="6"/>
        <v>0</v>
      </c>
      <c r="R36" s="50"/>
      <c r="S36" s="50">
        <f t="shared" si="7"/>
        <v>0</v>
      </c>
      <c r="T36" s="77">
        <f t="shared" si="8"/>
        <v>9</v>
      </c>
      <c r="U36" s="87">
        <f t="shared" si="9"/>
        <v>0</v>
      </c>
    </row>
    <row r="37" spans="1:21" x14ac:dyDescent="0.25">
      <c r="I37" s="61">
        <v>0</v>
      </c>
      <c r="J37" s="62">
        <v>0</v>
      </c>
      <c r="K37" s="50"/>
      <c r="L37" s="50"/>
      <c r="M37" s="70">
        <v>3</v>
      </c>
      <c r="N37" s="50"/>
      <c r="O37" s="50">
        <f t="shared" si="5"/>
        <v>0</v>
      </c>
      <c r="P37" s="76">
        <v>9</v>
      </c>
      <c r="Q37" s="87">
        <f t="shared" si="6"/>
        <v>0</v>
      </c>
      <c r="R37" s="50"/>
      <c r="S37" s="50">
        <f t="shared" si="7"/>
        <v>0</v>
      </c>
      <c r="T37" s="77">
        <f t="shared" si="8"/>
        <v>9</v>
      </c>
      <c r="U37" s="87">
        <f t="shared" si="9"/>
        <v>0</v>
      </c>
    </row>
    <row r="38" spans="1:21" x14ac:dyDescent="0.25">
      <c r="I38" s="61">
        <v>0</v>
      </c>
      <c r="J38" s="62">
        <v>0</v>
      </c>
      <c r="K38" s="50"/>
      <c r="L38" s="50"/>
      <c r="M38" s="70">
        <v>3</v>
      </c>
      <c r="N38" s="50"/>
      <c r="O38" s="50">
        <f t="shared" si="5"/>
        <v>0</v>
      </c>
      <c r="P38" s="76">
        <v>9</v>
      </c>
      <c r="Q38" s="87">
        <f t="shared" si="6"/>
        <v>0</v>
      </c>
      <c r="R38" s="50"/>
      <c r="S38" s="50">
        <f t="shared" si="7"/>
        <v>0</v>
      </c>
      <c r="T38" s="77">
        <f t="shared" si="8"/>
        <v>9</v>
      </c>
      <c r="U38" s="87">
        <f t="shared" si="9"/>
        <v>0</v>
      </c>
    </row>
    <row r="39" spans="1:21" x14ac:dyDescent="0.25">
      <c r="I39" s="61">
        <v>0</v>
      </c>
      <c r="J39" s="62">
        <v>0</v>
      </c>
      <c r="K39" s="50"/>
      <c r="L39" s="50"/>
      <c r="M39" s="70">
        <v>3</v>
      </c>
      <c r="N39" s="50"/>
      <c r="O39" s="50">
        <f t="shared" si="5"/>
        <v>0</v>
      </c>
      <c r="P39" s="76">
        <v>9</v>
      </c>
      <c r="Q39" s="87">
        <f t="shared" si="6"/>
        <v>0</v>
      </c>
      <c r="R39" s="50"/>
      <c r="S39" s="50">
        <f t="shared" si="7"/>
        <v>0</v>
      </c>
      <c r="T39" s="77">
        <f t="shared" si="8"/>
        <v>9</v>
      </c>
      <c r="U39" s="87">
        <f t="shared" si="9"/>
        <v>0</v>
      </c>
    </row>
    <row r="40" spans="1:21" x14ac:dyDescent="0.25">
      <c r="I40" s="61">
        <v>0</v>
      </c>
      <c r="J40" s="62">
        <v>0</v>
      </c>
      <c r="K40" s="50"/>
      <c r="L40" s="50"/>
      <c r="M40" s="70">
        <v>3</v>
      </c>
      <c r="N40" s="50"/>
      <c r="O40" s="50">
        <f t="shared" si="5"/>
        <v>0</v>
      </c>
      <c r="P40" s="76">
        <v>9</v>
      </c>
      <c r="Q40" s="87">
        <f t="shared" si="6"/>
        <v>0</v>
      </c>
      <c r="R40" s="50"/>
      <c r="S40" s="50">
        <f t="shared" si="7"/>
        <v>0</v>
      </c>
      <c r="T40" s="77">
        <f t="shared" si="8"/>
        <v>9</v>
      </c>
      <c r="U40" s="87">
        <f t="shared" si="9"/>
        <v>0</v>
      </c>
    </row>
    <row r="41" spans="1:21" x14ac:dyDescent="0.25">
      <c r="I41" s="61">
        <v>0</v>
      </c>
      <c r="J41" s="62">
        <v>0</v>
      </c>
      <c r="K41" s="50"/>
      <c r="L41" s="50"/>
      <c r="M41" s="70">
        <v>3</v>
      </c>
      <c r="N41" s="78"/>
      <c r="O41" s="50">
        <f t="shared" si="5"/>
        <v>0</v>
      </c>
      <c r="P41" s="76">
        <v>9</v>
      </c>
      <c r="Q41" s="87">
        <f t="shared" si="6"/>
        <v>0</v>
      </c>
      <c r="R41" s="50"/>
      <c r="S41" s="50">
        <f t="shared" si="7"/>
        <v>0</v>
      </c>
      <c r="T41" s="77">
        <f t="shared" si="8"/>
        <v>9</v>
      </c>
      <c r="U41" s="87">
        <f t="shared" si="9"/>
        <v>0</v>
      </c>
    </row>
    <row r="42" spans="1:21" x14ac:dyDescent="0.25">
      <c r="I42" s="61">
        <v>0</v>
      </c>
      <c r="J42" s="62">
        <v>0</v>
      </c>
      <c r="K42" s="50"/>
      <c r="L42" s="50"/>
      <c r="M42" s="70">
        <v>3</v>
      </c>
      <c r="N42" s="50"/>
      <c r="O42" s="50">
        <f t="shared" si="5"/>
        <v>0</v>
      </c>
      <c r="P42" s="76">
        <v>9</v>
      </c>
      <c r="Q42" s="87">
        <f t="shared" si="6"/>
        <v>0</v>
      </c>
      <c r="R42" s="50"/>
      <c r="S42" s="50">
        <f t="shared" si="7"/>
        <v>0</v>
      </c>
      <c r="T42" s="77">
        <f t="shared" si="8"/>
        <v>9</v>
      </c>
      <c r="U42" s="87">
        <f t="shared" si="9"/>
        <v>0</v>
      </c>
    </row>
    <row r="43" spans="1:21" x14ac:dyDescent="0.25">
      <c r="I43" s="61">
        <v>0</v>
      </c>
      <c r="J43" s="62">
        <v>0</v>
      </c>
      <c r="K43" s="50"/>
      <c r="L43" s="50"/>
      <c r="M43" s="70">
        <v>3</v>
      </c>
      <c r="N43" s="50"/>
      <c r="O43" s="50">
        <f t="shared" si="5"/>
        <v>0</v>
      </c>
      <c r="P43" s="76">
        <v>9</v>
      </c>
      <c r="Q43" s="87">
        <f t="shared" si="6"/>
        <v>0</v>
      </c>
      <c r="R43" s="50"/>
      <c r="S43" s="50">
        <f t="shared" si="7"/>
        <v>0</v>
      </c>
      <c r="T43" s="77">
        <f t="shared" si="8"/>
        <v>9</v>
      </c>
      <c r="U43" s="87">
        <f t="shared" si="9"/>
        <v>0</v>
      </c>
    </row>
    <row r="44" spans="1:21" x14ac:dyDescent="0.25">
      <c r="I44" s="61">
        <v>0</v>
      </c>
      <c r="J44" s="62">
        <v>0</v>
      </c>
      <c r="K44" s="50"/>
      <c r="L44" s="50"/>
      <c r="M44" s="70">
        <v>3</v>
      </c>
      <c r="N44" s="50"/>
      <c r="O44" s="50">
        <f t="shared" si="5"/>
        <v>0</v>
      </c>
      <c r="P44" s="76">
        <v>9</v>
      </c>
      <c r="Q44" s="87">
        <f t="shared" si="6"/>
        <v>0</v>
      </c>
      <c r="R44" s="50"/>
      <c r="S44" s="50">
        <f t="shared" si="7"/>
        <v>0</v>
      </c>
      <c r="T44" s="77">
        <f t="shared" si="8"/>
        <v>9</v>
      </c>
      <c r="U44" s="87">
        <f t="shared" si="9"/>
        <v>0</v>
      </c>
    </row>
    <row r="45" spans="1:21" x14ac:dyDescent="0.25">
      <c r="I45" s="61">
        <v>0</v>
      </c>
      <c r="J45" s="62">
        <v>0</v>
      </c>
      <c r="K45" s="50"/>
      <c r="L45" s="50"/>
      <c r="M45" s="70">
        <v>3</v>
      </c>
      <c r="N45" s="50"/>
      <c r="O45" s="50">
        <f t="shared" si="5"/>
        <v>0</v>
      </c>
      <c r="P45" s="76">
        <v>9</v>
      </c>
      <c r="Q45" s="87">
        <f t="shared" si="6"/>
        <v>0</v>
      </c>
      <c r="R45" s="50"/>
      <c r="S45" s="50">
        <f t="shared" si="7"/>
        <v>0</v>
      </c>
      <c r="T45" s="77">
        <f t="shared" si="8"/>
        <v>9</v>
      </c>
      <c r="U45" s="87">
        <f t="shared" si="9"/>
        <v>0</v>
      </c>
    </row>
    <row r="46" spans="1:21" x14ac:dyDescent="0.25">
      <c r="I46" s="61">
        <v>0</v>
      </c>
      <c r="J46" s="62">
        <v>0</v>
      </c>
      <c r="K46" s="50"/>
      <c r="L46" s="50"/>
      <c r="M46" s="70">
        <v>3</v>
      </c>
      <c r="N46" s="50"/>
      <c r="O46" s="50">
        <f t="shared" si="5"/>
        <v>0</v>
      </c>
      <c r="P46" s="76">
        <v>9</v>
      </c>
      <c r="Q46" s="87">
        <f t="shared" si="6"/>
        <v>0</v>
      </c>
      <c r="R46" s="50"/>
      <c r="S46" s="50">
        <f t="shared" si="7"/>
        <v>0</v>
      </c>
      <c r="T46" s="77">
        <f t="shared" si="8"/>
        <v>9</v>
      </c>
      <c r="U46" s="87">
        <f t="shared" si="9"/>
        <v>0</v>
      </c>
    </row>
    <row r="47" spans="1:21" x14ac:dyDescent="0.25">
      <c r="I47" s="61">
        <v>0</v>
      </c>
      <c r="J47" s="62">
        <v>0</v>
      </c>
      <c r="K47" s="50"/>
      <c r="L47" s="50"/>
      <c r="M47" s="70">
        <v>3</v>
      </c>
      <c r="N47" s="78"/>
      <c r="O47" s="50">
        <f t="shared" ref="O47:O76" si="10">L47+N47</f>
        <v>0</v>
      </c>
      <c r="P47" s="76">
        <v>9</v>
      </c>
      <c r="Q47" s="87">
        <f t="shared" ref="Q47:Q76" si="11">O47/P47</f>
        <v>0</v>
      </c>
      <c r="R47" s="50"/>
      <c r="S47" s="50">
        <f t="shared" ref="S47:S76" si="12">R47+L47</f>
        <v>0</v>
      </c>
      <c r="T47" s="77">
        <f t="shared" ref="T47:T76" si="13">P47</f>
        <v>9</v>
      </c>
      <c r="U47" s="87">
        <f t="shared" ref="U47:U76" si="14">S47/T47</f>
        <v>0</v>
      </c>
    </row>
    <row r="48" spans="1:21" x14ac:dyDescent="0.25">
      <c r="I48" s="61">
        <v>0</v>
      </c>
      <c r="J48" s="62">
        <v>0</v>
      </c>
      <c r="K48" s="50"/>
      <c r="L48" s="50"/>
      <c r="M48" s="70">
        <v>3</v>
      </c>
      <c r="N48" s="50"/>
      <c r="O48" s="50">
        <f t="shared" si="10"/>
        <v>0</v>
      </c>
      <c r="P48" s="76">
        <v>9</v>
      </c>
      <c r="Q48" s="87">
        <f t="shared" si="11"/>
        <v>0</v>
      </c>
      <c r="R48" s="50"/>
      <c r="S48" s="50">
        <f t="shared" si="12"/>
        <v>0</v>
      </c>
      <c r="T48" s="77">
        <f t="shared" si="13"/>
        <v>9</v>
      </c>
      <c r="U48" s="87">
        <f t="shared" si="14"/>
        <v>0</v>
      </c>
    </row>
    <row r="49" spans="1:21" x14ac:dyDescent="0.25">
      <c r="I49" s="61">
        <v>0</v>
      </c>
      <c r="J49" s="62">
        <v>0</v>
      </c>
      <c r="K49" s="50"/>
      <c r="L49" s="50"/>
      <c r="M49" s="70">
        <v>3</v>
      </c>
      <c r="N49" s="50"/>
      <c r="O49" s="50">
        <f t="shared" si="10"/>
        <v>0</v>
      </c>
      <c r="P49" s="76">
        <v>9</v>
      </c>
      <c r="Q49" s="87">
        <f t="shared" si="11"/>
        <v>0</v>
      </c>
      <c r="R49" s="50"/>
      <c r="S49" s="50">
        <f t="shared" si="12"/>
        <v>0</v>
      </c>
      <c r="T49" s="77">
        <f t="shared" si="13"/>
        <v>9</v>
      </c>
      <c r="U49" s="87">
        <f t="shared" si="14"/>
        <v>0</v>
      </c>
    </row>
    <row r="50" spans="1:21" x14ac:dyDescent="0.25">
      <c r="A50" s="28"/>
      <c r="I50" s="61">
        <v>0</v>
      </c>
      <c r="J50" s="62">
        <v>0</v>
      </c>
      <c r="K50" s="50"/>
      <c r="L50" s="50"/>
      <c r="M50" s="70">
        <v>3</v>
      </c>
      <c r="N50" s="50"/>
      <c r="O50" s="50">
        <f t="shared" si="10"/>
        <v>0</v>
      </c>
      <c r="P50" s="76">
        <v>9</v>
      </c>
      <c r="Q50" s="87">
        <f t="shared" si="11"/>
        <v>0</v>
      </c>
      <c r="R50" s="50"/>
      <c r="S50" s="50">
        <f t="shared" si="12"/>
        <v>0</v>
      </c>
      <c r="T50" s="77">
        <f t="shared" si="13"/>
        <v>9</v>
      </c>
      <c r="U50" s="87">
        <f t="shared" si="14"/>
        <v>0</v>
      </c>
    </row>
    <row r="51" spans="1:21" x14ac:dyDescent="0.25">
      <c r="A51" s="28"/>
      <c r="I51" s="61">
        <v>0</v>
      </c>
      <c r="J51" s="62">
        <v>0</v>
      </c>
      <c r="K51" s="50"/>
      <c r="L51" s="50"/>
      <c r="M51" s="70">
        <v>3</v>
      </c>
      <c r="N51" s="50"/>
      <c r="O51" s="50">
        <f t="shared" si="10"/>
        <v>0</v>
      </c>
      <c r="P51" s="76">
        <v>9</v>
      </c>
      <c r="Q51" s="87">
        <f t="shared" si="11"/>
        <v>0</v>
      </c>
      <c r="R51" s="50"/>
      <c r="S51" s="50">
        <f t="shared" si="12"/>
        <v>0</v>
      </c>
      <c r="T51" s="77">
        <f t="shared" si="13"/>
        <v>9</v>
      </c>
      <c r="U51" s="87">
        <f t="shared" si="14"/>
        <v>0</v>
      </c>
    </row>
    <row r="52" spans="1:21" x14ac:dyDescent="0.25">
      <c r="A52" s="28"/>
      <c r="I52" s="61">
        <v>0</v>
      </c>
      <c r="J52" s="62">
        <v>0</v>
      </c>
      <c r="K52" s="50"/>
      <c r="L52" s="50"/>
      <c r="M52" s="70">
        <v>3</v>
      </c>
      <c r="N52" s="78"/>
      <c r="O52" s="50">
        <f t="shared" si="10"/>
        <v>0</v>
      </c>
      <c r="P52" s="76">
        <v>9</v>
      </c>
      <c r="Q52" s="87">
        <f t="shared" si="11"/>
        <v>0</v>
      </c>
      <c r="R52" s="50"/>
      <c r="S52" s="50">
        <f t="shared" si="12"/>
        <v>0</v>
      </c>
      <c r="T52" s="77">
        <f t="shared" si="13"/>
        <v>9</v>
      </c>
      <c r="U52" s="87">
        <f t="shared" si="14"/>
        <v>0</v>
      </c>
    </row>
    <row r="53" spans="1:21" x14ac:dyDescent="0.25">
      <c r="I53" s="61">
        <v>0</v>
      </c>
      <c r="J53" s="62">
        <v>0</v>
      </c>
      <c r="K53" s="50"/>
      <c r="L53" s="50"/>
      <c r="M53" s="70">
        <v>3</v>
      </c>
      <c r="N53" s="50"/>
      <c r="O53" s="50">
        <f t="shared" si="10"/>
        <v>0</v>
      </c>
      <c r="P53" s="76">
        <v>9</v>
      </c>
      <c r="Q53" s="87">
        <f t="shared" si="11"/>
        <v>0</v>
      </c>
      <c r="R53" s="50"/>
      <c r="S53" s="50">
        <f t="shared" si="12"/>
        <v>0</v>
      </c>
      <c r="T53" s="77">
        <f t="shared" si="13"/>
        <v>9</v>
      </c>
      <c r="U53" s="87">
        <f t="shared" si="14"/>
        <v>0</v>
      </c>
    </row>
    <row r="54" spans="1:21" x14ac:dyDescent="0.25">
      <c r="I54" s="61">
        <v>0</v>
      </c>
      <c r="J54" s="62">
        <v>0</v>
      </c>
      <c r="K54" s="50"/>
      <c r="L54" s="50"/>
      <c r="M54" s="70">
        <v>3</v>
      </c>
      <c r="N54" s="50"/>
      <c r="O54" s="50">
        <f t="shared" si="10"/>
        <v>0</v>
      </c>
      <c r="P54" s="76">
        <v>9</v>
      </c>
      <c r="Q54" s="87">
        <f t="shared" si="11"/>
        <v>0</v>
      </c>
      <c r="R54" s="50"/>
      <c r="S54" s="50">
        <f t="shared" si="12"/>
        <v>0</v>
      </c>
      <c r="T54" s="77">
        <f t="shared" si="13"/>
        <v>9</v>
      </c>
      <c r="U54" s="87">
        <f t="shared" si="14"/>
        <v>0</v>
      </c>
    </row>
    <row r="55" spans="1:21" x14ac:dyDescent="0.25">
      <c r="I55" s="61">
        <v>0</v>
      </c>
      <c r="J55" s="62">
        <v>0</v>
      </c>
      <c r="K55" s="50"/>
      <c r="L55" s="50"/>
      <c r="M55" s="70">
        <v>3</v>
      </c>
      <c r="N55" s="50"/>
      <c r="O55" s="50">
        <f t="shared" si="10"/>
        <v>0</v>
      </c>
      <c r="P55" s="76">
        <v>9</v>
      </c>
      <c r="Q55" s="87">
        <f t="shared" si="11"/>
        <v>0</v>
      </c>
      <c r="R55" s="50"/>
      <c r="S55" s="50">
        <f t="shared" si="12"/>
        <v>0</v>
      </c>
      <c r="T55" s="77">
        <f t="shared" si="13"/>
        <v>9</v>
      </c>
      <c r="U55" s="87">
        <f t="shared" si="14"/>
        <v>0</v>
      </c>
    </row>
    <row r="56" spans="1:21" x14ac:dyDescent="0.25">
      <c r="I56" s="61">
        <v>0</v>
      </c>
      <c r="J56" s="62">
        <v>0</v>
      </c>
      <c r="K56" s="50"/>
      <c r="L56" s="50"/>
      <c r="M56" s="70">
        <v>3</v>
      </c>
      <c r="N56" s="50"/>
      <c r="O56" s="50">
        <f t="shared" si="10"/>
        <v>0</v>
      </c>
      <c r="P56" s="76">
        <v>9</v>
      </c>
      <c r="Q56" s="87">
        <f t="shared" si="11"/>
        <v>0</v>
      </c>
      <c r="R56" s="50"/>
      <c r="S56" s="50">
        <f t="shared" si="12"/>
        <v>0</v>
      </c>
      <c r="T56" s="77">
        <f t="shared" si="13"/>
        <v>9</v>
      </c>
      <c r="U56" s="87">
        <f t="shared" si="14"/>
        <v>0</v>
      </c>
    </row>
    <row r="57" spans="1:21" x14ac:dyDescent="0.25">
      <c r="A57" s="28"/>
      <c r="I57" s="61">
        <v>0</v>
      </c>
      <c r="J57" s="62">
        <v>0</v>
      </c>
      <c r="K57" s="50"/>
      <c r="L57" s="50"/>
      <c r="M57" s="70">
        <v>3</v>
      </c>
      <c r="N57" s="50"/>
      <c r="O57" s="50">
        <f t="shared" si="10"/>
        <v>0</v>
      </c>
      <c r="P57" s="76">
        <v>9</v>
      </c>
      <c r="Q57" s="87">
        <f t="shared" si="11"/>
        <v>0</v>
      </c>
      <c r="R57" s="50"/>
      <c r="S57" s="50">
        <f t="shared" si="12"/>
        <v>0</v>
      </c>
      <c r="T57" s="77">
        <f t="shared" si="13"/>
        <v>9</v>
      </c>
      <c r="U57" s="87">
        <f t="shared" si="14"/>
        <v>0</v>
      </c>
    </row>
    <row r="58" spans="1:21" x14ac:dyDescent="0.25">
      <c r="A58" s="28"/>
      <c r="I58" s="61">
        <v>0</v>
      </c>
      <c r="J58" s="62">
        <v>0</v>
      </c>
      <c r="K58" s="50"/>
      <c r="L58" s="50"/>
      <c r="M58" s="70">
        <v>3</v>
      </c>
      <c r="N58" s="78"/>
      <c r="O58" s="50">
        <f t="shared" si="10"/>
        <v>0</v>
      </c>
      <c r="P58" s="76">
        <v>9</v>
      </c>
      <c r="Q58" s="87">
        <f t="shared" si="11"/>
        <v>0</v>
      </c>
      <c r="R58" s="50"/>
      <c r="S58" s="50">
        <f t="shared" si="12"/>
        <v>0</v>
      </c>
      <c r="T58" s="77">
        <f t="shared" si="13"/>
        <v>9</v>
      </c>
      <c r="U58" s="87">
        <f t="shared" si="14"/>
        <v>0</v>
      </c>
    </row>
    <row r="59" spans="1:21" x14ac:dyDescent="0.25">
      <c r="A59" s="28"/>
      <c r="I59" s="61">
        <v>0</v>
      </c>
      <c r="J59" s="62">
        <v>0</v>
      </c>
      <c r="K59" s="50"/>
      <c r="L59" s="50"/>
      <c r="M59" s="70">
        <v>3</v>
      </c>
      <c r="N59" s="50"/>
      <c r="O59" s="50">
        <f t="shared" si="10"/>
        <v>0</v>
      </c>
      <c r="P59" s="76">
        <v>9</v>
      </c>
      <c r="Q59" s="87">
        <f t="shared" si="11"/>
        <v>0</v>
      </c>
      <c r="R59" s="50"/>
      <c r="S59" s="50">
        <f t="shared" si="12"/>
        <v>0</v>
      </c>
      <c r="T59" s="77">
        <f t="shared" si="13"/>
        <v>9</v>
      </c>
      <c r="U59" s="87">
        <f t="shared" si="14"/>
        <v>0</v>
      </c>
    </row>
    <row r="60" spans="1:21" x14ac:dyDescent="0.25">
      <c r="I60" s="61">
        <v>0</v>
      </c>
      <c r="J60" s="62">
        <v>0</v>
      </c>
      <c r="K60" s="50"/>
      <c r="L60" s="50"/>
      <c r="M60" s="70">
        <v>3</v>
      </c>
      <c r="N60" s="50"/>
      <c r="O60" s="50">
        <f t="shared" si="10"/>
        <v>0</v>
      </c>
      <c r="P60" s="76">
        <v>9</v>
      </c>
      <c r="Q60" s="87">
        <f t="shared" si="11"/>
        <v>0</v>
      </c>
      <c r="R60" s="50"/>
      <c r="S60" s="50">
        <f t="shared" si="12"/>
        <v>0</v>
      </c>
      <c r="T60" s="77">
        <f t="shared" si="13"/>
        <v>9</v>
      </c>
      <c r="U60" s="87">
        <f t="shared" si="14"/>
        <v>0</v>
      </c>
    </row>
    <row r="61" spans="1:21" x14ac:dyDescent="0.25">
      <c r="I61" s="61">
        <v>0</v>
      </c>
      <c r="J61" s="62">
        <v>0</v>
      </c>
      <c r="K61" s="50"/>
      <c r="L61" s="50"/>
      <c r="M61" s="70">
        <v>3</v>
      </c>
      <c r="N61" s="50"/>
      <c r="O61" s="50">
        <f t="shared" si="10"/>
        <v>0</v>
      </c>
      <c r="P61" s="76">
        <v>9</v>
      </c>
      <c r="Q61" s="87">
        <f t="shared" si="11"/>
        <v>0</v>
      </c>
      <c r="R61" s="50"/>
      <c r="S61" s="50">
        <f t="shared" si="12"/>
        <v>0</v>
      </c>
      <c r="T61" s="77">
        <f t="shared" si="13"/>
        <v>9</v>
      </c>
      <c r="U61" s="87">
        <f t="shared" si="14"/>
        <v>0</v>
      </c>
    </row>
    <row r="62" spans="1:21" x14ac:dyDescent="0.25">
      <c r="I62" s="61">
        <v>0</v>
      </c>
      <c r="J62" s="62">
        <v>0</v>
      </c>
      <c r="K62" s="50"/>
      <c r="L62" s="50"/>
      <c r="M62" s="70">
        <v>3</v>
      </c>
      <c r="N62" s="50"/>
      <c r="O62" s="50">
        <f t="shared" si="10"/>
        <v>0</v>
      </c>
      <c r="P62" s="76">
        <v>9</v>
      </c>
      <c r="Q62" s="87">
        <f t="shared" si="11"/>
        <v>0</v>
      </c>
      <c r="R62" s="50"/>
      <c r="S62" s="50">
        <f t="shared" si="12"/>
        <v>0</v>
      </c>
      <c r="T62" s="77">
        <f t="shared" si="13"/>
        <v>9</v>
      </c>
      <c r="U62" s="87">
        <f t="shared" si="14"/>
        <v>0</v>
      </c>
    </row>
    <row r="63" spans="1:21" x14ac:dyDescent="0.25">
      <c r="I63" s="61">
        <v>0</v>
      </c>
      <c r="J63" s="62">
        <v>0</v>
      </c>
      <c r="K63" s="50"/>
      <c r="L63" s="50"/>
      <c r="M63" s="70">
        <v>3</v>
      </c>
      <c r="N63" s="78"/>
      <c r="O63" s="50">
        <f t="shared" si="10"/>
        <v>0</v>
      </c>
      <c r="P63" s="76">
        <v>9</v>
      </c>
      <c r="Q63" s="87">
        <f t="shared" si="11"/>
        <v>0</v>
      </c>
      <c r="R63" s="50"/>
      <c r="S63" s="50">
        <f t="shared" si="12"/>
        <v>0</v>
      </c>
      <c r="T63" s="77">
        <f t="shared" si="13"/>
        <v>9</v>
      </c>
      <c r="U63" s="87">
        <f t="shared" si="14"/>
        <v>0</v>
      </c>
    </row>
    <row r="64" spans="1:21" x14ac:dyDescent="0.25">
      <c r="I64" s="61">
        <v>0</v>
      </c>
      <c r="J64" s="62">
        <v>0</v>
      </c>
      <c r="K64" s="50"/>
      <c r="L64" s="50"/>
      <c r="M64" s="70">
        <v>3</v>
      </c>
      <c r="N64" s="50"/>
      <c r="O64" s="50">
        <f t="shared" si="10"/>
        <v>0</v>
      </c>
      <c r="P64" s="76">
        <v>9</v>
      </c>
      <c r="Q64" s="87">
        <f t="shared" si="11"/>
        <v>0</v>
      </c>
      <c r="R64" s="50"/>
      <c r="S64" s="50">
        <f t="shared" si="12"/>
        <v>0</v>
      </c>
      <c r="T64" s="77">
        <f t="shared" si="13"/>
        <v>9</v>
      </c>
      <c r="U64" s="87">
        <f t="shared" si="14"/>
        <v>0</v>
      </c>
    </row>
    <row r="65" spans="9:21" x14ac:dyDescent="0.25">
      <c r="I65" s="61">
        <v>0</v>
      </c>
      <c r="J65" s="62">
        <v>0</v>
      </c>
      <c r="K65" s="50"/>
      <c r="L65" s="50"/>
      <c r="M65" s="70">
        <v>3</v>
      </c>
      <c r="N65" s="50"/>
      <c r="O65" s="50">
        <f t="shared" si="10"/>
        <v>0</v>
      </c>
      <c r="P65" s="76">
        <v>9</v>
      </c>
      <c r="Q65" s="87">
        <f t="shared" si="11"/>
        <v>0</v>
      </c>
      <c r="R65" s="50"/>
      <c r="S65" s="50">
        <f t="shared" si="12"/>
        <v>0</v>
      </c>
      <c r="T65" s="77">
        <f t="shared" si="13"/>
        <v>9</v>
      </c>
      <c r="U65" s="87">
        <f t="shared" si="14"/>
        <v>0</v>
      </c>
    </row>
    <row r="66" spans="9:21" x14ac:dyDescent="0.25">
      <c r="I66" s="61">
        <v>0</v>
      </c>
      <c r="J66" s="62">
        <v>0</v>
      </c>
      <c r="K66" s="50"/>
      <c r="L66" s="50"/>
      <c r="M66" s="70">
        <v>3</v>
      </c>
      <c r="N66" s="50"/>
      <c r="O66" s="50">
        <f t="shared" si="10"/>
        <v>0</v>
      </c>
      <c r="P66" s="76">
        <v>9</v>
      </c>
      <c r="Q66" s="87">
        <f t="shared" si="11"/>
        <v>0</v>
      </c>
      <c r="R66" s="50"/>
      <c r="S66" s="50">
        <f t="shared" si="12"/>
        <v>0</v>
      </c>
      <c r="T66" s="77">
        <f t="shared" si="13"/>
        <v>9</v>
      </c>
      <c r="U66" s="87">
        <f t="shared" si="14"/>
        <v>0</v>
      </c>
    </row>
    <row r="67" spans="9:21" x14ac:dyDescent="0.25">
      <c r="I67" s="61">
        <v>0</v>
      </c>
      <c r="J67" s="62">
        <v>0</v>
      </c>
      <c r="K67" s="50"/>
      <c r="L67" s="50"/>
      <c r="M67" s="70">
        <v>3</v>
      </c>
      <c r="N67" s="50"/>
      <c r="O67" s="50">
        <f t="shared" si="10"/>
        <v>0</v>
      </c>
      <c r="P67" s="76">
        <v>9</v>
      </c>
      <c r="Q67" s="87">
        <f t="shared" si="11"/>
        <v>0</v>
      </c>
      <c r="R67" s="50"/>
      <c r="S67" s="50">
        <f t="shared" si="12"/>
        <v>0</v>
      </c>
      <c r="T67" s="77">
        <f t="shared" si="13"/>
        <v>9</v>
      </c>
      <c r="U67" s="87">
        <f t="shared" si="14"/>
        <v>0</v>
      </c>
    </row>
    <row r="68" spans="9:21" x14ac:dyDescent="0.25">
      <c r="I68" s="61">
        <v>0</v>
      </c>
      <c r="J68" s="62">
        <v>0</v>
      </c>
      <c r="K68" s="50"/>
      <c r="L68" s="50"/>
      <c r="M68" s="70">
        <v>3</v>
      </c>
      <c r="N68" s="50"/>
      <c r="O68" s="50">
        <f t="shared" si="10"/>
        <v>0</v>
      </c>
      <c r="P68" s="76">
        <v>9</v>
      </c>
      <c r="Q68" s="87">
        <f t="shared" si="11"/>
        <v>0</v>
      </c>
      <c r="R68" s="50"/>
      <c r="S68" s="50">
        <f t="shared" si="12"/>
        <v>0</v>
      </c>
      <c r="T68" s="77">
        <f t="shared" si="13"/>
        <v>9</v>
      </c>
      <c r="U68" s="87">
        <f t="shared" si="14"/>
        <v>0</v>
      </c>
    </row>
    <row r="69" spans="9:21" x14ac:dyDescent="0.25">
      <c r="I69" s="61">
        <v>0</v>
      </c>
      <c r="J69" s="62">
        <v>0</v>
      </c>
      <c r="K69" s="50"/>
      <c r="L69" s="50"/>
      <c r="M69" s="70">
        <v>3</v>
      </c>
      <c r="N69" s="78"/>
      <c r="O69" s="50">
        <f t="shared" si="10"/>
        <v>0</v>
      </c>
      <c r="P69" s="76">
        <v>9</v>
      </c>
      <c r="Q69" s="87">
        <f t="shared" si="11"/>
        <v>0</v>
      </c>
      <c r="R69" s="50"/>
      <c r="S69" s="50">
        <f t="shared" si="12"/>
        <v>0</v>
      </c>
      <c r="T69" s="77">
        <f t="shared" si="13"/>
        <v>9</v>
      </c>
      <c r="U69" s="87">
        <f t="shared" si="14"/>
        <v>0</v>
      </c>
    </row>
    <row r="70" spans="9:21" x14ac:dyDescent="0.25">
      <c r="I70" s="61">
        <v>0</v>
      </c>
      <c r="J70" s="62">
        <v>0</v>
      </c>
      <c r="K70" s="50"/>
      <c r="L70" s="50"/>
      <c r="M70" s="70">
        <v>3</v>
      </c>
      <c r="N70" s="50"/>
      <c r="O70" s="50">
        <f t="shared" si="10"/>
        <v>0</v>
      </c>
      <c r="P70" s="76">
        <v>9</v>
      </c>
      <c r="Q70" s="87">
        <f t="shared" si="11"/>
        <v>0</v>
      </c>
      <c r="R70" s="50"/>
      <c r="S70" s="50">
        <f t="shared" si="12"/>
        <v>0</v>
      </c>
      <c r="T70" s="77">
        <f t="shared" si="13"/>
        <v>9</v>
      </c>
      <c r="U70" s="87">
        <f t="shared" si="14"/>
        <v>0</v>
      </c>
    </row>
    <row r="71" spans="9:21" x14ac:dyDescent="0.25">
      <c r="I71" s="61">
        <v>0</v>
      </c>
      <c r="J71" s="62">
        <v>0</v>
      </c>
      <c r="K71" s="50"/>
      <c r="L71" s="50"/>
      <c r="M71" s="70">
        <v>3</v>
      </c>
      <c r="N71" s="50"/>
      <c r="O71" s="50">
        <f t="shared" si="10"/>
        <v>0</v>
      </c>
      <c r="P71" s="76">
        <v>9</v>
      </c>
      <c r="Q71" s="87">
        <f t="shared" si="11"/>
        <v>0</v>
      </c>
      <c r="R71" s="50"/>
      <c r="S71" s="50">
        <f t="shared" si="12"/>
        <v>0</v>
      </c>
      <c r="T71" s="77">
        <f t="shared" si="13"/>
        <v>9</v>
      </c>
      <c r="U71" s="87">
        <f t="shared" si="14"/>
        <v>0</v>
      </c>
    </row>
    <row r="72" spans="9:21" x14ac:dyDescent="0.25">
      <c r="I72" s="61">
        <v>0</v>
      </c>
      <c r="J72" s="62">
        <v>0</v>
      </c>
      <c r="K72" s="50"/>
      <c r="L72" s="50"/>
      <c r="M72" s="70">
        <v>3</v>
      </c>
      <c r="N72" s="50"/>
      <c r="O72" s="50">
        <f t="shared" si="10"/>
        <v>0</v>
      </c>
      <c r="P72" s="76">
        <v>9</v>
      </c>
      <c r="Q72" s="87">
        <f t="shared" si="11"/>
        <v>0</v>
      </c>
      <c r="R72" s="50"/>
      <c r="S72" s="50">
        <f t="shared" si="12"/>
        <v>0</v>
      </c>
      <c r="T72" s="77">
        <f t="shared" si="13"/>
        <v>9</v>
      </c>
      <c r="U72" s="87">
        <f t="shared" si="14"/>
        <v>0</v>
      </c>
    </row>
    <row r="73" spans="9:21" x14ac:dyDescent="0.25">
      <c r="I73" s="61">
        <v>0</v>
      </c>
      <c r="J73" s="62">
        <v>0</v>
      </c>
      <c r="K73" s="50"/>
      <c r="L73" s="50"/>
      <c r="M73" s="70">
        <v>3</v>
      </c>
      <c r="N73" s="50"/>
      <c r="O73" s="50">
        <f t="shared" si="10"/>
        <v>0</v>
      </c>
      <c r="P73" s="76">
        <v>9</v>
      </c>
      <c r="Q73" s="87">
        <f t="shared" si="11"/>
        <v>0</v>
      </c>
      <c r="R73" s="50"/>
      <c r="S73" s="50">
        <f t="shared" si="12"/>
        <v>0</v>
      </c>
      <c r="T73" s="77">
        <f t="shared" si="13"/>
        <v>9</v>
      </c>
      <c r="U73" s="87">
        <f t="shared" si="14"/>
        <v>0</v>
      </c>
    </row>
    <row r="74" spans="9:21" x14ac:dyDescent="0.25">
      <c r="I74" s="61">
        <v>0</v>
      </c>
      <c r="J74" s="62">
        <v>0</v>
      </c>
      <c r="K74" s="50"/>
      <c r="L74" s="50"/>
      <c r="M74" s="70">
        <v>3</v>
      </c>
      <c r="N74" s="78"/>
      <c r="O74" s="50">
        <f t="shared" si="10"/>
        <v>0</v>
      </c>
      <c r="P74" s="76">
        <v>9</v>
      </c>
      <c r="Q74" s="87">
        <f t="shared" si="11"/>
        <v>0</v>
      </c>
      <c r="R74" s="50"/>
      <c r="S74" s="50">
        <f t="shared" si="12"/>
        <v>0</v>
      </c>
      <c r="T74" s="77">
        <f t="shared" si="13"/>
        <v>9</v>
      </c>
      <c r="U74" s="87">
        <f t="shared" si="14"/>
        <v>0</v>
      </c>
    </row>
    <row r="75" spans="9:21" x14ac:dyDescent="0.25">
      <c r="I75" s="61">
        <v>0</v>
      </c>
      <c r="J75" s="62">
        <v>0</v>
      </c>
      <c r="K75" s="50"/>
      <c r="L75" s="50"/>
      <c r="M75" s="70">
        <v>3</v>
      </c>
      <c r="N75" s="50"/>
      <c r="O75" s="50">
        <f t="shared" si="10"/>
        <v>0</v>
      </c>
      <c r="P75" s="76">
        <v>9</v>
      </c>
      <c r="Q75" s="87">
        <f t="shared" si="11"/>
        <v>0</v>
      </c>
      <c r="R75" s="50"/>
      <c r="S75" s="50">
        <f t="shared" si="12"/>
        <v>0</v>
      </c>
      <c r="T75" s="77">
        <f t="shared" si="13"/>
        <v>9</v>
      </c>
      <c r="U75" s="87">
        <f t="shared" si="14"/>
        <v>0</v>
      </c>
    </row>
    <row r="76" spans="9:21" x14ac:dyDescent="0.25">
      <c r="I76" s="61">
        <v>0</v>
      </c>
      <c r="J76" s="62">
        <v>0</v>
      </c>
      <c r="K76" s="50"/>
      <c r="L76" s="50"/>
      <c r="M76" s="70">
        <v>3</v>
      </c>
      <c r="N76" s="50"/>
      <c r="O76" s="50">
        <f t="shared" si="10"/>
        <v>0</v>
      </c>
      <c r="P76" s="76">
        <v>9</v>
      </c>
      <c r="Q76" s="87">
        <f t="shared" si="11"/>
        <v>0</v>
      </c>
      <c r="R76" s="50"/>
      <c r="S76" s="50">
        <f t="shared" si="12"/>
        <v>0</v>
      </c>
      <c r="T76" s="77">
        <f t="shared" si="13"/>
        <v>9</v>
      </c>
      <c r="U76" s="87">
        <f t="shared" si="14"/>
        <v>0</v>
      </c>
    </row>
  </sheetData>
  <sortState ref="F2:U52">
    <sortCondition ref="U2:U52"/>
  </sortState>
  <mergeCells count="5">
    <mergeCell ref="A1:D1"/>
    <mergeCell ref="A2:A3"/>
    <mergeCell ref="B2:B3"/>
    <mergeCell ref="C2:C3"/>
    <mergeCell ref="D2:D3"/>
  </mergeCells>
  <conditionalFormatting sqref="J2:J76">
    <cfRule type="colorScale" priority="425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4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{A109550C-2FA1-4E2F-9B66-866D08B4621C}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550C-2FA1-4E2F-9B66-866D08B462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Hall_of_Fame</vt:lpstr>
      <vt:lpstr>Plantilla</vt:lpstr>
      <vt:lpstr>Juveniles</vt:lpstr>
      <vt:lpstr>Planning</vt:lpstr>
      <vt:lpstr>Economia</vt:lpstr>
      <vt:lpstr>Capitán</vt:lpstr>
      <vt:lpstr>CA_Calcutator</vt:lpstr>
      <vt:lpstr>EstudioConversion</vt:lpstr>
      <vt:lpstr>Entrenador</vt:lpstr>
      <vt:lpstr>Evaluacion Jugadores</vt:lpstr>
      <vt:lpstr>LAT</vt:lpstr>
      <vt:lpstr>PorteroTitular</vt:lpstr>
      <vt:lpstr>PorteroSuplente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2019-08-19T13:37:38Z</dcterms:modified>
</cp:coreProperties>
</file>