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Personal\HI\projects\current\hattrick\"/>
    </mc:Choice>
  </mc:AlternateContent>
  <xr:revisionPtr revIDLastSave="0" documentId="13_ncr:1_{18EA4302-E30C-49B2-A155-605141AA947F}" xr6:coauthVersionLast="47" xr6:coauthVersionMax="47" xr10:uidLastSave="{00000000-0000-0000-0000-000000000000}"/>
  <bookViews>
    <workbookView xWindow="1080" yWindow="-120" windowWidth="27840" windowHeight="16440" tabRatio="500" activeTab="4" xr2:uid="{00000000-000D-0000-FFFF-FFFF00000000}"/>
  </bookViews>
  <sheets>
    <sheet name="Loko-LUKE" sheetId="38" r:id="rId1"/>
    <sheet name="Luke-handorratrick" sheetId="47" r:id="rId2"/>
    <sheet name="LUKE-Romeo" sheetId="48" r:id="rId3"/>
    <sheet name="Zenit-LUKE" sheetId="49" r:id="rId4"/>
    <sheet name="VADER-SISC" sheetId="50" r:id="rId5"/>
    <sheet name="SIMULADOR_v5" sheetId="31" r:id="rId6"/>
    <sheet name="SIMULADOR_v4" sheetId="10" r:id="rId7"/>
    <sheet name="Eventos" sheetId="32" r:id="rId8"/>
    <sheet name="SIMULADOR_sinJC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253380" val="976" rev="124" rev64="64" revOS="3" revMin="124" revMax="0"/>
      <pm:docPrefs xmlns:pm="smNativeData" id="1595253380" fixedDigits="0" showNotice="1" showFrameBounds="1" autoChart="1" recalcOnPrint="1" recalcOnCopy="1" finalRounding="1" compatTextArt="1" tab="567" useDefinedPrintRange="1" printArea="currentSheet"/>
      <pm:compatibility xmlns:pm="smNativeData" id="1595253380" overlapCells="1"/>
      <pm:defCurrency xmlns:pm="smNativeData" id="1595253380"/>
    </ext>
  </extLst>
</workbook>
</file>

<file path=xl/calcChain.xml><?xml version="1.0" encoding="utf-8"?>
<calcChain xmlns="http://schemas.openxmlformats.org/spreadsheetml/2006/main">
  <c r="B33" i="50" l="1"/>
  <c r="BF48" i="50"/>
  <c r="BF47" i="50"/>
  <c r="BF46" i="50"/>
  <c r="BE45" i="50"/>
  <c r="BE44" i="50"/>
  <c r="BF45" i="50" s="1"/>
  <c r="BD44" i="50"/>
  <c r="BE43" i="50"/>
  <c r="BD43" i="50"/>
  <c r="BC43" i="50"/>
  <c r="BF42" i="50"/>
  <c r="BE42" i="50"/>
  <c r="BF43" i="50" s="1"/>
  <c r="BD42" i="50"/>
  <c r="BC42" i="50"/>
  <c r="BF41" i="50"/>
  <c r="BE41" i="50"/>
  <c r="BD41" i="50"/>
  <c r="BC41" i="50"/>
  <c r="BF40" i="50"/>
  <c r="BE40" i="50"/>
  <c r="BD40" i="50"/>
  <c r="BC40" i="50"/>
  <c r="BC39" i="50"/>
  <c r="AS38" i="50"/>
  <c r="AR38" i="50"/>
  <c r="AQ38" i="50"/>
  <c r="AP38" i="50"/>
  <c r="AO38" i="50"/>
  <c r="AN38" i="50"/>
  <c r="AM38" i="50"/>
  <c r="AL38" i="50"/>
  <c r="AK38" i="50"/>
  <c r="AJ38" i="50"/>
  <c r="AI38" i="50"/>
  <c r="AH38" i="50"/>
  <c r="AG38" i="50"/>
  <c r="AF38" i="50"/>
  <c r="AE38" i="50"/>
  <c r="AD38" i="50"/>
  <c r="AC38" i="50"/>
  <c r="AB38" i="50"/>
  <c r="AA38" i="50"/>
  <c r="Z38" i="50"/>
  <c r="Y38" i="50"/>
  <c r="X38" i="50"/>
  <c r="W38" i="50"/>
  <c r="V38" i="50"/>
  <c r="U38" i="50"/>
  <c r="T38" i="50"/>
  <c r="S38" i="50"/>
  <c r="R38" i="50"/>
  <c r="Q38" i="50"/>
  <c r="P38" i="50"/>
  <c r="O38" i="50"/>
  <c r="N38" i="50"/>
  <c r="M38" i="50"/>
  <c r="L38" i="50"/>
  <c r="K38" i="50"/>
  <c r="J38" i="50"/>
  <c r="I38" i="50"/>
  <c r="H38" i="50"/>
  <c r="G38" i="50"/>
  <c r="BI37" i="50"/>
  <c r="BI43" i="50" s="1"/>
  <c r="BI48" i="50" s="1"/>
  <c r="BI53" i="50" s="1"/>
  <c r="BI56" i="50" s="1"/>
  <c r="BI58" i="50" s="1"/>
  <c r="BI59" i="50" s="1"/>
  <c r="BF34" i="50"/>
  <c r="BF33" i="50"/>
  <c r="C33" i="50"/>
  <c r="C32" i="50"/>
  <c r="B32" i="50"/>
  <c r="BE31" i="50"/>
  <c r="BF32" i="50" s="1"/>
  <c r="BI30" i="50"/>
  <c r="BF30" i="50"/>
  <c r="BE30" i="50"/>
  <c r="BD30" i="50"/>
  <c r="E30" i="50"/>
  <c r="D30" i="50"/>
  <c r="C30" i="50"/>
  <c r="B30" i="50"/>
  <c r="BI29" i="50"/>
  <c r="BI36" i="50" s="1"/>
  <c r="BI42" i="50" s="1"/>
  <c r="BI47" i="50" s="1"/>
  <c r="BI52" i="50" s="1"/>
  <c r="BI55" i="50" s="1"/>
  <c r="BI57" i="50" s="1"/>
  <c r="BM13" i="50" s="1"/>
  <c r="BF29" i="50"/>
  <c r="BE29" i="50"/>
  <c r="BD29" i="50"/>
  <c r="BC29" i="50"/>
  <c r="C29" i="50"/>
  <c r="B29" i="50"/>
  <c r="BI28" i="50"/>
  <c r="BI35" i="50" s="1"/>
  <c r="BI41" i="50" s="1"/>
  <c r="BI46" i="50" s="1"/>
  <c r="BI51" i="50" s="1"/>
  <c r="BI54" i="50" s="1"/>
  <c r="BM12" i="50" s="1"/>
  <c r="BQ47" i="50" s="1"/>
  <c r="BF28" i="50"/>
  <c r="BE28" i="50"/>
  <c r="BD28" i="50"/>
  <c r="BC28" i="50"/>
  <c r="BI27" i="50"/>
  <c r="BI34" i="50" s="1"/>
  <c r="BI40" i="50" s="1"/>
  <c r="BI45" i="50" s="1"/>
  <c r="BI50" i="50" s="1"/>
  <c r="BM11" i="50" s="1"/>
  <c r="BQ38" i="50" s="1"/>
  <c r="BQ46" i="50" s="1"/>
  <c r="BF27" i="50"/>
  <c r="BE27" i="50"/>
  <c r="BD27" i="50"/>
  <c r="BC27" i="50"/>
  <c r="C27" i="50"/>
  <c r="B27" i="50"/>
  <c r="BI26" i="50"/>
  <c r="BI33" i="50" s="1"/>
  <c r="BI39" i="50" s="1"/>
  <c r="BI44" i="50" s="1"/>
  <c r="BM10" i="50" s="1"/>
  <c r="BQ30" i="50" s="1"/>
  <c r="BQ37" i="50" s="1"/>
  <c r="BQ45" i="50" s="1"/>
  <c r="BF26" i="50"/>
  <c r="BE26" i="50"/>
  <c r="BD26" i="50"/>
  <c r="BC26" i="50"/>
  <c r="E26" i="50"/>
  <c r="E27" i="50" s="1"/>
  <c r="D26" i="50"/>
  <c r="D27" i="50" s="1"/>
  <c r="C26" i="50"/>
  <c r="B26" i="50"/>
  <c r="BI25" i="50"/>
  <c r="BI32" i="50" s="1"/>
  <c r="BI38" i="50" s="1"/>
  <c r="BC25" i="50"/>
  <c r="E25" i="50"/>
  <c r="D25" i="50"/>
  <c r="C25" i="50"/>
  <c r="B25" i="50"/>
  <c r="BI24" i="50"/>
  <c r="BI31" i="50" s="1"/>
  <c r="BM8" i="50" s="1"/>
  <c r="BQ18" i="50" s="1"/>
  <c r="BQ22" i="50" s="1"/>
  <c r="BQ28" i="50" s="1"/>
  <c r="BQ35" i="50" s="1"/>
  <c r="BQ43" i="50" s="1"/>
  <c r="BI23" i="50"/>
  <c r="B22" i="50"/>
  <c r="C22" i="50" s="1"/>
  <c r="G14" i="50" s="1"/>
  <c r="B20" i="50"/>
  <c r="B21" i="50" s="1"/>
  <c r="W16" i="50"/>
  <c r="V16" i="50"/>
  <c r="R16" i="50"/>
  <c r="Q16" i="50"/>
  <c r="P16" i="50"/>
  <c r="W15" i="50"/>
  <c r="V15" i="50"/>
  <c r="Q15" i="50"/>
  <c r="P15" i="50"/>
  <c r="T15" i="50" s="1"/>
  <c r="W14" i="50"/>
  <c r="V14" i="50"/>
  <c r="Q14" i="50"/>
  <c r="P14" i="50"/>
  <c r="Q13" i="50"/>
  <c r="P13" i="50"/>
  <c r="W12" i="50"/>
  <c r="V12" i="50"/>
  <c r="Q12" i="50"/>
  <c r="P12" i="50"/>
  <c r="Q11" i="50"/>
  <c r="P11" i="50"/>
  <c r="W10" i="50"/>
  <c r="V10" i="50"/>
  <c r="BM9" i="50"/>
  <c r="BQ23" i="50" s="1"/>
  <c r="BQ29" i="50" s="1"/>
  <c r="BQ36" i="50" s="1"/>
  <c r="BQ44" i="50" s="1"/>
  <c r="W9" i="50"/>
  <c r="V9" i="50"/>
  <c r="Q9" i="50"/>
  <c r="P9" i="50"/>
  <c r="W8" i="50"/>
  <c r="V8" i="50"/>
  <c r="Q8" i="50"/>
  <c r="P8" i="50"/>
  <c r="BM7" i="50"/>
  <c r="BQ13" i="50" s="1"/>
  <c r="BQ17" i="50" s="1"/>
  <c r="BQ21" i="50" s="1"/>
  <c r="BQ27" i="50" s="1"/>
  <c r="BQ34" i="50" s="1"/>
  <c r="BQ42" i="50" s="1"/>
  <c r="W7" i="50"/>
  <c r="V7" i="50"/>
  <c r="Q7" i="50"/>
  <c r="P7" i="50"/>
  <c r="BQ6" i="50"/>
  <c r="BQ8" i="50" s="1"/>
  <c r="BQ11" i="50" s="1"/>
  <c r="BQ15" i="50" s="1"/>
  <c r="BQ19" i="50" s="1"/>
  <c r="BQ25" i="50" s="1"/>
  <c r="BQ32" i="50" s="1"/>
  <c r="BQ40" i="50" s="1"/>
  <c r="BM6" i="50"/>
  <c r="BQ9" i="50" s="1"/>
  <c r="BQ12" i="50" s="1"/>
  <c r="BQ16" i="50" s="1"/>
  <c r="BQ20" i="50" s="1"/>
  <c r="BQ26" i="50" s="1"/>
  <c r="BQ33" i="50" s="1"/>
  <c r="BQ41" i="50" s="1"/>
  <c r="W6" i="50"/>
  <c r="V6" i="50"/>
  <c r="Q6" i="50"/>
  <c r="P6" i="50"/>
  <c r="BQ5" i="50"/>
  <c r="BQ7" i="50" s="1"/>
  <c r="BQ10" i="50" s="1"/>
  <c r="BQ14" i="50" s="1"/>
  <c r="BI49" i="50" s="1"/>
  <c r="BQ24" i="50" s="1"/>
  <c r="BQ31" i="50" s="1"/>
  <c r="BQ39" i="50" s="1"/>
  <c r="BM14" i="50" s="1"/>
  <c r="W5" i="50"/>
  <c r="V5" i="50"/>
  <c r="Q5" i="50"/>
  <c r="P5" i="50"/>
  <c r="W4" i="50"/>
  <c r="V4" i="50"/>
  <c r="Q4" i="50"/>
  <c r="P4" i="50"/>
  <c r="D3" i="50"/>
  <c r="Q1" i="50"/>
  <c r="P1" i="50"/>
  <c r="N1" i="50"/>
  <c r="N7" i="50" s="1"/>
  <c r="B22" i="49"/>
  <c r="BF48" i="49"/>
  <c r="BF47" i="49"/>
  <c r="BE45" i="49"/>
  <c r="BF46" i="49" s="1"/>
  <c r="BE44" i="49"/>
  <c r="BF45" i="49" s="1"/>
  <c r="BD44" i="49"/>
  <c r="BE43" i="49"/>
  <c r="BF44" i="49" s="1"/>
  <c r="BD43" i="49"/>
  <c r="BC43" i="49"/>
  <c r="BE42" i="49"/>
  <c r="BF43" i="49" s="1"/>
  <c r="BD42" i="49"/>
  <c r="BC42" i="49"/>
  <c r="BF41" i="49"/>
  <c r="BE41" i="49"/>
  <c r="BF42" i="49" s="1"/>
  <c r="BD41" i="49"/>
  <c r="BC41" i="49"/>
  <c r="BF40" i="49"/>
  <c r="BE40" i="49"/>
  <c r="BD40" i="49"/>
  <c r="BC40" i="49"/>
  <c r="BC39" i="49"/>
  <c r="AS38" i="49"/>
  <c r="AR38" i="49"/>
  <c r="AQ38" i="49"/>
  <c r="AP38" i="49"/>
  <c r="AO38" i="49"/>
  <c r="AN38" i="49"/>
  <c r="AM38" i="49"/>
  <c r="AL38" i="49"/>
  <c r="AK38" i="49"/>
  <c r="AJ38" i="49"/>
  <c r="AI38" i="49"/>
  <c r="AH38" i="49"/>
  <c r="AG38" i="49"/>
  <c r="AF38" i="49"/>
  <c r="AE38" i="49"/>
  <c r="AD38" i="49"/>
  <c r="AC38" i="49"/>
  <c r="AB38" i="49"/>
  <c r="AA38" i="49"/>
  <c r="Z38" i="49"/>
  <c r="Y38" i="49"/>
  <c r="X38" i="49"/>
  <c r="W38" i="49"/>
  <c r="V38" i="49"/>
  <c r="U38" i="49"/>
  <c r="T38" i="49"/>
  <c r="S38" i="49"/>
  <c r="R38" i="49"/>
  <c r="Q38" i="49"/>
  <c r="P38" i="49"/>
  <c r="O38" i="49"/>
  <c r="N38" i="49"/>
  <c r="M38" i="49"/>
  <c r="L38" i="49"/>
  <c r="K38" i="49"/>
  <c r="J38" i="49"/>
  <c r="I38" i="49"/>
  <c r="H38" i="49"/>
  <c r="G38" i="49"/>
  <c r="BI35" i="49"/>
  <c r="BI41" i="49" s="1"/>
  <c r="BI46" i="49" s="1"/>
  <c r="BI51" i="49" s="1"/>
  <c r="BI54" i="49" s="1"/>
  <c r="BM12" i="49" s="1"/>
  <c r="BQ47" i="49" s="1"/>
  <c r="BF34" i="49"/>
  <c r="BI33" i="49"/>
  <c r="BI39" i="49" s="1"/>
  <c r="BI44" i="49" s="1"/>
  <c r="BM10" i="49" s="1"/>
  <c r="BQ30" i="49" s="1"/>
  <c r="BQ37" i="49" s="1"/>
  <c r="BQ45" i="49" s="1"/>
  <c r="BF33" i="49"/>
  <c r="C33" i="49"/>
  <c r="B33" i="49"/>
  <c r="BF32" i="49"/>
  <c r="C32" i="49"/>
  <c r="B32" i="49"/>
  <c r="BE31" i="49"/>
  <c r="BI30" i="49"/>
  <c r="BI37" i="49" s="1"/>
  <c r="BI43" i="49" s="1"/>
  <c r="BI48" i="49" s="1"/>
  <c r="BI53" i="49" s="1"/>
  <c r="BI56" i="49" s="1"/>
  <c r="BI58" i="49" s="1"/>
  <c r="BI59" i="49" s="1"/>
  <c r="BE30" i="49"/>
  <c r="BF31" i="49" s="1"/>
  <c r="BD30" i="49"/>
  <c r="E30" i="49"/>
  <c r="D30" i="49"/>
  <c r="C30" i="49"/>
  <c r="B30" i="49"/>
  <c r="BI29" i="49"/>
  <c r="BI36" i="49" s="1"/>
  <c r="BI42" i="49" s="1"/>
  <c r="BI47" i="49" s="1"/>
  <c r="BI52" i="49" s="1"/>
  <c r="BI55" i="49" s="1"/>
  <c r="BI57" i="49" s="1"/>
  <c r="BM13" i="49" s="1"/>
  <c r="BE29" i="49"/>
  <c r="BF30" i="49" s="1"/>
  <c r="BD29" i="49"/>
  <c r="BC29" i="49"/>
  <c r="C29" i="49"/>
  <c r="B29" i="49"/>
  <c r="BI28" i="49"/>
  <c r="BE28" i="49"/>
  <c r="BF29" i="49" s="1"/>
  <c r="BD28" i="49"/>
  <c r="BC28" i="49"/>
  <c r="BI27" i="49"/>
  <c r="BI34" i="49" s="1"/>
  <c r="BI40" i="49" s="1"/>
  <c r="BI45" i="49" s="1"/>
  <c r="BI50" i="49" s="1"/>
  <c r="BM11" i="49" s="1"/>
  <c r="BQ38" i="49" s="1"/>
  <c r="BQ46" i="49" s="1"/>
  <c r="BF27" i="49"/>
  <c r="BE27" i="49"/>
  <c r="BF28" i="49" s="1"/>
  <c r="BD27" i="49"/>
  <c r="BC27" i="49"/>
  <c r="C27" i="49"/>
  <c r="B27" i="49"/>
  <c r="BI26" i="49"/>
  <c r="BF26" i="49"/>
  <c r="BE26" i="49"/>
  <c r="BD26" i="49"/>
  <c r="BC26" i="49"/>
  <c r="E26" i="49"/>
  <c r="E27" i="49" s="1"/>
  <c r="D26" i="49"/>
  <c r="D27" i="49" s="1"/>
  <c r="C26" i="49"/>
  <c r="B26" i="49"/>
  <c r="BI25" i="49"/>
  <c r="BI32" i="49" s="1"/>
  <c r="BI38" i="49" s="1"/>
  <c r="BC25" i="49"/>
  <c r="E25" i="49"/>
  <c r="D25" i="49"/>
  <c r="C25" i="49"/>
  <c r="B25" i="49"/>
  <c r="BI24" i="49"/>
  <c r="BI31" i="49" s="1"/>
  <c r="BI23" i="49"/>
  <c r="B20" i="49"/>
  <c r="B21" i="49" s="1"/>
  <c r="W16" i="49"/>
  <c r="V16" i="49"/>
  <c r="R16" i="49"/>
  <c r="Q16" i="49"/>
  <c r="P16" i="49"/>
  <c r="W15" i="49"/>
  <c r="V15" i="49"/>
  <c r="Q15" i="49"/>
  <c r="P15" i="49"/>
  <c r="T15" i="49" s="1"/>
  <c r="W14" i="49"/>
  <c r="V14" i="49"/>
  <c r="Q14" i="49"/>
  <c r="P14" i="49"/>
  <c r="Q13" i="49"/>
  <c r="P13" i="49"/>
  <c r="W12" i="49"/>
  <c r="V12" i="49"/>
  <c r="Q12" i="49"/>
  <c r="P12" i="49"/>
  <c r="Q11" i="49"/>
  <c r="P11" i="49"/>
  <c r="W10" i="49"/>
  <c r="V10" i="49"/>
  <c r="BM9" i="49"/>
  <c r="BQ23" i="49" s="1"/>
  <c r="BQ29" i="49" s="1"/>
  <c r="BQ36" i="49" s="1"/>
  <c r="BQ44" i="49" s="1"/>
  <c r="W9" i="49"/>
  <c r="V9" i="49"/>
  <c r="Q9" i="49"/>
  <c r="P9" i="49"/>
  <c r="BM8" i="49"/>
  <c r="BQ18" i="49" s="1"/>
  <c r="BQ22" i="49" s="1"/>
  <c r="BQ28" i="49" s="1"/>
  <c r="BQ35" i="49" s="1"/>
  <c r="BQ43" i="49" s="1"/>
  <c r="W8" i="49"/>
  <c r="V8" i="49"/>
  <c r="Q8" i="49"/>
  <c r="P8" i="49"/>
  <c r="BM7" i="49"/>
  <c r="BQ13" i="49" s="1"/>
  <c r="BQ17" i="49" s="1"/>
  <c r="BQ21" i="49" s="1"/>
  <c r="BQ27" i="49" s="1"/>
  <c r="BQ34" i="49" s="1"/>
  <c r="BQ42" i="49" s="1"/>
  <c r="W7" i="49"/>
  <c r="V7" i="49"/>
  <c r="Q7" i="49"/>
  <c r="P7" i="49"/>
  <c r="BQ6" i="49"/>
  <c r="BQ8" i="49" s="1"/>
  <c r="BQ11" i="49" s="1"/>
  <c r="BQ15" i="49" s="1"/>
  <c r="BQ19" i="49" s="1"/>
  <c r="BQ25" i="49" s="1"/>
  <c r="BQ32" i="49" s="1"/>
  <c r="BQ40" i="49" s="1"/>
  <c r="BM6" i="49"/>
  <c r="BQ9" i="49" s="1"/>
  <c r="BQ12" i="49" s="1"/>
  <c r="BQ16" i="49" s="1"/>
  <c r="BQ20" i="49" s="1"/>
  <c r="BQ26" i="49" s="1"/>
  <c r="BQ33" i="49" s="1"/>
  <c r="BQ41" i="49" s="1"/>
  <c r="W6" i="49"/>
  <c r="V6" i="49"/>
  <c r="Q6" i="49"/>
  <c r="P6" i="49"/>
  <c r="BQ5" i="49"/>
  <c r="BQ7" i="49" s="1"/>
  <c r="BQ10" i="49" s="1"/>
  <c r="BQ14" i="49" s="1"/>
  <c r="BI49" i="49" s="1"/>
  <c r="BQ24" i="49" s="1"/>
  <c r="BQ31" i="49" s="1"/>
  <c r="BQ39" i="49" s="1"/>
  <c r="BM14" i="49" s="1"/>
  <c r="W5" i="49"/>
  <c r="V5" i="49"/>
  <c r="Q5" i="49"/>
  <c r="P5" i="49"/>
  <c r="W4" i="49"/>
  <c r="V4" i="49"/>
  <c r="Q4" i="49"/>
  <c r="P4" i="49"/>
  <c r="D3" i="49"/>
  <c r="Q1" i="49"/>
  <c r="P1" i="49"/>
  <c r="N1" i="49"/>
  <c r="N13" i="49" s="1"/>
  <c r="BF48" i="48"/>
  <c r="BF47" i="48"/>
  <c r="BQ46" i="48"/>
  <c r="BI45" i="48"/>
  <c r="BI50" i="48" s="1"/>
  <c r="BM11" i="48" s="1"/>
  <c r="BQ38" i="48" s="1"/>
  <c r="BE45" i="48"/>
  <c r="BF46" i="48" s="1"/>
  <c r="BI44" i="48"/>
  <c r="BM10" i="48" s="1"/>
  <c r="BQ30" i="48" s="1"/>
  <c r="BQ37" i="48" s="1"/>
  <c r="BQ45" i="48" s="1"/>
  <c r="BE44" i="48"/>
  <c r="BD44" i="48"/>
  <c r="BE43" i="48"/>
  <c r="BD43" i="48"/>
  <c r="BC43" i="48"/>
  <c r="BF42" i="48"/>
  <c r="BE42" i="48"/>
  <c r="BF43" i="48" s="1"/>
  <c r="BD42" i="48"/>
  <c r="BC42" i="48"/>
  <c r="BI41" i="48"/>
  <c r="BI46" i="48" s="1"/>
  <c r="BI51" i="48" s="1"/>
  <c r="BI54" i="48" s="1"/>
  <c r="BM12" i="48" s="1"/>
  <c r="BQ47" i="48" s="1"/>
  <c r="BF41" i="48"/>
  <c r="BE41" i="48"/>
  <c r="BD41" i="48"/>
  <c r="BC41" i="48"/>
  <c r="BF40" i="48"/>
  <c r="BE40" i="48"/>
  <c r="BD40" i="48"/>
  <c r="BC40" i="48"/>
  <c r="BC39" i="48"/>
  <c r="AS38" i="48"/>
  <c r="AR38" i="48"/>
  <c r="AQ38" i="48"/>
  <c r="AP38" i="48"/>
  <c r="AO38" i="48"/>
  <c r="AN38" i="48"/>
  <c r="AM38" i="48"/>
  <c r="AL38" i="48"/>
  <c r="AK38" i="48"/>
  <c r="AJ38" i="48"/>
  <c r="AI38" i="48"/>
  <c r="AH38" i="48"/>
  <c r="AG38" i="48"/>
  <c r="AF38" i="48"/>
  <c r="AE38" i="48"/>
  <c r="AD38" i="48"/>
  <c r="AC38" i="48"/>
  <c r="AB38" i="48"/>
  <c r="AA38" i="48"/>
  <c r="Z38" i="48"/>
  <c r="Y38" i="48"/>
  <c r="X38" i="48"/>
  <c r="W38" i="48"/>
  <c r="V38" i="48"/>
  <c r="U38" i="48"/>
  <c r="T38" i="48"/>
  <c r="S38" i="48"/>
  <c r="R38" i="48"/>
  <c r="Q38" i="48"/>
  <c r="P38" i="48"/>
  <c r="O38" i="48"/>
  <c r="N38" i="48"/>
  <c r="M38" i="48"/>
  <c r="L38" i="48"/>
  <c r="K38" i="48"/>
  <c r="J38" i="48"/>
  <c r="I38" i="48"/>
  <c r="H38" i="48"/>
  <c r="G38" i="48"/>
  <c r="BF34" i="48"/>
  <c r="BF33" i="48"/>
  <c r="C33" i="48"/>
  <c r="B33" i="48"/>
  <c r="BI32" i="48"/>
  <c r="BI38" i="48" s="1"/>
  <c r="BM9" i="48" s="1"/>
  <c r="BQ23" i="48" s="1"/>
  <c r="BQ29" i="48" s="1"/>
  <c r="BQ36" i="48" s="1"/>
  <c r="BQ44" i="48" s="1"/>
  <c r="C32" i="48"/>
  <c r="B32" i="48"/>
  <c r="BE31" i="48"/>
  <c r="BF32" i="48" s="1"/>
  <c r="BI30" i="48"/>
  <c r="BI37" i="48" s="1"/>
  <c r="BI43" i="48" s="1"/>
  <c r="BI48" i="48" s="1"/>
  <c r="BI53" i="48" s="1"/>
  <c r="BI56" i="48" s="1"/>
  <c r="BI58" i="48" s="1"/>
  <c r="BI59" i="48" s="1"/>
  <c r="BF30" i="48"/>
  <c r="BE30" i="48"/>
  <c r="BD30" i="48"/>
  <c r="E30" i="48"/>
  <c r="D30" i="48"/>
  <c r="C30" i="48"/>
  <c r="B30" i="48"/>
  <c r="BI29" i="48"/>
  <c r="BI36" i="48" s="1"/>
  <c r="BI42" i="48" s="1"/>
  <c r="BI47" i="48" s="1"/>
  <c r="BI52" i="48" s="1"/>
  <c r="BI55" i="48" s="1"/>
  <c r="BI57" i="48" s="1"/>
  <c r="BM13" i="48" s="1"/>
  <c r="BF29" i="48"/>
  <c r="BE29" i="48"/>
  <c r="BD29" i="48"/>
  <c r="BC29" i="48"/>
  <c r="C29" i="48"/>
  <c r="B29" i="48"/>
  <c r="BI28" i="48"/>
  <c r="BI35" i="48" s="1"/>
  <c r="BF28" i="48"/>
  <c r="BE28" i="48"/>
  <c r="BD28" i="48"/>
  <c r="BC28" i="48"/>
  <c r="BI27" i="48"/>
  <c r="BI34" i="48" s="1"/>
  <c r="BI40" i="48" s="1"/>
  <c r="BF27" i="48"/>
  <c r="BE27" i="48"/>
  <c r="BD27" i="48"/>
  <c r="BC27" i="48"/>
  <c r="E27" i="48"/>
  <c r="C27" i="48"/>
  <c r="B27" i="48"/>
  <c r="BI26" i="48"/>
  <c r="BI33" i="48" s="1"/>
  <c r="BI39" i="48" s="1"/>
  <c r="BF26" i="48"/>
  <c r="BE26" i="48"/>
  <c r="BD26" i="48"/>
  <c r="BC26" i="48"/>
  <c r="E26" i="48"/>
  <c r="D26" i="48"/>
  <c r="D27" i="48" s="1"/>
  <c r="D23" i="48" s="1"/>
  <c r="C26" i="48"/>
  <c r="B26" i="48"/>
  <c r="BI25" i="48"/>
  <c r="BC25" i="48"/>
  <c r="E25" i="48"/>
  <c r="E23" i="48" s="1"/>
  <c r="D25" i="48"/>
  <c r="C25" i="48"/>
  <c r="B25" i="48"/>
  <c r="BI24" i="48"/>
  <c r="BI31" i="48" s="1"/>
  <c r="BM8" i="48" s="1"/>
  <c r="BQ18" i="48" s="1"/>
  <c r="BQ22" i="48" s="1"/>
  <c r="BQ28" i="48" s="1"/>
  <c r="BQ35" i="48" s="1"/>
  <c r="BQ43" i="48" s="1"/>
  <c r="BI23" i="48"/>
  <c r="B22" i="48"/>
  <c r="C22" i="48" s="1"/>
  <c r="G14" i="48" s="1"/>
  <c r="B20" i="48"/>
  <c r="B21" i="48" s="1"/>
  <c r="W16" i="48"/>
  <c r="V16" i="48"/>
  <c r="R16" i="48"/>
  <c r="Q16" i="48"/>
  <c r="P16" i="48"/>
  <c r="W15" i="48"/>
  <c r="V15" i="48"/>
  <c r="Q15" i="48"/>
  <c r="P15" i="48"/>
  <c r="T15" i="48" s="1"/>
  <c r="W14" i="48"/>
  <c r="V14" i="48"/>
  <c r="Q14" i="48"/>
  <c r="P14" i="48"/>
  <c r="Q13" i="48"/>
  <c r="P13" i="48"/>
  <c r="W12" i="48"/>
  <c r="V12" i="48"/>
  <c r="Q12" i="48"/>
  <c r="P12" i="48"/>
  <c r="Q11" i="48"/>
  <c r="P11" i="48"/>
  <c r="W10" i="48"/>
  <c r="V10" i="48"/>
  <c r="W9" i="48"/>
  <c r="V9" i="48"/>
  <c r="Q9" i="48"/>
  <c r="P9" i="48"/>
  <c r="BQ8" i="48"/>
  <c r="BQ11" i="48" s="1"/>
  <c r="BQ15" i="48" s="1"/>
  <c r="BQ19" i="48" s="1"/>
  <c r="BQ25" i="48" s="1"/>
  <c r="BQ32" i="48" s="1"/>
  <c r="BQ40" i="48" s="1"/>
  <c r="W8" i="48"/>
  <c r="V8" i="48"/>
  <c r="Q8" i="48"/>
  <c r="P8" i="48"/>
  <c r="BQ7" i="48"/>
  <c r="BQ10" i="48" s="1"/>
  <c r="BQ14" i="48" s="1"/>
  <c r="BI49" i="48" s="1"/>
  <c r="BQ24" i="48" s="1"/>
  <c r="BQ31" i="48" s="1"/>
  <c r="BQ39" i="48" s="1"/>
  <c r="BM14" i="48" s="1"/>
  <c r="BM7" i="48"/>
  <c r="BQ13" i="48" s="1"/>
  <c r="BQ17" i="48" s="1"/>
  <c r="BQ21" i="48" s="1"/>
  <c r="BQ27" i="48" s="1"/>
  <c r="BQ34" i="48" s="1"/>
  <c r="BQ42" i="48" s="1"/>
  <c r="W7" i="48"/>
  <c r="V7" i="48"/>
  <c r="Q7" i="48"/>
  <c r="P7" i="48"/>
  <c r="BQ6" i="48"/>
  <c r="BM6" i="48"/>
  <c r="BQ9" i="48" s="1"/>
  <c r="BQ12" i="48" s="1"/>
  <c r="BQ16" i="48" s="1"/>
  <c r="BQ20" i="48" s="1"/>
  <c r="BQ26" i="48" s="1"/>
  <c r="BQ33" i="48" s="1"/>
  <c r="BQ41" i="48" s="1"/>
  <c r="W6" i="48"/>
  <c r="V6" i="48"/>
  <c r="Q6" i="48"/>
  <c r="P6" i="48"/>
  <c r="BQ5" i="48"/>
  <c r="W5" i="48"/>
  <c r="V5" i="48"/>
  <c r="Q5" i="48"/>
  <c r="P5" i="48"/>
  <c r="W4" i="48"/>
  <c r="V4" i="48"/>
  <c r="Q4" i="48"/>
  <c r="P4" i="48"/>
  <c r="D3" i="48"/>
  <c r="Q1" i="48"/>
  <c r="P1" i="48"/>
  <c r="N1" i="48"/>
  <c r="N12" i="48" s="1"/>
  <c r="BF48" i="47"/>
  <c r="BF47" i="47"/>
  <c r="BF46" i="47"/>
  <c r="BF45" i="47"/>
  <c r="BE45" i="47"/>
  <c r="BF44" i="47"/>
  <c r="BE44" i="47"/>
  <c r="BD44" i="47"/>
  <c r="BE43" i="47"/>
  <c r="BD43" i="47"/>
  <c r="BC43" i="47"/>
  <c r="BE42" i="47"/>
  <c r="BF43" i="47" s="1"/>
  <c r="BD42" i="47"/>
  <c r="BC42" i="47"/>
  <c r="BF41" i="47"/>
  <c r="BE41" i="47"/>
  <c r="BF42" i="47" s="1"/>
  <c r="BD41" i="47"/>
  <c r="BC41" i="47"/>
  <c r="BF40" i="47"/>
  <c r="BE40" i="47"/>
  <c r="BD40" i="47"/>
  <c r="BC40" i="47"/>
  <c r="BC39" i="47"/>
  <c r="AS38" i="47"/>
  <c r="AR38" i="47"/>
  <c r="AQ38" i="47"/>
  <c r="AP38" i="47"/>
  <c r="AO38" i="47"/>
  <c r="AN38" i="47"/>
  <c r="AM38" i="47"/>
  <c r="AL38" i="47"/>
  <c r="AK38" i="47"/>
  <c r="AJ38" i="47"/>
  <c r="AI38" i="47"/>
  <c r="AH38" i="47"/>
  <c r="AG38" i="47"/>
  <c r="AF38" i="47"/>
  <c r="AE38" i="47"/>
  <c r="AD38" i="47"/>
  <c r="AC38" i="47"/>
  <c r="AB38" i="47"/>
  <c r="AA38" i="47"/>
  <c r="Z38" i="47"/>
  <c r="Y38" i="47"/>
  <c r="X38" i="47"/>
  <c r="W38" i="47"/>
  <c r="V38" i="47"/>
  <c r="U38" i="47"/>
  <c r="T38" i="47"/>
  <c r="S38" i="47"/>
  <c r="R38" i="47"/>
  <c r="Q38" i="47"/>
  <c r="P38" i="47"/>
  <c r="O38" i="47"/>
  <c r="N38" i="47"/>
  <c r="M38" i="47"/>
  <c r="L38" i="47"/>
  <c r="K38" i="47"/>
  <c r="J38" i="47"/>
  <c r="I38" i="47"/>
  <c r="H38" i="47"/>
  <c r="G38" i="47"/>
  <c r="BI35" i="47"/>
  <c r="BI41" i="47" s="1"/>
  <c r="BI46" i="47" s="1"/>
  <c r="BI51" i="47" s="1"/>
  <c r="BI54" i="47" s="1"/>
  <c r="BM12" i="47" s="1"/>
  <c r="BQ47" i="47" s="1"/>
  <c r="BF34" i="47"/>
  <c r="BI33" i="47"/>
  <c r="BI39" i="47" s="1"/>
  <c r="BI44" i="47" s="1"/>
  <c r="BF33" i="47"/>
  <c r="C33" i="47"/>
  <c r="B33" i="47"/>
  <c r="BF32" i="47"/>
  <c r="C32" i="47"/>
  <c r="B32" i="47"/>
  <c r="BF31" i="47"/>
  <c r="BE31" i="47"/>
  <c r="BI30" i="47"/>
  <c r="BI37" i="47" s="1"/>
  <c r="BI43" i="47" s="1"/>
  <c r="BI48" i="47" s="1"/>
  <c r="BI53" i="47" s="1"/>
  <c r="BI56" i="47" s="1"/>
  <c r="BI58" i="47" s="1"/>
  <c r="BI59" i="47" s="1"/>
  <c r="BE30" i="47"/>
  <c r="BD30" i="47"/>
  <c r="E30" i="47"/>
  <c r="D30" i="47"/>
  <c r="C30" i="47"/>
  <c r="B30" i="47"/>
  <c r="BI29" i="47"/>
  <c r="BI36" i="47" s="1"/>
  <c r="BI42" i="47" s="1"/>
  <c r="BI47" i="47" s="1"/>
  <c r="BI52" i="47" s="1"/>
  <c r="BI55" i="47" s="1"/>
  <c r="BI57" i="47" s="1"/>
  <c r="BM13" i="47" s="1"/>
  <c r="BE29" i="47"/>
  <c r="BF30" i="47" s="1"/>
  <c r="BD29" i="47"/>
  <c r="BC29" i="47"/>
  <c r="C29" i="47"/>
  <c r="B29" i="47"/>
  <c r="BI28" i="47"/>
  <c r="BE28" i="47"/>
  <c r="BF29" i="47" s="1"/>
  <c r="BD28" i="47"/>
  <c r="BC28" i="47"/>
  <c r="BI27" i="47"/>
  <c r="BI34" i="47" s="1"/>
  <c r="BI40" i="47" s="1"/>
  <c r="BI45" i="47" s="1"/>
  <c r="BI50" i="47" s="1"/>
  <c r="BM11" i="47" s="1"/>
  <c r="BQ38" i="47" s="1"/>
  <c r="BQ46" i="47" s="1"/>
  <c r="BF27" i="47"/>
  <c r="BE27" i="47"/>
  <c r="BF28" i="47" s="1"/>
  <c r="BD27" i="47"/>
  <c r="BC27" i="47"/>
  <c r="D27" i="47"/>
  <c r="C27" i="47"/>
  <c r="B27" i="47"/>
  <c r="BI26" i="47"/>
  <c r="BF26" i="47"/>
  <c r="BE26" i="47"/>
  <c r="BD26" i="47"/>
  <c r="BC26" i="47"/>
  <c r="E26" i="47"/>
  <c r="E27" i="47" s="1"/>
  <c r="D26" i="47"/>
  <c r="C26" i="47"/>
  <c r="B26" i="47"/>
  <c r="BI25" i="47"/>
  <c r="BI32" i="47" s="1"/>
  <c r="BI38" i="47" s="1"/>
  <c r="BM9" i="47" s="1"/>
  <c r="BQ23" i="47" s="1"/>
  <c r="BQ29" i="47" s="1"/>
  <c r="BQ36" i="47" s="1"/>
  <c r="BQ44" i="47" s="1"/>
  <c r="BC25" i="47"/>
  <c r="E25" i="47"/>
  <c r="D25" i="47"/>
  <c r="C25" i="47"/>
  <c r="C31" i="47" s="1"/>
  <c r="W39" i="47" s="1"/>
  <c r="B25" i="47"/>
  <c r="BI24" i="47"/>
  <c r="BI31" i="47" s="1"/>
  <c r="BI23" i="47"/>
  <c r="B22" i="47"/>
  <c r="C22" i="47" s="1"/>
  <c r="G14" i="47" s="1"/>
  <c r="B20" i="47"/>
  <c r="B21" i="47" s="1"/>
  <c r="W16" i="47"/>
  <c r="V16" i="47"/>
  <c r="R16" i="47"/>
  <c r="Q16" i="47"/>
  <c r="P16" i="47"/>
  <c r="W15" i="47"/>
  <c r="V15" i="47"/>
  <c r="U15" i="47"/>
  <c r="Y15" i="47" s="1"/>
  <c r="AG15" i="47" s="1"/>
  <c r="Q15" i="47"/>
  <c r="P15" i="47"/>
  <c r="W14" i="47"/>
  <c r="V14" i="47"/>
  <c r="Q14" i="47"/>
  <c r="P14" i="47"/>
  <c r="Q13" i="47"/>
  <c r="P13" i="47"/>
  <c r="N13" i="47"/>
  <c r="G13" i="47"/>
  <c r="W12" i="47"/>
  <c r="V12" i="47"/>
  <c r="Q12" i="47"/>
  <c r="P12" i="47"/>
  <c r="R12" i="47" s="1"/>
  <c r="Q11" i="47"/>
  <c r="P11" i="47"/>
  <c r="BM10" i="47"/>
  <c r="BQ30" i="47" s="1"/>
  <c r="BQ37" i="47" s="1"/>
  <c r="BQ45" i="47" s="1"/>
  <c r="W10" i="47"/>
  <c r="V10" i="47"/>
  <c r="W9" i="47"/>
  <c r="V9" i="47"/>
  <c r="Q9" i="47"/>
  <c r="P9" i="47"/>
  <c r="R9" i="47" s="1"/>
  <c r="N9" i="47"/>
  <c r="BM8" i="47"/>
  <c r="BQ18" i="47" s="1"/>
  <c r="BQ22" i="47" s="1"/>
  <c r="BQ28" i="47" s="1"/>
  <c r="BQ35" i="47" s="1"/>
  <c r="BQ43" i="47" s="1"/>
  <c r="W8" i="47"/>
  <c r="V8" i="47"/>
  <c r="Q8" i="47"/>
  <c r="P8" i="47"/>
  <c r="BM7" i="47"/>
  <c r="BQ13" i="47" s="1"/>
  <c r="BQ17" i="47" s="1"/>
  <c r="BQ21" i="47" s="1"/>
  <c r="BQ27" i="47" s="1"/>
  <c r="BQ34" i="47" s="1"/>
  <c r="BQ42" i="47" s="1"/>
  <c r="W7" i="47"/>
  <c r="V7" i="47"/>
  <c r="Q7" i="47"/>
  <c r="P7" i="47"/>
  <c r="R7" i="47" s="1"/>
  <c r="BQ6" i="47"/>
  <c r="BQ8" i="47" s="1"/>
  <c r="BQ11" i="47" s="1"/>
  <c r="BQ15" i="47" s="1"/>
  <c r="BQ19" i="47" s="1"/>
  <c r="BQ25" i="47" s="1"/>
  <c r="BQ32" i="47" s="1"/>
  <c r="BQ40" i="47" s="1"/>
  <c r="BM6" i="47"/>
  <c r="BQ9" i="47" s="1"/>
  <c r="BQ12" i="47" s="1"/>
  <c r="BQ16" i="47" s="1"/>
  <c r="BQ20" i="47" s="1"/>
  <c r="BQ26" i="47" s="1"/>
  <c r="BQ33" i="47" s="1"/>
  <c r="BQ41" i="47" s="1"/>
  <c r="W6" i="47"/>
  <c r="V6" i="47"/>
  <c r="Q6" i="47"/>
  <c r="P6" i="47"/>
  <c r="R6" i="47" s="1"/>
  <c r="BQ5" i="47"/>
  <c r="BQ7" i="47" s="1"/>
  <c r="BQ10" i="47" s="1"/>
  <c r="BQ14" i="47" s="1"/>
  <c r="BI49" i="47" s="1"/>
  <c r="BQ24" i="47" s="1"/>
  <c r="BQ31" i="47" s="1"/>
  <c r="BQ39" i="47" s="1"/>
  <c r="BM14" i="47" s="1"/>
  <c r="W5" i="47"/>
  <c r="V5" i="47"/>
  <c r="Q5" i="47"/>
  <c r="P5" i="47"/>
  <c r="R5" i="47" s="1"/>
  <c r="N5" i="47"/>
  <c r="W4" i="47"/>
  <c r="V4" i="47"/>
  <c r="R4" i="47"/>
  <c r="Q4" i="47"/>
  <c r="P4" i="47"/>
  <c r="N4" i="47"/>
  <c r="D3" i="47"/>
  <c r="Q1" i="47"/>
  <c r="P1" i="47"/>
  <c r="N1" i="47"/>
  <c r="N8" i="47" s="1"/>
  <c r="G13" i="50" l="1"/>
  <c r="N10" i="50"/>
  <c r="R10" i="50" s="1"/>
  <c r="D23" i="50"/>
  <c r="R7" i="50"/>
  <c r="N11" i="50"/>
  <c r="N8" i="50"/>
  <c r="R8" i="50" s="1"/>
  <c r="R5" i="50"/>
  <c r="R6" i="50"/>
  <c r="X15" i="50"/>
  <c r="AA15" i="50" s="1"/>
  <c r="AB15" i="50" s="1"/>
  <c r="BF31" i="50"/>
  <c r="N5" i="50"/>
  <c r="N12" i="50"/>
  <c r="R12" i="50" s="1"/>
  <c r="R11" i="50"/>
  <c r="N15" i="50"/>
  <c r="E23" i="50"/>
  <c r="BF44" i="50"/>
  <c r="N4" i="50"/>
  <c r="R4" i="50" s="1"/>
  <c r="N14" i="50"/>
  <c r="C31" i="50"/>
  <c r="W39" i="50" s="1"/>
  <c r="N9" i="50"/>
  <c r="R9" i="50" s="1"/>
  <c r="V11" i="50"/>
  <c r="N13" i="50"/>
  <c r="R13" i="50" s="1"/>
  <c r="R14" i="50"/>
  <c r="B31" i="50"/>
  <c r="W25" i="50" s="1"/>
  <c r="N6" i="50"/>
  <c r="W11" i="50"/>
  <c r="R15" i="50"/>
  <c r="B23" i="50"/>
  <c r="C23" i="50" s="1"/>
  <c r="N11" i="49"/>
  <c r="R11" i="49" s="1"/>
  <c r="W11" i="49"/>
  <c r="C31" i="49"/>
  <c r="W39" i="49" s="1"/>
  <c r="C22" i="49"/>
  <c r="G14" i="49" s="1"/>
  <c r="G13" i="49"/>
  <c r="D23" i="49"/>
  <c r="B31" i="49"/>
  <c r="W25" i="49" s="1"/>
  <c r="N8" i="49"/>
  <c r="R8" i="49" s="1"/>
  <c r="N14" i="49"/>
  <c r="R14" i="49" s="1"/>
  <c r="N10" i="49"/>
  <c r="R10" i="49" s="1"/>
  <c r="N6" i="49"/>
  <c r="R6" i="49" s="1"/>
  <c r="N7" i="49"/>
  <c r="R7" i="49" s="1"/>
  <c r="N12" i="49"/>
  <c r="R12" i="49" s="1"/>
  <c r="E23" i="49"/>
  <c r="N5" i="49"/>
  <c r="R5" i="49" s="1"/>
  <c r="N15" i="49"/>
  <c r="N4" i="49"/>
  <c r="R4" i="49" s="1"/>
  <c r="N9" i="49"/>
  <c r="R9" i="49" s="1"/>
  <c r="V11" i="49"/>
  <c r="R13" i="49"/>
  <c r="X15" i="49"/>
  <c r="AA15" i="49" s="1"/>
  <c r="R15" i="49"/>
  <c r="N5" i="48"/>
  <c r="R5" i="48" s="1"/>
  <c r="N9" i="48"/>
  <c r="R9" i="48" s="1"/>
  <c r="R12" i="48"/>
  <c r="W11" i="48"/>
  <c r="V11" i="48"/>
  <c r="B31" i="48"/>
  <c r="W25" i="48" s="1"/>
  <c r="G13" i="48"/>
  <c r="N15" i="48"/>
  <c r="C31" i="48"/>
  <c r="W39" i="48" s="1"/>
  <c r="N4" i="48"/>
  <c r="R4" i="48" s="1"/>
  <c r="N14" i="48"/>
  <c r="R14" i="48" s="1"/>
  <c r="BF45" i="48"/>
  <c r="BF44" i="48"/>
  <c r="X15" i="48"/>
  <c r="AA15" i="48" s="1"/>
  <c r="N13" i="48"/>
  <c r="R13" i="48" s="1"/>
  <c r="N8" i="48"/>
  <c r="R8" i="48" s="1"/>
  <c r="N10" i="48"/>
  <c r="R10" i="48" s="1"/>
  <c r="N11" i="48"/>
  <c r="R11" i="48" s="1"/>
  <c r="BF31" i="48"/>
  <c r="N6" i="48"/>
  <c r="R6" i="48" s="1"/>
  <c r="N7" i="48"/>
  <c r="R7" i="48" s="1"/>
  <c r="R15" i="48"/>
  <c r="B23" i="48"/>
  <c r="R11" i="47"/>
  <c r="AJ15" i="47"/>
  <c r="AH15" i="47"/>
  <c r="T49" i="47"/>
  <c r="R13" i="47"/>
  <c r="D23" i="47"/>
  <c r="W11" i="47"/>
  <c r="R8" i="47"/>
  <c r="T15" i="47"/>
  <c r="X15" i="47" s="1"/>
  <c r="AA15" i="47" s="1"/>
  <c r="R15" i="47"/>
  <c r="E23" i="47"/>
  <c r="V11" i="47"/>
  <c r="N15" i="47"/>
  <c r="N14" i="47"/>
  <c r="R14" i="47" s="1"/>
  <c r="N12" i="47"/>
  <c r="N11" i="47"/>
  <c r="N6" i="47"/>
  <c r="N2" i="47" s="1"/>
  <c r="N7" i="47"/>
  <c r="N10" i="47"/>
  <c r="R10" i="47" s="1"/>
  <c r="C23" i="47"/>
  <c r="T26" i="47" s="1"/>
  <c r="B31" i="47"/>
  <c r="W25" i="47" s="1"/>
  <c r="T40" i="47"/>
  <c r="T43" i="47"/>
  <c r="T45" i="47"/>
  <c r="T46" i="47"/>
  <c r="T34" i="47"/>
  <c r="B23" i="47"/>
  <c r="T41" i="47" s="1"/>
  <c r="T29" i="47"/>
  <c r="T32" i="47"/>
  <c r="T33" i="47"/>
  <c r="T30" i="47"/>
  <c r="BF48" i="38"/>
  <c r="BF47" i="38"/>
  <c r="BF46" i="38"/>
  <c r="BF45" i="38"/>
  <c r="BE45" i="38"/>
  <c r="BE44" i="38"/>
  <c r="BD44" i="38"/>
  <c r="BE43" i="38"/>
  <c r="BF44" i="38" s="1"/>
  <c r="BD43" i="38"/>
  <c r="BC43" i="38"/>
  <c r="BE42" i="38"/>
  <c r="BF43" i="38" s="1"/>
  <c r="BD42" i="38"/>
  <c r="BC42" i="38"/>
  <c r="BF41" i="38"/>
  <c r="BE41" i="38"/>
  <c r="BF42" i="38" s="1"/>
  <c r="BD41" i="38"/>
  <c r="BC41" i="38"/>
  <c r="BF40" i="38"/>
  <c r="BE40" i="38"/>
  <c r="BD40" i="38"/>
  <c r="BC40" i="38"/>
  <c r="BC39" i="38"/>
  <c r="AS38" i="38"/>
  <c r="AR38" i="38"/>
  <c r="AQ38" i="38"/>
  <c r="AP38" i="38"/>
  <c r="AO38" i="38"/>
  <c r="AN38" i="38"/>
  <c r="AM38" i="38"/>
  <c r="AL38" i="38"/>
  <c r="AK38" i="38"/>
  <c r="AJ38" i="38"/>
  <c r="AI38" i="38"/>
  <c r="AH38" i="38"/>
  <c r="AG38" i="38"/>
  <c r="AF38" i="38"/>
  <c r="AE38" i="38"/>
  <c r="AD38" i="38"/>
  <c r="AC38" i="38"/>
  <c r="AB38" i="38"/>
  <c r="AA38" i="38"/>
  <c r="Z38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BF34" i="38"/>
  <c r="BF33" i="38"/>
  <c r="C33" i="38"/>
  <c r="B33" i="38"/>
  <c r="C32" i="38"/>
  <c r="B32" i="38"/>
  <c r="BE31" i="38"/>
  <c r="BF32" i="38" s="1"/>
  <c r="BI30" i="38"/>
  <c r="BI37" i="38" s="1"/>
  <c r="BI43" i="38" s="1"/>
  <c r="BI48" i="38" s="1"/>
  <c r="BI53" i="38" s="1"/>
  <c r="BI56" i="38" s="1"/>
  <c r="BI58" i="38" s="1"/>
  <c r="BI59" i="38" s="1"/>
  <c r="BE30" i="38"/>
  <c r="BF31" i="38" s="1"/>
  <c r="BD30" i="38"/>
  <c r="E30" i="38"/>
  <c r="D30" i="38"/>
  <c r="C30" i="38"/>
  <c r="B30" i="38"/>
  <c r="BI29" i="38"/>
  <c r="BI36" i="38" s="1"/>
  <c r="BI42" i="38" s="1"/>
  <c r="BI47" i="38" s="1"/>
  <c r="BI52" i="38" s="1"/>
  <c r="BI55" i="38" s="1"/>
  <c r="BI57" i="38" s="1"/>
  <c r="BM13" i="38" s="1"/>
  <c r="BE29" i="38"/>
  <c r="BF30" i="38" s="1"/>
  <c r="BD29" i="38"/>
  <c r="BC29" i="38"/>
  <c r="C29" i="38"/>
  <c r="B29" i="38"/>
  <c r="BI28" i="38"/>
  <c r="BI35" i="38" s="1"/>
  <c r="BI41" i="38" s="1"/>
  <c r="BI46" i="38" s="1"/>
  <c r="BI51" i="38" s="1"/>
  <c r="BI54" i="38" s="1"/>
  <c r="BM12" i="38" s="1"/>
  <c r="BQ47" i="38" s="1"/>
  <c r="BE28" i="38"/>
  <c r="BF29" i="38" s="1"/>
  <c r="BD28" i="38"/>
  <c r="BC28" i="38"/>
  <c r="BI27" i="38"/>
  <c r="BI34" i="38" s="1"/>
  <c r="BI40" i="38" s="1"/>
  <c r="BI45" i="38" s="1"/>
  <c r="BI50" i="38" s="1"/>
  <c r="BM11" i="38" s="1"/>
  <c r="BQ38" i="38" s="1"/>
  <c r="BQ46" i="38" s="1"/>
  <c r="BF27" i="38"/>
  <c r="BE27" i="38"/>
  <c r="BF28" i="38" s="1"/>
  <c r="BD27" i="38"/>
  <c r="BC27" i="38"/>
  <c r="C27" i="38"/>
  <c r="B27" i="38"/>
  <c r="BI26" i="38"/>
  <c r="BI33" i="38" s="1"/>
  <c r="BI39" i="38" s="1"/>
  <c r="BI44" i="38" s="1"/>
  <c r="BM10" i="38" s="1"/>
  <c r="BQ30" i="38" s="1"/>
  <c r="BQ37" i="38" s="1"/>
  <c r="BQ45" i="38" s="1"/>
  <c r="BF26" i="38"/>
  <c r="BE26" i="38"/>
  <c r="BD26" i="38"/>
  <c r="BC26" i="38"/>
  <c r="E26" i="38"/>
  <c r="E27" i="38" s="1"/>
  <c r="E23" i="38" s="1"/>
  <c r="D26" i="38"/>
  <c r="D27" i="38" s="1"/>
  <c r="C26" i="38"/>
  <c r="B26" i="38"/>
  <c r="BI25" i="38"/>
  <c r="BI32" i="38" s="1"/>
  <c r="BI38" i="38" s="1"/>
  <c r="BC25" i="38"/>
  <c r="E25" i="38"/>
  <c r="D25" i="38"/>
  <c r="C25" i="38"/>
  <c r="B25" i="38"/>
  <c r="BI24" i="38"/>
  <c r="BI31" i="38" s="1"/>
  <c r="BI23" i="38"/>
  <c r="B22" i="38"/>
  <c r="C22" i="38" s="1"/>
  <c r="G14" i="38" s="1"/>
  <c r="B20" i="38"/>
  <c r="B21" i="38" s="1"/>
  <c r="W16" i="38"/>
  <c r="V16" i="38"/>
  <c r="R16" i="38"/>
  <c r="Q16" i="38"/>
  <c r="P16" i="38"/>
  <c r="W15" i="38"/>
  <c r="V15" i="38"/>
  <c r="Q15" i="38"/>
  <c r="P15" i="38"/>
  <c r="W14" i="38"/>
  <c r="V14" i="38"/>
  <c r="Q14" i="38"/>
  <c r="P14" i="38"/>
  <c r="Q13" i="38"/>
  <c r="P13" i="38"/>
  <c r="W12" i="38"/>
  <c r="V12" i="38"/>
  <c r="Q12" i="38"/>
  <c r="P12" i="38"/>
  <c r="Q11" i="38"/>
  <c r="P11" i="38"/>
  <c r="BQ10" i="38"/>
  <c r="BQ14" i="38" s="1"/>
  <c r="BI49" i="38" s="1"/>
  <c r="BQ24" i="38" s="1"/>
  <c r="BQ31" i="38" s="1"/>
  <c r="BQ39" i="38" s="1"/>
  <c r="BM14" i="38" s="1"/>
  <c r="W10" i="38"/>
  <c r="V10" i="38"/>
  <c r="BM9" i="38"/>
  <c r="BQ23" i="38" s="1"/>
  <c r="BQ29" i="38" s="1"/>
  <c r="BQ36" i="38" s="1"/>
  <c r="BQ44" i="38" s="1"/>
  <c r="W9" i="38"/>
  <c r="V9" i="38"/>
  <c r="Q9" i="38"/>
  <c r="P9" i="38"/>
  <c r="BM8" i="38"/>
  <c r="BQ18" i="38" s="1"/>
  <c r="BQ22" i="38" s="1"/>
  <c r="BQ28" i="38" s="1"/>
  <c r="BQ35" i="38" s="1"/>
  <c r="BQ43" i="38" s="1"/>
  <c r="W8" i="38"/>
  <c r="V8" i="38"/>
  <c r="Q8" i="38"/>
  <c r="P8" i="38"/>
  <c r="BM7" i="38"/>
  <c r="BQ13" i="38" s="1"/>
  <c r="BQ17" i="38" s="1"/>
  <c r="BQ21" i="38" s="1"/>
  <c r="BQ27" i="38" s="1"/>
  <c r="BQ34" i="38" s="1"/>
  <c r="BQ42" i="38" s="1"/>
  <c r="W7" i="38"/>
  <c r="V7" i="38"/>
  <c r="Q7" i="38"/>
  <c r="P7" i="38"/>
  <c r="BQ6" i="38"/>
  <c r="BQ8" i="38" s="1"/>
  <c r="BQ11" i="38" s="1"/>
  <c r="BQ15" i="38" s="1"/>
  <c r="BQ19" i="38" s="1"/>
  <c r="BQ25" i="38" s="1"/>
  <c r="BQ32" i="38" s="1"/>
  <c r="BQ40" i="38" s="1"/>
  <c r="BM6" i="38"/>
  <c r="BQ9" i="38" s="1"/>
  <c r="BQ12" i="38" s="1"/>
  <c r="BQ16" i="38" s="1"/>
  <c r="BQ20" i="38" s="1"/>
  <c r="BQ26" i="38" s="1"/>
  <c r="BQ33" i="38" s="1"/>
  <c r="BQ41" i="38" s="1"/>
  <c r="W6" i="38"/>
  <c r="V6" i="38"/>
  <c r="Q6" i="38"/>
  <c r="P6" i="38"/>
  <c r="BQ5" i="38"/>
  <c r="BQ7" i="38" s="1"/>
  <c r="W5" i="38"/>
  <c r="V5" i="38"/>
  <c r="Q5" i="38"/>
  <c r="P5" i="38"/>
  <c r="V4" i="38"/>
  <c r="Q4" i="38"/>
  <c r="P4" i="38"/>
  <c r="D3" i="38"/>
  <c r="Q1" i="38"/>
  <c r="P1" i="38"/>
  <c r="N1" i="38"/>
  <c r="N9" i="38" s="1"/>
  <c r="AK18" i="31"/>
  <c r="AE18" i="31"/>
  <c r="Q11" i="31"/>
  <c r="P11" i="31"/>
  <c r="T46" i="50" l="1"/>
  <c r="T47" i="50"/>
  <c r="T28" i="50"/>
  <c r="T34" i="50"/>
  <c r="T42" i="50"/>
  <c r="C34" i="50"/>
  <c r="U16" i="50" s="1"/>
  <c r="Y16" i="50" s="1"/>
  <c r="AG16" i="50" s="1"/>
  <c r="T25" i="50"/>
  <c r="C24" i="50"/>
  <c r="T32" i="50"/>
  <c r="T27" i="50"/>
  <c r="T39" i="50"/>
  <c r="T35" i="50"/>
  <c r="R2" i="50"/>
  <c r="T33" i="50"/>
  <c r="T26" i="50"/>
  <c r="T41" i="50"/>
  <c r="N2" i="50"/>
  <c r="T31" i="50"/>
  <c r="T29" i="50"/>
  <c r="T44" i="50"/>
  <c r="B24" i="50"/>
  <c r="B34" i="50"/>
  <c r="T16" i="50" s="1"/>
  <c r="X16" i="50" s="1"/>
  <c r="AA16" i="50" s="1"/>
  <c r="T40" i="50"/>
  <c r="T43" i="50"/>
  <c r="T30" i="50"/>
  <c r="T48" i="50"/>
  <c r="T49" i="50"/>
  <c r="T45" i="50"/>
  <c r="B23" i="49"/>
  <c r="T49" i="49" s="1"/>
  <c r="R2" i="49"/>
  <c r="N2" i="49"/>
  <c r="AB15" i="49"/>
  <c r="T47" i="48"/>
  <c r="R2" i="48"/>
  <c r="T41" i="48"/>
  <c r="C23" i="48"/>
  <c r="B24" i="48"/>
  <c r="B34" i="48"/>
  <c r="T16" i="48" s="1"/>
  <c r="X16" i="48" s="1"/>
  <c r="AA16" i="48" s="1"/>
  <c r="T42" i="48"/>
  <c r="T44" i="48"/>
  <c r="T39" i="48"/>
  <c r="T40" i="48"/>
  <c r="T49" i="48"/>
  <c r="N2" i="48"/>
  <c r="T48" i="48"/>
  <c r="T45" i="48"/>
  <c r="T46" i="48"/>
  <c r="AB15" i="48"/>
  <c r="T43" i="48"/>
  <c r="S16" i="47"/>
  <c r="S7" i="47"/>
  <c r="S14" i="47"/>
  <c r="S11" i="47"/>
  <c r="B24" i="47"/>
  <c r="B34" i="47"/>
  <c r="T16" i="47" s="1"/>
  <c r="X16" i="47" s="1"/>
  <c r="AA16" i="47" s="1"/>
  <c r="T47" i="47"/>
  <c r="S13" i="47"/>
  <c r="C34" i="47"/>
  <c r="U16" i="47" s="1"/>
  <c r="Y16" i="47" s="1"/>
  <c r="AG16" i="47" s="1"/>
  <c r="T25" i="47"/>
  <c r="C24" i="47"/>
  <c r="T27" i="47"/>
  <c r="T31" i="47"/>
  <c r="T39" i="47"/>
  <c r="T42" i="47"/>
  <c r="T44" i="47"/>
  <c r="R2" i="47"/>
  <c r="S9" i="47" s="1"/>
  <c r="T48" i="47"/>
  <c r="T28" i="47"/>
  <c r="T35" i="47"/>
  <c r="AB15" i="47"/>
  <c r="V11" i="38"/>
  <c r="R6" i="38"/>
  <c r="R4" i="38"/>
  <c r="R5" i="38"/>
  <c r="R12" i="38"/>
  <c r="R15" i="38"/>
  <c r="R7" i="38"/>
  <c r="N6" i="38"/>
  <c r="R9" i="38"/>
  <c r="N4" i="38"/>
  <c r="N10" i="38"/>
  <c r="R10" i="38" s="1"/>
  <c r="N13" i="38"/>
  <c r="N7" i="38"/>
  <c r="R13" i="38"/>
  <c r="B31" i="38"/>
  <c r="W25" i="38" s="1"/>
  <c r="C31" i="38"/>
  <c r="W39" i="38" s="1"/>
  <c r="N15" i="38"/>
  <c r="N14" i="38"/>
  <c r="R14" i="38" s="1"/>
  <c r="N12" i="38"/>
  <c r="N11" i="38"/>
  <c r="R11" i="38" s="1"/>
  <c r="D23" i="38"/>
  <c r="N5" i="38"/>
  <c r="N8" i="38"/>
  <c r="R8" i="38" s="1"/>
  <c r="W11" i="38"/>
  <c r="G13" i="38"/>
  <c r="B23" i="38"/>
  <c r="W11" i="31"/>
  <c r="V11" i="31"/>
  <c r="S15" i="50" l="1"/>
  <c r="U15" i="50" s="1"/>
  <c r="Y15" i="50" s="1"/>
  <c r="AG15" i="50" s="1"/>
  <c r="AJ15" i="50" s="1"/>
  <c r="S13" i="50"/>
  <c r="T13" i="50" s="1"/>
  <c r="X13" i="50" s="1"/>
  <c r="AA13" i="50" s="1"/>
  <c r="S8" i="50"/>
  <c r="T8" i="50" s="1"/>
  <c r="X8" i="50" s="1"/>
  <c r="AA8" i="50" s="1"/>
  <c r="S9" i="50"/>
  <c r="T9" i="50" s="1"/>
  <c r="X9" i="50" s="1"/>
  <c r="AA9" i="50" s="1"/>
  <c r="S14" i="50"/>
  <c r="N43" i="50"/>
  <c r="P43" i="50" s="1"/>
  <c r="N41" i="50"/>
  <c r="P41" i="50" s="1"/>
  <c r="N44" i="50"/>
  <c r="P44" i="50" s="1"/>
  <c r="N40" i="50"/>
  <c r="P40" i="50" s="1"/>
  <c r="N39" i="50"/>
  <c r="N42" i="50"/>
  <c r="P42" i="50" s="1"/>
  <c r="AD16" i="50"/>
  <c r="AB16" i="50"/>
  <c r="T23" i="50"/>
  <c r="S11" i="50"/>
  <c r="AH16" i="50"/>
  <c r="AJ16" i="50"/>
  <c r="S10" i="50"/>
  <c r="S7" i="50"/>
  <c r="S12" i="50"/>
  <c r="S5" i="50"/>
  <c r="S16" i="50"/>
  <c r="S6" i="50"/>
  <c r="S4" i="50"/>
  <c r="T37" i="50"/>
  <c r="N27" i="50"/>
  <c r="P27" i="50" s="1"/>
  <c r="N25" i="50"/>
  <c r="N30" i="50"/>
  <c r="P30" i="50" s="1"/>
  <c r="R35" i="50" s="1"/>
  <c r="N28" i="50"/>
  <c r="P28" i="50" s="1"/>
  <c r="N26" i="50"/>
  <c r="N29" i="50"/>
  <c r="P29" i="50" s="1"/>
  <c r="S11" i="49"/>
  <c r="U11" i="49" s="1"/>
  <c r="Y11" i="49" s="1"/>
  <c r="AG11" i="49" s="1"/>
  <c r="T48" i="49"/>
  <c r="T47" i="49"/>
  <c r="T45" i="49"/>
  <c r="T39" i="49"/>
  <c r="T40" i="49"/>
  <c r="C23" i="49"/>
  <c r="C34" i="49" s="1"/>
  <c r="U16" i="49" s="1"/>
  <c r="Y16" i="49" s="1"/>
  <c r="AG16" i="49" s="1"/>
  <c r="B34" i="49"/>
  <c r="T16" i="49" s="1"/>
  <c r="X16" i="49" s="1"/>
  <c r="AA16" i="49" s="1"/>
  <c r="AB16" i="49" s="1"/>
  <c r="T44" i="49"/>
  <c r="T46" i="49"/>
  <c r="B24" i="49"/>
  <c r="N27" i="49" s="1"/>
  <c r="P27" i="49" s="1"/>
  <c r="T41" i="49"/>
  <c r="T42" i="49"/>
  <c r="T43" i="49"/>
  <c r="S8" i="49"/>
  <c r="U8" i="49" s="1"/>
  <c r="Y8" i="49" s="1"/>
  <c r="AG8" i="49" s="1"/>
  <c r="S14" i="49"/>
  <c r="T14" i="49" s="1"/>
  <c r="X14" i="49" s="1"/>
  <c r="AA14" i="49" s="1"/>
  <c r="S13" i="49"/>
  <c r="T13" i="49" s="1"/>
  <c r="X13" i="49" s="1"/>
  <c r="AA13" i="49" s="1"/>
  <c r="S10" i="49"/>
  <c r="S5" i="49"/>
  <c r="S12" i="49"/>
  <c r="S16" i="49"/>
  <c r="S4" i="49"/>
  <c r="S7" i="49"/>
  <c r="S6" i="49"/>
  <c r="S9" i="49"/>
  <c r="S15" i="49"/>
  <c r="U15" i="49" s="1"/>
  <c r="Y15" i="49" s="1"/>
  <c r="AG15" i="49" s="1"/>
  <c r="S15" i="48"/>
  <c r="U15" i="48" s="1"/>
  <c r="Y15" i="48" s="1"/>
  <c r="AG15" i="48" s="1"/>
  <c r="S11" i="48"/>
  <c r="C34" i="48"/>
  <c r="U16" i="48" s="1"/>
  <c r="Y16" i="48" s="1"/>
  <c r="AG16" i="48" s="1"/>
  <c r="T25" i="48"/>
  <c r="T27" i="48"/>
  <c r="C24" i="48"/>
  <c r="T28" i="48"/>
  <c r="T34" i="48"/>
  <c r="T33" i="48"/>
  <c r="T35" i="48"/>
  <c r="T30" i="48"/>
  <c r="T26" i="48"/>
  <c r="T31" i="48"/>
  <c r="T29" i="48"/>
  <c r="T32" i="48"/>
  <c r="S14" i="48"/>
  <c r="T37" i="48"/>
  <c r="N27" i="48"/>
  <c r="P27" i="48" s="1"/>
  <c r="N25" i="48"/>
  <c r="N28" i="48"/>
  <c r="P28" i="48" s="1"/>
  <c r="N29" i="48"/>
  <c r="P29" i="48" s="1"/>
  <c r="N30" i="48"/>
  <c r="P30" i="48" s="1"/>
  <c r="R35" i="48" s="1"/>
  <c r="N26" i="48"/>
  <c r="S7" i="48"/>
  <c r="S12" i="48"/>
  <c r="S5" i="48"/>
  <c r="S4" i="48"/>
  <c r="S16" i="48"/>
  <c r="S6" i="48"/>
  <c r="S9" i="48"/>
  <c r="S8" i="48"/>
  <c r="S10" i="48"/>
  <c r="AD16" i="48"/>
  <c r="AB16" i="48"/>
  <c r="S13" i="48"/>
  <c r="U9" i="47"/>
  <c r="Y9" i="47" s="1"/>
  <c r="AG9" i="47" s="1"/>
  <c r="T9" i="47"/>
  <c r="X9" i="47" s="1"/>
  <c r="AA9" i="47" s="1"/>
  <c r="AD16" i="47"/>
  <c r="AB16" i="47"/>
  <c r="T14" i="47"/>
  <c r="X14" i="47" s="1"/>
  <c r="AA14" i="47" s="1"/>
  <c r="U14" i="47"/>
  <c r="Y14" i="47" s="1"/>
  <c r="AG14" i="47" s="1"/>
  <c r="N43" i="47"/>
  <c r="P43" i="47" s="1"/>
  <c r="N41" i="47"/>
  <c r="P41" i="47" s="1"/>
  <c r="N44" i="47"/>
  <c r="P44" i="47" s="1"/>
  <c r="N40" i="47"/>
  <c r="P40" i="47" s="1"/>
  <c r="N39" i="47"/>
  <c r="N42" i="47"/>
  <c r="P42" i="47" s="1"/>
  <c r="N27" i="47"/>
  <c r="P27" i="47" s="1"/>
  <c r="N25" i="47"/>
  <c r="N30" i="47"/>
  <c r="P30" i="47" s="1"/>
  <c r="R35" i="47" s="1"/>
  <c r="N29" i="47"/>
  <c r="P29" i="47" s="1"/>
  <c r="R34" i="47" s="1"/>
  <c r="N26" i="47"/>
  <c r="N28" i="47"/>
  <c r="P28" i="47" s="1"/>
  <c r="S5" i="47"/>
  <c r="T23" i="47"/>
  <c r="S6" i="47"/>
  <c r="AH16" i="47"/>
  <c r="AJ16" i="47"/>
  <c r="S4" i="47"/>
  <c r="S15" i="47"/>
  <c r="S12" i="47"/>
  <c r="U13" i="47"/>
  <c r="Y13" i="47" s="1"/>
  <c r="AG13" i="47" s="1"/>
  <c r="T13" i="47"/>
  <c r="X13" i="47" s="1"/>
  <c r="AA13" i="47" s="1"/>
  <c r="U11" i="47"/>
  <c r="Y11" i="47" s="1"/>
  <c r="AG11" i="47" s="1"/>
  <c r="T11" i="47"/>
  <c r="X11" i="47" s="1"/>
  <c r="AA11" i="47" s="1"/>
  <c r="U7" i="47"/>
  <c r="Y7" i="47" s="1"/>
  <c r="AG7" i="47" s="1"/>
  <c r="T7" i="47"/>
  <c r="X7" i="47" s="1"/>
  <c r="AA7" i="47" s="1"/>
  <c r="T37" i="47"/>
  <c r="S10" i="47"/>
  <c r="S8" i="47"/>
  <c r="T41" i="38"/>
  <c r="R2" i="38"/>
  <c r="B34" i="38"/>
  <c r="T16" i="38" s="1"/>
  <c r="X16" i="38" s="1"/>
  <c r="AA16" i="38" s="1"/>
  <c r="B24" i="38"/>
  <c r="C23" i="38"/>
  <c r="T39" i="38"/>
  <c r="T42" i="38"/>
  <c r="T49" i="38"/>
  <c r="T48" i="38"/>
  <c r="T47" i="38"/>
  <c r="T46" i="38"/>
  <c r="T44" i="38"/>
  <c r="T45" i="38"/>
  <c r="T40" i="38"/>
  <c r="N2" i="38"/>
  <c r="T43" i="38"/>
  <c r="AH15" i="50" l="1"/>
  <c r="R34" i="50"/>
  <c r="U9" i="50"/>
  <c r="Y9" i="50" s="1"/>
  <c r="AG9" i="50" s="1"/>
  <c r="AH9" i="50" s="1"/>
  <c r="U8" i="50"/>
  <c r="Y8" i="50" s="1"/>
  <c r="AG8" i="50" s="1"/>
  <c r="AH8" i="50" s="1"/>
  <c r="U13" i="50"/>
  <c r="Y13" i="50" s="1"/>
  <c r="AG13" i="50" s="1"/>
  <c r="AH13" i="50" s="1"/>
  <c r="T7" i="50"/>
  <c r="X7" i="50" s="1"/>
  <c r="AA7" i="50" s="1"/>
  <c r="U7" i="50"/>
  <c r="Y7" i="50" s="1"/>
  <c r="AG7" i="50" s="1"/>
  <c r="R47" i="50"/>
  <c r="R49" i="50"/>
  <c r="R48" i="50"/>
  <c r="R45" i="50"/>
  <c r="R46" i="50"/>
  <c r="AB13" i="50"/>
  <c r="T10" i="50"/>
  <c r="X10" i="50" s="1"/>
  <c r="AA10" i="50" s="1"/>
  <c r="U10" i="50"/>
  <c r="Y10" i="50" s="1"/>
  <c r="AG10" i="50" s="1"/>
  <c r="U11" i="50"/>
  <c r="Y11" i="50" s="1"/>
  <c r="AG11" i="50" s="1"/>
  <c r="T11" i="50"/>
  <c r="X11" i="50" s="1"/>
  <c r="AA11" i="50" s="1"/>
  <c r="P26" i="50"/>
  <c r="R31" i="50" s="1"/>
  <c r="S2" i="50"/>
  <c r="T4" i="50"/>
  <c r="U4" i="50"/>
  <c r="AB8" i="50"/>
  <c r="R33" i="50"/>
  <c r="T6" i="50"/>
  <c r="X6" i="50" s="1"/>
  <c r="AA6" i="50" s="1"/>
  <c r="U6" i="50"/>
  <c r="Y6" i="50" s="1"/>
  <c r="AG6" i="50" s="1"/>
  <c r="T14" i="50"/>
  <c r="X14" i="50" s="1"/>
  <c r="AA14" i="50" s="1"/>
  <c r="U14" i="50"/>
  <c r="Y14" i="50" s="1"/>
  <c r="AG14" i="50" s="1"/>
  <c r="P25" i="50"/>
  <c r="N23" i="50"/>
  <c r="U5" i="50"/>
  <c r="Y5" i="50" s="1"/>
  <c r="AG5" i="50" s="1"/>
  <c r="T5" i="50"/>
  <c r="X5" i="50" s="1"/>
  <c r="AA5" i="50" s="1"/>
  <c r="P39" i="50"/>
  <c r="R42" i="50" s="1"/>
  <c r="N37" i="50"/>
  <c r="R32" i="50"/>
  <c r="T12" i="50"/>
  <c r="X12" i="50" s="1"/>
  <c r="AA12" i="50" s="1"/>
  <c r="U12" i="50"/>
  <c r="Y12" i="50" s="1"/>
  <c r="AG12" i="50" s="1"/>
  <c r="AB9" i="50"/>
  <c r="T30" i="49"/>
  <c r="T32" i="49"/>
  <c r="T29" i="49"/>
  <c r="AD16" i="49"/>
  <c r="N28" i="49"/>
  <c r="P28" i="49" s="1"/>
  <c r="C24" i="49"/>
  <c r="N43" i="49" s="1"/>
  <c r="P43" i="49" s="1"/>
  <c r="T11" i="49"/>
  <c r="X11" i="49" s="1"/>
  <c r="AA11" i="49" s="1"/>
  <c r="AB11" i="49" s="1"/>
  <c r="N30" i="49"/>
  <c r="P30" i="49" s="1"/>
  <c r="R35" i="49" s="1"/>
  <c r="N26" i="49"/>
  <c r="P26" i="49" s="1"/>
  <c r="N25" i="49"/>
  <c r="P25" i="49" s="1"/>
  <c r="AJ15" i="49"/>
  <c r="AH15" i="49"/>
  <c r="T37" i="49"/>
  <c r="N29" i="49"/>
  <c r="P29" i="49" s="1"/>
  <c r="T26" i="49"/>
  <c r="T34" i="49"/>
  <c r="T27" i="49"/>
  <c r="T33" i="49"/>
  <c r="T31" i="49"/>
  <c r="T28" i="49"/>
  <c r="T25" i="49"/>
  <c r="T35" i="49"/>
  <c r="T8" i="49"/>
  <c r="X8" i="49" s="1"/>
  <c r="AA8" i="49" s="1"/>
  <c r="AB8" i="49" s="1"/>
  <c r="U14" i="49"/>
  <c r="Y14" i="49" s="1"/>
  <c r="AG14" i="49" s="1"/>
  <c r="AH14" i="49" s="1"/>
  <c r="U13" i="49"/>
  <c r="Y13" i="49" s="1"/>
  <c r="AG13" i="49" s="1"/>
  <c r="AH13" i="49" s="1"/>
  <c r="T12" i="49"/>
  <c r="X12" i="49" s="1"/>
  <c r="AA12" i="49" s="1"/>
  <c r="U12" i="49"/>
  <c r="Y12" i="49" s="1"/>
  <c r="AG12" i="49" s="1"/>
  <c r="U6" i="49"/>
  <c r="Y6" i="49" s="1"/>
  <c r="AG6" i="49" s="1"/>
  <c r="T6" i="49"/>
  <c r="X6" i="49" s="1"/>
  <c r="AA6" i="49" s="1"/>
  <c r="AB13" i="49"/>
  <c r="T9" i="49"/>
  <c r="X9" i="49" s="1"/>
  <c r="AA9" i="49" s="1"/>
  <c r="U9" i="49"/>
  <c r="Y9" i="49" s="1"/>
  <c r="AG9" i="49" s="1"/>
  <c r="U7" i="49"/>
  <c r="Y7" i="49" s="1"/>
  <c r="AG7" i="49" s="1"/>
  <c r="T7" i="49"/>
  <c r="X7" i="49" s="1"/>
  <c r="AA7" i="49" s="1"/>
  <c r="AH8" i="49"/>
  <c r="AB14" i="49"/>
  <c r="AH11" i="49"/>
  <c r="U5" i="49"/>
  <c r="Y5" i="49" s="1"/>
  <c r="AG5" i="49" s="1"/>
  <c r="T5" i="49"/>
  <c r="X5" i="49" s="1"/>
  <c r="AA5" i="49" s="1"/>
  <c r="AH16" i="49"/>
  <c r="AJ16" i="49"/>
  <c r="T10" i="49"/>
  <c r="X10" i="49" s="1"/>
  <c r="AA10" i="49" s="1"/>
  <c r="U10" i="49"/>
  <c r="Y10" i="49" s="1"/>
  <c r="AG10" i="49" s="1"/>
  <c r="N42" i="49"/>
  <c r="P42" i="49" s="1"/>
  <c r="S2" i="49"/>
  <c r="U4" i="49"/>
  <c r="T4" i="49"/>
  <c r="AH15" i="48"/>
  <c r="AJ15" i="48"/>
  <c r="R34" i="48"/>
  <c r="P25" i="48"/>
  <c r="N23" i="48"/>
  <c r="R32" i="48"/>
  <c r="T23" i="48"/>
  <c r="N43" i="48"/>
  <c r="P43" i="48" s="1"/>
  <c r="N41" i="48"/>
  <c r="P41" i="48" s="1"/>
  <c r="N44" i="48"/>
  <c r="P44" i="48" s="1"/>
  <c r="N40" i="48"/>
  <c r="P40" i="48" s="1"/>
  <c r="N39" i="48"/>
  <c r="N42" i="48"/>
  <c r="P42" i="48" s="1"/>
  <c r="U5" i="48"/>
  <c r="Y5" i="48" s="1"/>
  <c r="AG5" i="48" s="1"/>
  <c r="T5" i="48"/>
  <c r="X5" i="48" s="1"/>
  <c r="AA5" i="48" s="1"/>
  <c r="AH16" i="48"/>
  <c r="AJ16" i="48"/>
  <c r="T10" i="48"/>
  <c r="X10" i="48" s="1"/>
  <c r="AA10" i="48" s="1"/>
  <c r="U10" i="48"/>
  <c r="Y10" i="48" s="1"/>
  <c r="AG10" i="48" s="1"/>
  <c r="T7" i="48"/>
  <c r="X7" i="48" s="1"/>
  <c r="AA7" i="48" s="1"/>
  <c r="U7" i="48"/>
  <c r="Y7" i="48" s="1"/>
  <c r="AG7" i="48" s="1"/>
  <c r="R33" i="48"/>
  <c r="T4" i="48"/>
  <c r="S2" i="48"/>
  <c r="U4" i="48"/>
  <c r="T12" i="48"/>
  <c r="X12" i="48" s="1"/>
  <c r="AA12" i="48" s="1"/>
  <c r="U12" i="48"/>
  <c r="Y12" i="48" s="1"/>
  <c r="AG12" i="48" s="1"/>
  <c r="U8" i="48"/>
  <c r="Y8" i="48" s="1"/>
  <c r="AG8" i="48" s="1"/>
  <c r="T8" i="48"/>
  <c r="X8" i="48" s="1"/>
  <c r="AA8" i="48" s="1"/>
  <c r="P26" i="48"/>
  <c r="R31" i="48" s="1"/>
  <c r="T14" i="48"/>
  <c r="X14" i="48" s="1"/>
  <c r="AA14" i="48" s="1"/>
  <c r="U14" i="48"/>
  <c r="Y14" i="48" s="1"/>
  <c r="AG14" i="48" s="1"/>
  <c r="T11" i="48"/>
  <c r="X11" i="48" s="1"/>
  <c r="AA11" i="48" s="1"/>
  <c r="U11" i="48"/>
  <c r="Y11" i="48" s="1"/>
  <c r="AG11" i="48" s="1"/>
  <c r="T6" i="48"/>
  <c r="X6" i="48" s="1"/>
  <c r="AA6" i="48" s="1"/>
  <c r="U6" i="48"/>
  <c r="Y6" i="48" s="1"/>
  <c r="AG6" i="48" s="1"/>
  <c r="U13" i="48"/>
  <c r="Y13" i="48" s="1"/>
  <c r="AG13" i="48" s="1"/>
  <c r="T13" i="48"/>
  <c r="X13" i="48" s="1"/>
  <c r="AA13" i="48" s="1"/>
  <c r="U9" i="48"/>
  <c r="Y9" i="48" s="1"/>
  <c r="AG9" i="48" s="1"/>
  <c r="T9" i="48"/>
  <c r="X9" i="48" s="1"/>
  <c r="AA9" i="48" s="1"/>
  <c r="AB13" i="47"/>
  <c r="AH14" i="47"/>
  <c r="R32" i="47"/>
  <c r="AB14" i="47"/>
  <c r="AH9" i="47"/>
  <c r="T12" i="47"/>
  <c r="X12" i="47" s="1"/>
  <c r="AA12" i="47" s="1"/>
  <c r="U12" i="47"/>
  <c r="Y12" i="47" s="1"/>
  <c r="AG12" i="47" s="1"/>
  <c r="AB7" i="47"/>
  <c r="P25" i="47"/>
  <c r="N23" i="47"/>
  <c r="U8" i="47"/>
  <c r="Y8" i="47" s="1"/>
  <c r="AG8" i="47" s="1"/>
  <c r="T8" i="47"/>
  <c r="X8" i="47" s="1"/>
  <c r="AA8" i="47" s="1"/>
  <c r="U6" i="47"/>
  <c r="Y6" i="47" s="1"/>
  <c r="AG6" i="47" s="1"/>
  <c r="T6" i="47"/>
  <c r="X6" i="47" s="1"/>
  <c r="AA6" i="47" s="1"/>
  <c r="AH7" i="47"/>
  <c r="AB11" i="47"/>
  <c r="AH11" i="47"/>
  <c r="U4" i="47"/>
  <c r="T4" i="47"/>
  <c r="S2" i="47"/>
  <c r="T5" i="47"/>
  <c r="X5" i="47" s="1"/>
  <c r="AA5" i="47" s="1"/>
  <c r="U5" i="47"/>
  <c r="Y5" i="47" s="1"/>
  <c r="AG5" i="47" s="1"/>
  <c r="P39" i="47"/>
  <c r="R41" i="47" s="1"/>
  <c r="N37" i="47"/>
  <c r="R33" i="47"/>
  <c r="T10" i="47"/>
  <c r="X10" i="47" s="1"/>
  <c r="AA10" i="47" s="1"/>
  <c r="U10" i="47"/>
  <c r="Y10" i="47" s="1"/>
  <c r="AG10" i="47" s="1"/>
  <c r="AH13" i="47"/>
  <c r="P26" i="47"/>
  <c r="R31" i="47" s="1"/>
  <c r="R47" i="47"/>
  <c r="R49" i="47"/>
  <c r="R48" i="47"/>
  <c r="R46" i="47"/>
  <c r="R45" i="47"/>
  <c r="AB9" i="47"/>
  <c r="S14" i="38"/>
  <c r="S11" i="38"/>
  <c r="T14" i="38"/>
  <c r="X14" i="38" s="1"/>
  <c r="AA14" i="38" s="1"/>
  <c r="U14" i="38"/>
  <c r="Y14" i="38" s="1"/>
  <c r="AG14" i="38" s="1"/>
  <c r="S9" i="38"/>
  <c r="T37" i="38"/>
  <c r="C34" i="38"/>
  <c r="U16" i="38" s="1"/>
  <c r="Y16" i="38" s="1"/>
  <c r="AG16" i="38" s="1"/>
  <c r="C24" i="38"/>
  <c r="T25" i="38"/>
  <c r="T35" i="38"/>
  <c r="T29" i="38"/>
  <c r="T32" i="38"/>
  <c r="T34" i="38"/>
  <c r="T30" i="38"/>
  <c r="T31" i="38"/>
  <c r="T26" i="38"/>
  <c r="T33" i="38"/>
  <c r="T28" i="38"/>
  <c r="T27" i="38"/>
  <c r="U11" i="38"/>
  <c r="Y11" i="38" s="1"/>
  <c r="AG11" i="38" s="1"/>
  <c r="T11" i="38"/>
  <c r="X11" i="38" s="1"/>
  <c r="AA11" i="38" s="1"/>
  <c r="N25" i="38"/>
  <c r="N30" i="38"/>
  <c r="P30" i="38" s="1"/>
  <c r="R35" i="38" s="1"/>
  <c r="N29" i="38"/>
  <c r="P29" i="38" s="1"/>
  <c r="N26" i="38"/>
  <c r="N28" i="38"/>
  <c r="P28" i="38" s="1"/>
  <c r="N27" i="38"/>
  <c r="P27" i="38" s="1"/>
  <c r="AD16" i="38"/>
  <c r="AB16" i="38"/>
  <c r="S10" i="38"/>
  <c r="S15" i="38"/>
  <c r="S12" i="38"/>
  <c r="S7" i="38"/>
  <c r="S6" i="38"/>
  <c r="S16" i="38"/>
  <c r="S4" i="38"/>
  <c r="S5" i="38"/>
  <c r="S13" i="38"/>
  <c r="S8" i="38"/>
  <c r="R40" i="50" l="1"/>
  <c r="R44" i="50"/>
  <c r="AH12" i="50"/>
  <c r="R25" i="50"/>
  <c r="R30" i="50"/>
  <c r="P23" i="50"/>
  <c r="R29" i="50"/>
  <c r="R28" i="50"/>
  <c r="R27" i="50"/>
  <c r="AB6" i="50"/>
  <c r="AB10" i="50"/>
  <c r="R26" i="50"/>
  <c r="AH14" i="50"/>
  <c r="AB11" i="50"/>
  <c r="AH7" i="50"/>
  <c r="AB14" i="50"/>
  <c r="AH11" i="50"/>
  <c r="AB7" i="50"/>
  <c r="Y4" i="50"/>
  <c r="U2" i="50"/>
  <c r="R39" i="50"/>
  <c r="P37" i="50"/>
  <c r="R43" i="50"/>
  <c r="AH5" i="50"/>
  <c r="T2" i="50"/>
  <c r="X4" i="50"/>
  <c r="R41" i="50"/>
  <c r="AB5" i="50"/>
  <c r="AB12" i="50"/>
  <c r="AH6" i="50"/>
  <c r="AH10" i="50"/>
  <c r="N40" i="49"/>
  <c r="P40" i="49" s="1"/>
  <c r="N44" i="49"/>
  <c r="P44" i="49" s="1"/>
  <c r="R49" i="49" s="1"/>
  <c r="N39" i="49"/>
  <c r="P39" i="49" s="1"/>
  <c r="N41" i="49"/>
  <c r="P41" i="49" s="1"/>
  <c r="R33" i="49"/>
  <c r="R32" i="49"/>
  <c r="T23" i="49"/>
  <c r="R31" i="49"/>
  <c r="R34" i="49"/>
  <c r="N23" i="49"/>
  <c r="R26" i="49"/>
  <c r="AB7" i="49"/>
  <c r="U2" i="49"/>
  <c r="Y4" i="49"/>
  <c r="AB12" i="49"/>
  <c r="R25" i="49"/>
  <c r="R30" i="49"/>
  <c r="P23" i="49"/>
  <c r="R29" i="49"/>
  <c r="R28" i="49"/>
  <c r="R27" i="49"/>
  <c r="AH7" i="49"/>
  <c r="AB5" i="49"/>
  <c r="AH6" i="49"/>
  <c r="AH5" i="49"/>
  <c r="AH10" i="49"/>
  <c r="AB6" i="49"/>
  <c r="T2" i="49"/>
  <c r="X4" i="49"/>
  <c r="AH9" i="49"/>
  <c r="AH12" i="49"/>
  <c r="AB9" i="49"/>
  <c r="AB10" i="49"/>
  <c r="R26" i="48"/>
  <c r="AB11" i="48"/>
  <c r="AH12" i="48"/>
  <c r="AB7" i="48"/>
  <c r="AB5" i="48"/>
  <c r="AB9" i="48"/>
  <c r="AB12" i="48"/>
  <c r="AH10" i="48"/>
  <c r="AH5" i="48"/>
  <c r="AH9" i="48"/>
  <c r="U2" i="48"/>
  <c r="Y4" i="48"/>
  <c r="AB13" i="48"/>
  <c r="AB14" i="48"/>
  <c r="P39" i="48"/>
  <c r="R43" i="48" s="1"/>
  <c r="N37" i="48"/>
  <c r="AH13" i="48"/>
  <c r="X4" i="48"/>
  <c r="T2" i="48"/>
  <c r="AH14" i="48"/>
  <c r="AB10" i="48"/>
  <c r="AH6" i="48"/>
  <c r="R47" i="48"/>
  <c r="R44" i="48"/>
  <c r="R49" i="48"/>
  <c r="R48" i="48"/>
  <c r="R46" i="48"/>
  <c r="R45" i="48"/>
  <c r="R25" i="48"/>
  <c r="R30" i="48"/>
  <c r="P23" i="48"/>
  <c r="R28" i="48"/>
  <c r="R27" i="48"/>
  <c r="R29" i="48"/>
  <c r="AB6" i="48"/>
  <c r="AB8" i="48"/>
  <c r="AH11" i="48"/>
  <c r="AH8" i="48"/>
  <c r="AH7" i="48"/>
  <c r="V41" i="47"/>
  <c r="AB5" i="47"/>
  <c r="AH12" i="47"/>
  <c r="AB10" i="47"/>
  <c r="R40" i="47"/>
  <c r="U2" i="47"/>
  <c r="Y4" i="47"/>
  <c r="R42" i="47"/>
  <c r="V42" i="47" s="1"/>
  <c r="AB8" i="47"/>
  <c r="AH10" i="47"/>
  <c r="AH8" i="47"/>
  <c r="R44" i="47"/>
  <c r="T2" i="47"/>
  <c r="X4" i="47"/>
  <c r="AB12" i="47"/>
  <c r="R26" i="47"/>
  <c r="V26" i="47" s="1"/>
  <c r="AB6" i="47"/>
  <c r="R25" i="47"/>
  <c r="R30" i="47"/>
  <c r="P23" i="47"/>
  <c r="R29" i="47"/>
  <c r="R27" i="47"/>
  <c r="R28" i="47"/>
  <c r="R39" i="47"/>
  <c r="P37" i="47"/>
  <c r="AH6" i="47"/>
  <c r="AH5" i="47"/>
  <c r="R43" i="47"/>
  <c r="U15" i="38"/>
  <c r="Y15" i="38" s="1"/>
  <c r="AG15" i="38" s="1"/>
  <c r="T15" i="38"/>
  <c r="X15" i="38" s="1"/>
  <c r="AA15" i="38" s="1"/>
  <c r="AB15" i="38" s="1"/>
  <c r="AJ15" i="38"/>
  <c r="AH15" i="38"/>
  <c r="R34" i="38"/>
  <c r="N43" i="38"/>
  <c r="P43" i="38" s="1"/>
  <c r="N41" i="38"/>
  <c r="P41" i="38" s="1"/>
  <c r="N44" i="38"/>
  <c r="P44" i="38" s="1"/>
  <c r="N40" i="38"/>
  <c r="P40" i="38" s="1"/>
  <c r="N39" i="38"/>
  <c r="N42" i="38"/>
  <c r="P42" i="38" s="1"/>
  <c r="U6" i="38"/>
  <c r="Y6" i="38" s="1"/>
  <c r="AG6" i="38" s="1"/>
  <c r="T6" i="38"/>
  <c r="X6" i="38" s="1"/>
  <c r="AA6" i="38" s="1"/>
  <c r="AJ16" i="38"/>
  <c r="AH16" i="38"/>
  <c r="U10" i="38"/>
  <c r="Y10" i="38" s="1"/>
  <c r="AG10" i="38" s="1"/>
  <c r="T10" i="38"/>
  <c r="X10" i="38" s="1"/>
  <c r="AA10" i="38" s="1"/>
  <c r="U7" i="38"/>
  <c r="Y7" i="38" s="1"/>
  <c r="AG7" i="38" s="1"/>
  <c r="T7" i="38"/>
  <c r="X7" i="38" s="1"/>
  <c r="AA7" i="38" s="1"/>
  <c r="AB11" i="38"/>
  <c r="T5" i="38"/>
  <c r="X5" i="38" s="1"/>
  <c r="AA5" i="38" s="1"/>
  <c r="U5" i="38"/>
  <c r="Y5" i="38" s="1"/>
  <c r="AG5" i="38" s="1"/>
  <c r="T12" i="38"/>
  <c r="X12" i="38" s="1"/>
  <c r="AA12" i="38" s="1"/>
  <c r="U12" i="38"/>
  <c r="Y12" i="38" s="1"/>
  <c r="AG12" i="38" s="1"/>
  <c r="AH11" i="38"/>
  <c r="P25" i="38"/>
  <c r="N23" i="38"/>
  <c r="U8" i="38"/>
  <c r="Y8" i="38" s="1"/>
  <c r="AG8" i="38" s="1"/>
  <c r="T8" i="38"/>
  <c r="X8" i="38" s="1"/>
  <c r="AA8" i="38" s="1"/>
  <c r="R32" i="38"/>
  <c r="R33" i="38"/>
  <c r="U9" i="38"/>
  <c r="Y9" i="38" s="1"/>
  <c r="AG9" i="38" s="1"/>
  <c r="T9" i="38"/>
  <c r="X9" i="38" s="1"/>
  <c r="AA9" i="38" s="1"/>
  <c r="T13" i="38"/>
  <c r="X13" i="38" s="1"/>
  <c r="AA13" i="38" s="1"/>
  <c r="U13" i="38"/>
  <c r="Y13" i="38" s="1"/>
  <c r="AG13" i="38" s="1"/>
  <c r="P26" i="38"/>
  <c r="R31" i="38" s="1"/>
  <c r="AH14" i="38"/>
  <c r="U4" i="38"/>
  <c r="T4" i="38"/>
  <c r="S2" i="38"/>
  <c r="T23" i="38"/>
  <c r="AB14" i="38"/>
  <c r="V41" i="50" l="1"/>
  <c r="AC41" i="50" s="1"/>
  <c r="X2" i="50"/>
  <c r="AA4" i="50"/>
  <c r="V26" i="50"/>
  <c r="V27" i="50"/>
  <c r="AG4" i="50"/>
  <c r="Y2" i="50"/>
  <c r="R23" i="50"/>
  <c r="V25" i="50"/>
  <c r="V34" i="50"/>
  <c r="V31" i="50"/>
  <c r="V30" i="50"/>
  <c r="V33" i="50"/>
  <c r="V32" i="50"/>
  <c r="V29" i="50"/>
  <c r="R37" i="50"/>
  <c r="V39" i="50"/>
  <c r="V47" i="50"/>
  <c r="V46" i="50"/>
  <c r="V45" i="50"/>
  <c r="V44" i="50"/>
  <c r="V48" i="50"/>
  <c r="V43" i="50"/>
  <c r="V42" i="50"/>
  <c r="V28" i="50"/>
  <c r="V40" i="50"/>
  <c r="R47" i="49"/>
  <c r="R40" i="49"/>
  <c r="R48" i="49"/>
  <c r="N37" i="49"/>
  <c r="R45" i="49"/>
  <c r="R46" i="49"/>
  <c r="R41" i="49"/>
  <c r="V26" i="49"/>
  <c r="AA25" i="49" s="1"/>
  <c r="V28" i="49"/>
  <c r="AE28" i="49" s="1"/>
  <c r="R42" i="49"/>
  <c r="R44" i="49"/>
  <c r="Y2" i="49"/>
  <c r="AG4" i="49"/>
  <c r="R43" i="49"/>
  <c r="R23" i="49"/>
  <c r="V25" i="49"/>
  <c r="V29" i="49"/>
  <c r="V34" i="49"/>
  <c r="V32" i="49"/>
  <c r="V33" i="49"/>
  <c r="V31" i="49"/>
  <c r="V30" i="49"/>
  <c r="R39" i="49"/>
  <c r="P37" i="49"/>
  <c r="AA26" i="49"/>
  <c r="AA4" i="49"/>
  <c r="X2" i="49"/>
  <c r="V27" i="49"/>
  <c r="R41" i="48"/>
  <c r="R42" i="48"/>
  <c r="R40" i="48"/>
  <c r="V27" i="48"/>
  <c r="AC26" i="48" s="1"/>
  <c r="V28" i="48"/>
  <c r="AG4" i="48"/>
  <c r="Y2" i="48"/>
  <c r="R23" i="48"/>
  <c r="V25" i="48"/>
  <c r="V30" i="48"/>
  <c r="V34" i="48"/>
  <c r="V31" i="48"/>
  <c r="V29" i="48"/>
  <c r="V33" i="48"/>
  <c r="V32" i="48"/>
  <c r="R39" i="48"/>
  <c r="V40" i="48" s="1"/>
  <c r="P37" i="48"/>
  <c r="X2" i="48"/>
  <c r="AA4" i="48"/>
  <c r="AC27" i="48"/>
  <c r="V26" i="48"/>
  <c r="R37" i="47"/>
  <c r="V39" i="47"/>
  <c r="V43" i="47"/>
  <c r="V46" i="47"/>
  <c r="V45" i="47"/>
  <c r="V48" i="47"/>
  <c r="V44" i="47"/>
  <c r="V47" i="47"/>
  <c r="V28" i="47"/>
  <c r="X2" i="47"/>
  <c r="AA4" i="47"/>
  <c r="V40" i="47"/>
  <c r="AC41" i="47"/>
  <c r="AC40" i="47"/>
  <c r="AC39" i="47"/>
  <c r="AC37" i="47" s="1"/>
  <c r="R23" i="47"/>
  <c r="V25" i="47"/>
  <c r="V29" i="47"/>
  <c r="V33" i="47"/>
  <c r="V34" i="47"/>
  <c r="V32" i="47"/>
  <c r="V30" i="47"/>
  <c r="V31" i="47"/>
  <c r="AE39" i="47"/>
  <c r="AE40" i="47"/>
  <c r="AE42" i="47"/>
  <c r="AE41" i="47"/>
  <c r="AG4" i="47"/>
  <c r="Y2" i="47"/>
  <c r="V27" i="47"/>
  <c r="AA25" i="47"/>
  <c r="AA26" i="47"/>
  <c r="AB13" i="38"/>
  <c r="AH12" i="38"/>
  <c r="AB7" i="38"/>
  <c r="AB6" i="38"/>
  <c r="AB9" i="38"/>
  <c r="R25" i="38"/>
  <c r="R30" i="38"/>
  <c r="P23" i="38"/>
  <c r="R29" i="38"/>
  <c r="R28" i="38"/>
  <c r="R27" i="38"/>
  <c r="AB12" i="38"/>
  <c r="AH7" i="38"/>
  <c r="AH6" i="38"/>
  <c r="AH9" i="38"/>
  <c r="AH5" i="38"/>
  <c r="AB10" i="38"/>
  <c r="AH8" i="38"/>
  <c r="AB5" i="38"/>
  <c r="AH10" i="38"/>
  <c r="P39" i="38"/>
  <c r="R43" i="38" s="1"/>
  <c r="N37" i="38"/>
  <c r="AH13" i="38"/>
  <c r="R47" i="38"/>
  <c r="R49" i="38"/>
  <c r="R48" i="38"/>
  <c r="R46" i="38"/>
  <c r="R45" i="38"/>
  <c r="U2" i="38"/>
  <c r="Y4" i="38"/>
  <c r="T2" i="38"/>
  <c r="X4" i="38"/>
  <c r="R26" i="38"/>
  <c r="AB8" i="38"/>
  <c r="AC39" i="50" l="1"/>
  <c r="AC40" i="50"/>
  <c r="V37" i="50"/>
  <c r="V49" i="50" s="1"/>
  <c r="Y39" i="50"/>
  <c r="AA26" i="50"/>
  <c r="AA25" i="50"/>
  <c r="AE42" i="50"/>
  <c r="AE41" i="50"/>
  <c r="AE39" i="50"/>
  <c r="AE40" i="50"/>
  <c r="V23" i="50"/>
  <c r="V35" i="50" s="1"/>
  <c r="V22" i="50" s="1"/>
  <c r="Y25" i="50"/>
  <c r="AQ47" i="50"/>
  <c r="AQ42" i="50"/>
  <c r="AQ41" i="50"/>
  <c r="AQ39" i="50"/>
  <c r="AQ43" i="50"/>
  <c r="AQ48" i="50"/>
  <c r="AQ45" i="50"/>
  <c r="AQ46" i="50"/>
  <c r="AQ40" i="50"/>
  <c r="AQ44" i="50"/>
  <c r="AQ32" i="50"/>
  <c r="AQ31" i="50"/>
  <c r="AQ34" i="50"/>
  <c r="AQ30" i="50"/>
  <c r="AQ29" i="50"/>
  <c r="AQ28" i="50"/>
  <c r="AQ27" i="50"/>
  <c r="AQ33" i="50"/>
  <c r="AQ26" i="50"/>
  <c r="AQ25" i="50"/>
  <c r="AB4" i="50"/>
  <c r="AD4" i="50"/>
  <c r="AC4" i="50"/>
  <c r="AO32" i="50"/>
  <c r="AO33" i="50"/>
  <c r="AO30" i="50"/>
  <c r="AO29" i="50"/>
  <c r="AO31" i="50"/>
  <c r="AO28" i="50"/>
  <c r="AO27" i="50"/>
  <c r="AO25" i="50"/>
  <c r="AO26" i="50"/>
  <c r="AG25" i="50"/>
  <c r="AG29" i="50"/>
  <c r="AG28" i="50"/>
  <c r="AG27" i="50"/>
  <c r="AG26" i="50"/>
  <c r="AA40" i="50"/>
  <c r="AA39" i="50"/>
  <c r="AK43" i="50"/>
  <c r="AK42" i="50"/>
  <c r="AK39" i="50"/>
  <c r="AK44" i="50"/>
  <c r="AK40" i="50"/>
  <c r="AK41" i="50"/>
  <c r="AK45" i="50"/>
  <c r="AM43" i="50"/>
  <c r="AM44" i="50"/>
  <c r="AM41" i="50"/>
  <c r="AM40" i="50"/>
  <c r="AM46" i="50"/>
  <c r="AM42" i="50"/>
  <c r="AM39" i="50"/>
  <c r="AM45" i="50"/>
  <c r="AI30" i="50"/>
  <c r="AI29" i="50"/>
  <c r="AI28" i="50"/>
  <c r="AI27" i="50"/>
  <c r="AI26" i="50"/>
  <c r="AI25" i="50"/>
  <c r="AJ4" i="50"/>
  <c r="AI4" i="50"/>
  <c r="AH4" i="50"/>
  <c r="AG41" i="50"/>
  <c r="AG40" i="50"/>
  <c r="AG42" i="50"/>
  <c r="AG43" i="50"/>
  <c r="AG39" i="50"/>
  <c r="AM30" i="50"/>
  <c r="AM29" i="50"/>
  <c r="AM32" i="50"/>
  <c r="AM31" i="50"/>
  <c r="AM27" i="50"/>
  <c r="AM28" i="50"/>
  <c r="AM25" i="50"/>
  <c r="AM26" i="50"/>
  <c r="AI43" i="50"/>
  <c r="AI42" i="50"/>
  <c r="AI41" i="50"/>
  <c r="AI40" i="50"/>
  <c r="AI44" i="50"/>
  <c r="AI39" i="50"/>
  <c r="AE25" i="50"/>
  <c r="AE26" i="50"/>
  <c r="AE28" i="50"/>
  <c r="AE27" i="50"/>
  <c r="AO47" i="50"/>
  <c r="AO42" i="50"/>
  <c r="AO45" i="50"/>
  <c r="AO41" i="50"/>
  <c r="AO46" i="50"/>
  <c r="AO43" i="50"/>
  <c r="AO44" i="50"/>
  <c r="AO39" i="50"/>
  <c r="AO40" i="50"/>
  <c r="AK31" i="50"/>
  <c r="AK27" i="50"/>
  <c r="AK29" i="50"/>
  <c r="AK25" i="50"/>
  <c r="AK26" i="50"/>
  <c r="AK30" i="50"/>
  <c r="AK28" i="50"/>
  <c r="AC25" i="50"/>
  <c r="AC26" i="50"/>
  <c r="AC27" i="50"/>
  <c r="V40" i="49"/>
  <c r="AE26" i="49"/>
  <c r="AA23" i="49"/>
  <c r="V42" i="49"/>
  <c r="AE40" i="49" s="1"/>
  <c r="AE25" i="49"/>
  <c r="AE27" i="49"/>
  <c r="AC26" i="49"/>
  <c r="AC27" i="49"/>
  <c r="AC25" i="49"/>
  <c r="AG28" i="49"/>
  <c r="AG29" i="49"/>
  <c r="AG27" i="49"/>
  <c r="AG26" i="49"/>
  <c r="AG25" i="49"/>
  <c r="AA40" i="49"/>
  <c r="AA39" i="49"/>
  <c r="AI29" i="49"/>
  <c r="AI28" i="49"/>
  <c r="AI26" i="49"/>
  <c r="AI27" i="49"/>
  <c r="AI30" i="49"/>
  <c r="AI25" i="49"/>
  <c r="R37" i="49"/>
  <c r="V39" i="49"/>
  <c r="V43" i="49"/>
  <c r="V48" i="49"/>
  <c r="V47" i="49"/>
  <c r="V44" i="49"/>
  <c r="V46" i="49"/>
  <c r="V45" i="49"/>
  <c r="V23" i="49"/>
  <c r="V35" i="49" s="1"/>
  <c r="V22" i="49" s="1"/>
  <c r="Y25" i="49"/>
  <c r="AD4" i="49"/>
  <c r="AB4" i="49"/>
  <c r="AC4" i="49"/>
  <c r="AK27" i="49"/>
  <c r="AK25" i="49"/>
  <c r="AK28" i="49"/>
  <c r="AK31" i="49"/>
  <c r="AK29" i="49"/>
  <c r="AK26" i="49"/>
  <c r="AK30" i="49"/>
  <c r="V41" i="49"/>
  <c r="AQ29" i="49"/>
  <c r="AQ30" i="49"/>
  <c r="AQ28" i="49"/>
  <c r="AQ27" i="49"/>
  <c r="AQ34" i="49"/>
  <c r="AQ32" i="49"/>
  <c r="AQ33" i="49"/>
  <c r="AQ26" i="49"/>
  <c r="AQ25" i="49"/>
  <c r="AQ31" i="49"/>
  <c r="AO31" i="49"/>
  <c r="AO28" i="49"/>
  <c r="AO32" i="49"/>
  <c r="AO27" i="49"/>
  <c r="AO33" i="49"/>
  <c r="AO29" i="49"/>
  <c r="AO25" i="49"/>
  <c r="AO26" i="49"/>
  <c r="AO30" i="49"/>
  <c r="AM31" i="49"/>
  <c r="AM28" i="49"/>
  <c r="AM27" i="49"/>
  <c r="AM30" i="49"/>
  <c r="AM25" i="49"/>
  <c r="AM26" i="49"/>
  <c r="AM32" i="49"/>
  <c r="AM29" i="49"/>
  <c r="AJ4" i="49"/>
  <c r="AI4" i="49"/>
  <c r="AH4" i="49"/>
  <c r="AC25" i="48"/>
  <c r="AC23" i="48" s="1"/>
  <c r="V41" i="48"/>
  <c r="AC39" i="48" s="1"/>
  <c r="V42" i="48"/>
  <c r="AE39" i="48" s="1"/>
  <c r="AA26" i="48"/>
  <c r="AA25" i="48"/>
  <c r="AM26" i="48"/>
  <c r="AM30" i="48"/>
  <c r="AM25" i="48"/>
  <c r="AM29" i="48"/>
  <c r="AM32" i="48"/>
  <c r="AM31" i="48"/>
  <c r="AM27" i="48"/>
  <c r="AM28" i="48"/>
  <c r="AO26" i="48"/>
  <c r="AO25" i="48"/>
  <c r="AO32" i="48"/>
  <c r="AO33" i="48"/>
  <c r="AO30" i="48"/>
  <c r="AO31" i="48"/>
  <c r="AO29" i="48"/>
  <c r="AO28" i="48"/>
  <c r="AO27" i="48"/>
  <c r="AK30" i="48"/>
  <c r="AK25" i="48"/>
  <c r="AK31" i="48"/>
  <c r="AK26" i="48"/>
  <c r="AK29" i="48"/>
  <c r="AK28" i="48"/>
  <c r="AK27" i="48"/>
  <c r="AE26" i="48"/>
  <c r="AE25" i="48"/>
  <c r="AE28" i="48"/>
  <c r="AE27" i="48"/>
  <c r="AJ4" i="48"/>
  <c r="AI4" i="48"/>
  <c r="AH4" i="48"/>
  <c r="AQ33" i="48"/>
  <c r="AQ26" i="48"/>
  <c r="AQ25" i="48"/>
  <c r="AQ31" i="48"/>
  <c r="AQ27" i="48"/>
  <c r="AQ32" i="48"/>
  <c r="AQ34" i="48"/>
  <c r="AQ30" i="48"/>
  <c r="AQ28" i="48"/>
  <c r="AQ29" i="48"/>
  <c r="V39" i="48"/>
  <c r="R37" i="48"/>
  <c r="V47" i="48"/>
  <c r="V48" i="48"/>
  <c r="V43" i="48"/>
  <c r="V46" i="48"/>
  <c r="V44" i="48"/>
  <c r="V45" i="48"/>
  <c r="AI25" i="48"/>
  <c r="AI29" i="48"/>
  <c r="AI28" i="48"/>
  <c r="AI30" i="48"/>
  <c r="AI27" i="48"/>
  <c r="AI26" i="48"/>
  <c r="AG26" i="48"/>
  <c r="AG25" i="48"/>
  <c r="AG29" i="48"/>
  <c r="AG28" i="48"/>
  <c r="AG27" i="48"/>
  <c r="AC4" i="48"/>
  <c r="AB4" i="48"/>
  <c r="AD4" i="48"/>
  <c r="AA39" i="48"/>
  <c r="AA40" i="48"/>
  <c r="V23" i="48"/>
  <c r="V35" i="48" s="1"/>
  <c r="V22" i="48" s="1"/>
  <c r="Y25" i="48"/>
  <c r="AA23" i="47"/>
  <c r="AE37" i="47"/>
  <c r="V23" i="47"/>
  <c r="V35" i="47" s="1"/>
  <c r="V22" i="47" s="1"/>
  <c r="Y25" i="47"/>
  <c r="AE28" i="47"/>
  <c r="AE27" i="47"/>
  <c r="AE25" i="47"/>
  <c r="AE26" i="47"/>
  <c r="AG40" i="47"/>
  <c r="AG39" i="47"/>
  <c r="AG42" i="47"/>
  <c r="AG43" i="47"/>
  <c r="AG41" i="47"/>
  <c r="AG29" i="47"/>
  <c r="AG28" i="47"/>
  <c r="AG27" i="47"/>
  <c r="AG26" i="47"/>
  <c r="AG25" i="47"/>
  <c r="AK29" i="47"/>
  <c r="AK25" i="47"/>
  <c r="AK26" i="47"/>
  <c r="AK28" i="47"/>
  <c r="AK27" i="47"/>
  <c r="AK31" i="47"/>
  <c r="AK30" i="47"/>
  <c r="AI29" i="47"/>
  <c r="AI27" i="47"/>
  <c r="AI30" i="47"/>
  <c r="AI26" i="47"/>
  <c r="AI28" i="47"/>
  <c r="AI25" i="47"/>
  <c r="AO42" i="47"/>
  <c r="AO41" i="47"/>
  <c r="AO40" i="47"/>
  <c r="AO46" i="47"/>
  <c r="AO45" i="47"/>
  <c r="AO44" i="47"/>
  <c r="AO39" i="47"/>
  <c r="AO37" i="47" s="1"/>
  <c r="AO47" i="47"/>
  <c r="AO43" i="47"/>
  <c r="AC26" i="47"/>
  <c r="AC27" i="47"/>
  <c r="AC25" i="47"/>
  <c r="V37" i="47"/>
  <c r="V49" i="47" s="1"/>
  <c r="V36" i="47" s="1"/>
  <c r="Y39" i="47"/>
  <c r="AH4" i="47"/>
  <c r="AJ4" i="47"/>
  <c r="AI4" i="47"/>
  <c r="AM32" i="47"/>
  <c r="AM29" i="47"/>
  <c r="AM30" i="47"/>
  <c r="AM28" i="47"/>
  <c r="AM27" i="47"/>
  <c r="AM26" i="47"/>
  <c r="AM25" i="47"/>
  <c r="AM31" i="47"/>
  <c r="AI40" i="47"/>
  <c r="AI39" i="47"/>
  <c r="AI42" i="47"/>
  <c r="AI43" i="47"/>
  <c r="AI44" i="47"/>
  <c r="AI41" i="47"/>
  <c r="AQ34" i="47"/>
  <c r="AQ30" i="47"/>
  <c r="AQ32" i="47"/>
  <c r="AQ28" i="47"/>
  <c r="AQ27" i="47"/>
  <c r="AQ33" i="47"/>
  <c r="AQ26" i="47"/>
  <c r="AQ25" i="47"/>
  <c r="AQ31" i="47"/>
  <c r="AQ29" i="47"/>
  <c r="AA40" i="47"/>
  <c r="AA39" i="47"/>
  <c r="AA37" i="47" s="1"/>
  <c r="AQ41" i="47"/>
  <c r="AQ48" i="47"/>
  <c r="AQ46" i="47"/>
  <c r="AQ40" i="47"/>
  <c r="AQ45" i="47"/>
  <c r="AQ39" i="47"/>
  <c r="AQ44" i="47"/>
  <c r="AQ43" i="47"/>
  <c r="AQ47" i="47"/>
  <c r="AQ42" i="47"/>
  <c r="AO30" i="47"/>
  <c r="AO28" i="47"/>
  <c r="AO25" i="47"/>
  <c r="AO27" i="47"/>
  <c r="AO32" i="47"/>
  <c r="AO26" i="47"/>
  <c r="AO29" i="47"/>
  <c r="AO33" i="47"/>
  <c r="AO31" i="47"/>
  <c r="AC4" i="47"/>
  <c r="AB4" i="47"/>
  <c r="AD4" i="47"/>
  <c r="AK40" i="47"/>
  <c r="AK39" i="47"/>
  <c r="AK44" i="47"/>
  <c r="AK42" i="47"/>
  <c r="AK45" i="47"/>
  <c r="AK43" i="47"/>
  <c r="AK41" i="47"/>
  <c r="AM41" i="47"/>
  <c r="AM40" i="47"/>
  <c r="AM39" i="47"/>
  <c r="AM45" i="47"/>
  <c r="AM46" i="47"/>
  <c r="AM43" i="47"/>
  <c r="AM44" i="47"/>
  <c r="AM42" i="47"/>
  <c r="R42" i="38"/>
  <c r="R41" i="38"/>
  <c r="R40" i="38"/>
  <c r="R23" i="38"/>
  <c r="V25" i="38"/>
  <c r="V32" i="38"/>
  <c r="V30" i="38"/>
  <c r="V34" i="38"/>
  <c r="V29" i="38"/>
  <c r="V33" i="38"/>
  <c r="V31" i="38"/>
  <c r="Y2" i="38"/>
  <c r="AG4" i="38"/>
  <c r="V27" i="38"/>
  <c r="V28" i="38"/>
  <c r="R39" i="38"/>
  <c r="P37" i="38"/>
  <c r="V26" i="38"/>
  <c r="AA4" i="38"/>
  <c r="X2" i="38"/>
  <c r="R44" i="38"/>
  <c r="W16" i="31"/>
  <c r="V16" i="31"/>
  <c r="R16" i="31"/>
  <c r="Q16" i="31"/>
  <c r="P16" i="31"/>
  <c r="C30" i="31"/>
  <c r="B30" i="31"/>
  <c r="AC37" i="50" l="1"/>
  <c r="AA23" i="50"/>
  <c r="AI37" i="50"/>
  <c r="AK37" i="50"/>
  <c r="AG23" i="50"/>
  <c r="AC23" i="50"/>
  <c r="Y23" i="50"/>
  <c r="AO37" i="50"/>
  <c r="AH18" i="50"/>
  <c r="AI15" i="50"/>
  <c r="AI16" i="50"/>
  <c r="AI13" i="50"/>
  <c r="AI8" i="50"/>
  <c r="AI9" i="50"/>
  <c r="AI11" i="50"/>
  <c r="AI12" i="50"/>
  <c r="AJ13" i="50"/>
  <c r="AI10" i="50"/>
  <c r="AJ8" i="50"/>
  <c r="AJ7" i="50"/>
  <c r="AI5" i="50"/>
  <c r="AI7" i="50"/>
  <c r="AJ6" i="50"/>
  <c r="AI14" i="50"/>
  <c r="AJ12" i="50"/>
  <c r="AI6" i="50"/>
  <c r="AJ14" i="50"/>
  <c r="AJ10" i="50"/>
  <c r="AJ11" i="50"/>
  <c r="AJ9" i="50"/>
  <c r="AJ5" i="50"/>
  <c r="AA37" i="50"/>
  <c r="AO23" i="50"/>
  <c r="AS34" i="50"/>
  <c r="J34" i="50" s="1"/>
  <c r="AS25" i="50"/>
  <c r="J25" i="50" s="1"/>
  <c r="AS35" i="50"/>
  <c r="J35" i="50" s="1"/>
  <c r="AS29" i="50"/>
  <c r="J29" i="50" s="1"/>
  <c r="AS33" i="50"/>
  <c r="J33" i="50" s="1"/>
  <c r="AS30" i="50"/>
  <c r="J30" i="50" s="1"/>
  <c r="AS28" i="50"/>
  <c r="J28" i="50" s="1"/>
  <c r="AS26" i="50"/>
  <c r="J26" i="50" s="1"/>
  <c r="AS27" i="50"/>
  <c r="J27" i="50" s="1"/>
  <c r="AS32" i="50"/>
  <c r="J32" i="50" s="1"/>
  <c r="AS31" i="50"/>
  <c r="J31" i="50" s="1"/>
  <c r="Y37" i="50"/>
  <c r="AM37" i="50"/>
  <c r="AB18" i="50"/>
  <c r="AC16" i="50"/>
  <c r="AC15" i="50"/>
  <c r="AD12" i="50"/>
  <c r="AC14" i="50"/>
  <c r="AD7" i="50"/>
  <c r="AC11" i="50"/>
  <c r="AC12" i="50"/>
  <c r="AD8" i="50"/>
  <c r="AD6" i="50"/>
  <c r="AD14" i="50"/>
  <c r="AC6" i="50"/>
  <c r="AD10" i="50"/>
  <c r="AD15" i="50"/>
  <c r="AD13" i="50"/>
  <c r="AD9" i="50"/>
  <c r="AC13" i="50"/>
  <c r="AD5" i="50"/>
  <c r="AC8" i="50"/>
  <c r="AD11" i="50"/>
  <c r="AC9" i="50"/>
  <c r="AC10" i="50"/>
  <c r="AC7" i="50"/>
  <c r="AC5" i="50"/>
  <c r="AS42" i="50"/>
  <c r="J42" i="50" s="1"/>
  <c r="AS43" i="50"/>
  <c r="J43" i="50" s="1"/>
  <c r="AS48" i="50"/>
  <c r="J48" i="50" s="1"/>
  <c r="AS41" i="50"/>
  <c r="J41" i="50" s="1"/>
  <c r="AS45" i="50"/>
  <c r="J45" i="50" s="1"/>
  <c r="AS40" i="50"/>
  <c r="J40" i="50" s="1"/>
  <c r="AS49" i="50"/>
  <c r="J49" i="50" s="1"/>
  <c r="AS39" i="50"/>
  <c r="J39" i="50" s="1"/>
  <c r="AS46" i="50"/>
  <c r="J46" i="50" s="1"/>
  <c r="AS47" i="50"/>
  <c r="J47" i="50" s="1"/>
  <c r="AS44" i="50"/>
  <c r="J44" i="50" s="1"/>
  <c r="AG37" i="50"/>
  <c r="AK23" i="50"/>
  <c r="AE23" i="50"/>
  <c r="AM23" i="50"/>
  <c r="AI23" i="50"/>
  <c r="AQ23" i="50"/>
  <c r="AQ37" i="50"/>
  <c r="AE37" i="50"/>
  <c r="V36" i="50"/>
  <c r="AE42" i="49"/>
  <c r="AE41" i="49"/>
  <c r="AE39" i="49"/>
  <c r="AE23" i="49"/>
  <c r="AA37" i="49"/>
  <c r="AS29" i="49"/>
  <c r="J29" i="49" s="1"/>
  <c r="AS26" i="49"/>
  <c r="J26" i="49" s="1"/>
  <c r="AS27" i="49"/>
  <c r="J27" i="49" s="1"/>
  <c r="AS30" i="49"/>
  <c r="AS28" i="49"/>
  <c r="J28" i="49" s="1"/>
  <c r="AS33" i="49"/>
  <c r="J33" i="49" s="1"/>
  <c r="AS34" i="49"/>
  <c r="J34" i="49" s="1"/>
  <c r="AS25" i="49"/>
  <c r="AS35" i="49"/>
  <c r="J35" i="49" s="1"/>
  <c r="AS31" i="49"/>
  <c r="J31" i="49" s="1"/>
  <c r="AS32" i="49"/>
  <c r="J32" i="49" s="1"/>
  <c r="V37" i="49"/>
  <c r="V49" i="49" s="1"/>
  <c r="Y39" i="49"/>
  <c r="AC23" i="49"/>
  <c r="AK45" i="49"/>
  <c r="AK42" i="49"/>
  <c r="AK40" i="49"/>
  <c r="AK39" i="49"/>
  <c r="AK41" i="49"/>
  <c r="AK43" i="49"/>
  <c r="AK44" i="49"/>
  <c r="AM23" i="49"/>
  <c r="AO23" i="49"/>
  <c r="AQ23" i="49"/>
  <c r="AM39" i="49"/>
  <c r="AM45" i="49"/>
  <c r="AM46" i="49"/>
  <c r="AM40" i="49"/>
  <c r="AM43" i="49"/>
  <c r="AM44" i="49"/>
  <c r="AM42" i="49"/>
  <c r="AM41" i="49"/>
  <c r="AI23" i="49"/>
  <c r="AK23" i="49"/>
  <c r="AC40" i="49"/>
  <c r="AC39" i="49"/>
  <c r="AC41" i="49"/>
  <c r="AI39" i="49"/>
  <c r="AI43" i="49"/>
  <c r="AI42" i="49"/>
  <c r="AI44" i="49"/>
  <c r="AI41" i="49"/>
  <c r="AI40" i="49"/>
  <c r="J30" i="49"/>
  <c r="AG23" i="49"/>
  <c r="AQ48" i="49"/>
  <c r="AQ46" i="49"/>
  <c r="AQ40" i="49"/>
  <c r="AQ44" i="49"/>
  <c r="AQ45" i="49"/>
  <c r="AQ39" i="49"/>
  <c r="AQ43" i="49"/>
  <c r="AQ47" i="49"/>
  <c r="AQ42" i="49"/>
  <c r="AQ41" i="49"/>
  <c r="AH18" i="49"/>
  <c r="AI15" i="49"/>
  <c r="AI8" i="49"/>
  <c r="AI11" i="49"/>
  <c r="AI14" i="49"/>
  <c r="AI13" i="49"/>
  <c r="AI16" i="49"/>
  <c r="AJ14" i="49"/>
  <c r="AJ10" i="49"/>
  <c r="AJ13" i="49"/>
  <c r="AJ6" i="49"/>
  <c r="AJ9" i="49"/>
  <c r="AJ7" i="49"/>
  <c r="AI6" i="49"/>
  <c r="AI9" i="49"/>
  <c r="AI7" i="49"/>
  <c r="AI12" i="49"/>
  <c r="AI10" i="49"/>
  <c r="AI5" i="49"/>
  <c r="AJ12" i="49"/>
  <c r="AJ11" i="49"/>
  <c r="AJ8" i="49"/>
  <c r="AJ5" i="49"/>
  <c r="AB18" i="49"/>
  <c r="AC16" i="49"/>
  <c r="AC15" i="49"/>
  <c r="AD14" i="49"/>
  <c r="AD15" i="49"/>
  <c r="AC14" i="49"/>
  <c r="AD13" i="49"/>
  <c r="AC12" i="49"/>
  <c r="AC13" i="49"/>
  <c r="AD12" i="49"/>
  <c r="AD7" i="49"/>
  <c r="AD11" i="49"/>
  <c r="AD9" i="49"/>
  <c r="AD6" i="49"/>
  <c r="AD10" i="49"/>
  <c r="AC5" i="49"/>
  <c r="AC7" i="49"/>
  <c r="AC11" i="49"/>
  <c r="AC10" i="49"/>
  <c r="AC9" i="49"/>
  <c r="AD8" i="49"/>
  <c r="AD5" i="49"/>
  <c r="AC8" i="49"/>
  <c r="AC6" i="49"/>
  <c r="AO46" i="49"/>
  <c r="AO39" i="49"/>
  <c r="AO40" i="49"/>
  <c r="AO45" i="49"/>
  <c r="AO44" i="49"/>
  <c r="AO42" i="49"/>
  <c r="AO47" i="49"/>
  <c r="AO43" i="49"/>
  <c r="AO41" i="49"/>
  <c r="J25" i="49"/>
  <c r="Y23" i="49"/>
  <c r="AG40" i="49"/>
  <c r="AG42" i="49"/>
  <c r="AG43" i="49"/>
  <c r="AG41" i="49"/>
  <c r="AG39" i="49"/>
  <c r="AC41" i="48"/>
  <c r="AE42" i="48"/>
  <c r="AE40" i="48"/>
  <c r="AE41" i="48"/>
  <c r="AA23" i="48"/>
  <c r="AC40" i="48"/>
  <c r="AA37" i="48"/>
  <c r="AE23" i="48"/>
  <c r="AO23" i="48"/>
  <c r="AO43" i="48"/>
  <c r="AO42" i="48"/>
  <c r="AO41" i="48"/>
  <c r="AO40" i="48"/>
  <c r="AO46" i="48"/>
  <c r="AO47" i="48"/>
  <c r="AO45" i="48"/>
  <c r="AO44" i="48"/>
  <c r="AO39" i="48"/>
  <c r="AS34" i="48"/>
  <c r="J34" i="48" s="1"/>
  <c r="AS25" i="48"/>
  <c r="J25" i="48" s="1"/>
  <c r="AS33" i="48"/>
  <c r="J33" i="48" s="1"/>
  <c r="AS31" i="48"/>
  <c r="J31" i="48" s="1"/>
  <c r="AS29" i="48"/>
  <c r="J29" i="48" s="1"/>
  <c r="AS35" i="48"/>
  <c r="J35" i="48" s="1"/>
  <c r="AS30" i="48"/>
  <c r="J30" i="48" s="1"/>
  <c r="AS28" i="48"/>
  <c r="J28" i="48" s="1"/>
  <c r="AS32" i="48"/>
  <c r="J32" i="48" s="1"/>
  <c r="AS26" i="48"/>
  <c r="J26" i="48" s="1"/>
  <c r="AS27" i="48"/>
  <c r="J27" i="48" s="1"/>
  <c r="AI23" i="48"/>
  <c r="Y23" i="48"/>
  <c r="AG23" i="48"/>
  <c r="AK40" i="48"/>
  <c r="AK42" i="48"/>
  <c r="AK41" i="48"/>
  <c r="AK39" i="48"/>
  <c r="AK43" i="48"/>
  <c r="AK45" i="48"/>
  <c r="AK44" i="48"/>
  <c r="V37" i="48"/>
  <c r="V49" i="48" s="1"/>
  <c r="Y39" i="48"/>
  <c r="AH18" i="48"/>
  <c r="AI15" i="48"/>
  <c r="AI16" i="48"/>
  <c r="AI11" i="48"/>
  <c r="AJ7" i="48"/>
  <c r="AJ8" i="48"/>
  <c r="AI14" i="48"/>
  <c r="AI9" i="48"/>
  <c r="AI6" i="48"/>
  <c r="AJ13" i="48"/>
  <c r="AI12" i="48"/>
  <c r="AI10" i="48"/>
  <c r="AJ14" i="48"/>
  <c r="AJ6" i="48"/>
  <c r="AI7" i="48"/>
  <c r="AI5" i="48"/>
  <c r="AI13" i="48"/>
  <c r="AI8" i="48"/>
  <c r="AJ12" i="48"/>
  <c r="AJ5" i="48"/>
  <c r="AJ10" i="48"/>
  <c r="AJ9" i="48"/>
  <c r="AJ11" i="48"/>
  <c r="AM23" i="48"/>
  <c r="AI41" i="48"/>
  <c r="AI40" i="48"/>
  <c r="AI44" i="48"/>
  <c r="AI39" i="48"/>
  <c r="AI43" i="48"/>
  <c r="AI42" i="48"/>
  <c r="AM39" i="48"/>
  <c r="AM41" i="48"/>
  <c r="AM44" i="48"/>
  <c r="AM40" i="48"/>
  <c r="AM45" i="48"/>
  <c r="AM46" i="48"/>
  <c r="AM42" i="48"/>
  <c r="AM43" i="48"/>
  <c r="AQ23" i="48"/>
  <c r="AB18" i="48"/>
  <c r="AC16" i="48"/>
  <c r="AD15" i="48"/>
  <c r="AC15" i="48"/>
  <c r="AD7" i="48"/>
  <c r="AC14" i="48"/>
  <c r="AD10" i="48"/>
  <c r="AC8" i="48"/>
  <c r="AD14" i="48"/>
  <c r="AD6" i="48"/>
  <c r="AC10" i="48"/>
  <c r="AD13" i="48"/>
  <c r="AC13" i="48"/>
  <c r="AD8" i="48"/>
  <c r="AD9" i="48"/>
  <c r="AC9" i="48"/>
  <c r="AD5" i="48"/>
  <c r="AC11" i="48"/>
  <c r="AC12" i="48"/>
  <c r="AC5" i="48"/>
  <c r="AC7" i="48"/>
  <c r="AC6" i="48"/>
  <c r="AD12" i="48"/>
  <c r="AD11" i="48"/>
  <c r="AG41" i="48"/>
  <c r="AG43" i="48"/>
  <c r="AG40" i="48"/>
  <c r="AG39" i="48"/>
  <c r="AG42" i="48"/>
  <c r="AQ41" i="48"/>
  <c r="AQ47" i="48"/>
  <c r="AQ42" i="48"/>
  <c r="AQ48" i="48"/>
  <c r="AQ43" i="48"/>
  <c r="AQ46" i="48"/>
  <c r="AQ40" i="48"/>
  <c r="AQ45" i="48"/>
  <c r="AQ44" i="48"/>
  <c r="AQ39" i="48"/>
  <c r="AK23" i="48"/>
  <c r="J42" i="47"/>
  <c r="AI37" i="47"/>
  <c r="J30" i="47"/>
  <c r="AK23" i="47"/>
  <c r="Y23" i="47"/>
  <c r="Y37" i="47"/>
  <c r="AM37" i="47"/>
  <c r="J40" i="47"/>
  <c r="AC23" i="47"/>
  <c r="AS41" i="47"/>
  <c r="J41" i="47" s="1"/>
  <c r="AS40" i="47"/>
  <c r="AS46" i="47"/>
  <c r="AS47" i="47"/>
  <c r="AS39" i="47"/>
  <c r="J39" i="47" s="1"/>
  <c r="AS48" i="47"/>
  <c r="J48" i="47" s="1"/>
  <c r="AS44" i="47"/>
  <c r="J44" i="47" s="1"/>
  <c r="AS45" i="47"/>
  <c r="AS49" i="47"/>
  <c r="J49" i="47" s="1"/>
  <c r="AS42" i="47"/>
  <c r="AS43" i="47"/>
  <c r="J43" i="47" s="1"/>
  <c r="AB18" i="47"/>
  <c r="AC16" i="47"/>
  <c r="AD15" i="47"/>
  <c r="AD14" i="47"/>
  <c r="AC15" i="47"/>
  <c r="AC14" i="47"/>
  <c r="AD13" i="47"/>
  <c r="AC13" i="47"/>
  <c r="AD9" i="47"/>
  <c r="AD10" i="47"/>
  <c r="AD7" i="47"/>
  <c r="AD6" i="47"/>
  <c r="AD12" i="47"/>
  <c r="AD8" i="47"/>
  <c r="AC12" i="47"/>
  <c r="AD11" i="47"/>
  <c r="AC5" i="47"/>
  <c r="AC7" i="47"/>
  <c r="AD5" i="47"/>
  <c r="AD18" i="47" s="1"/>
  <c r="L27" i="47" s="1"/>
  <c r="AC10" i="47"/>
  <c r="AC6" i="47"/>
  <c r="AC8" i="47"/>
  <c r="AC18" i="47" s="1"/>
  <c r="L26" i="47" s="1"/>
  <c r="AC11" i="47"/>
  <c r="AC9" i="47"/>
  <c r="AO23" i="47"/>
  <c r="AQ37" i="47"/>
  <c r="J32" i="47"/>
  <c r="J27" i="47"/>
  <c r="AG23" i="47"/>
  <c r="AG37" i="47"/>
  <c r="AS32" i="47"/>
  <c r="AS30" i="47"/>
  <c r="AS28" i="47"/>
  <c r="J28" i="47" s="1"/>
  <c r="AS29" i="47"/>
  <c r="J29" i="47" s="1"/>
  <c r="AS31" i="47"/>
  <c r="J31" i="47" s="1"/>
  <c r="AS26" i="47"/>
  <c r="J26" i="47" s="1"/>
  <c r="AS27" i="47"/>
  <c r="AS34" i="47"/>
  <c r="AS25" i="47"/>
  <c r="AS35" i="47"/>
  <c r="J35" i="47" s="1"/>
  <c r="AS33" i="47"/>
  <c r="AK37" i="47"/>
  <c r="J34" i="47"/>
  <c r="J45" i="47"/>
  <c r="AQ23" i="47"/>
  <c r="AM23" i="47"/>
  <c r="J46" i="47"/>
  <c r="J33" i="47"/>
  <c r="AH18" i="47"/>
  <c r="AI15" i="47"/>
  <c r="AI16" i="47"/>
  <c r="AJ13" i="47"/>
  <c r="AI13" i="47"/>
  <c r="AI9" i="47"/>
  <c r="AI11" i="47"/>
  <c r="AJ14" i="47"/>
  <c r="AI7" i="47"/>
  <c r="AI14" i="47"/>
  <c r="AI6" i="47"/>
  <c r="AJ9" i="47"/>
  <c r="AI5" i="47"/>
  <c r="AI18" i="47" s="1"/>
  <c r="L40" i="47" s="1"/>
  <c r="AJ7" i="47"/>
  <c r="AJ12" i="47"/>
  <c r="AJ6" i="47"/>
  <c r="AJ10" i="47"/>
  <c r="AI10" i="47"/>
  <c r="AJ8" i="47"/>
  <c r="AI12" i="47"/>
  <c r="AI8" i="47"/>
  <c r="AJ5" i="47"/>
  <c r="AJ18" i="47" s="1"/>
  <c r="L41" i="47" s="1"/>
  <c r="AJ11" i="47"/>
  <c r="J47" i="47"/>
  <c r="AI23" i="47"/>
  <c r="AE23" i="47"/>
  <c r="V40" i="38"/>
  <c r="AA40" i="38" s="1"/>
  <c r="V42" i="38"/>
  <c r="AE40" i="38" s="1"/>
  <c r="V41" i="38"/>
  <c r="AC39" i="38" s="1"/>
  <c r="AE27" i="38"/>
  <c r="AE26" i="38"/>
  <c r="AE28" i="38"/>
  <c r="AE25" i="38"/>
  <c r="Y25" i="38"/>
  <c r="V23" i="38"/>
  <c r="V35" i="38" s="1"/>
  <c r="V22" i="38" s="1"/>
  <c r="AD4" i="38"/>
  <c r="AC4" i="38"/>
  <c r="AB4" i="38"/>
  <c r="AK26" i="38"/>
  <c r="AK25" i="38"/>
  <c r="AK31" i="38"/>
  <c r="AK30" i="38"/>
  <c r="AK29" i="38"/>
  <c r="AK28" i="38"/>
  <c r="AK27" i="38"/>
  <c r="AM25" i="38"/>
  <c r="AM28" i="38"/>
  <c r="AM26" i="38"/>
  <c r="AM30" i="38"/>
  <c r="AM31" i="38"/>
  <c r="AM32" i="38"/>
  <c r="AM29" i="38"/>
  <c r="AM27" i="38"/>
  <c r="AA26" i="38"/>
  <c r="AA25" i="38"/>
  <c r="AG27" i="38"/>
  <c r="AG26" i="38"/>
  <c r="AG25" i="38"/>
  <c r="AG28" i="38"/>
  <c r="AG29" i="38"/>
  <c r="AC27" i="38"/>
  <c r="AC26" i="38"/>
  <c r="AC25" i="38"/>
  <c r="AE42" i="38"/>
  <c r="AQ33" i="38"/>
  <c r="AQ26" i="38"/>
  <c r="AQ25" i="38"/>
  <c r="AQ31" i="38"/>
  <c r="AQ32" i="38"/>
  <c r="AQ29" i="38"/>
  <c r="AQ27" i="38"/>
  <c r="AQ34" i="38"/>
  <c r="AQ30" i="38"/>
  <c r="AQ28" i="38"/>
  <c r="AO25" i="38"/>
  <c r="AO26" i="38"/>
  <c r="AO32" i="38"/>
  <c r="AO33" i="38"/>
  <c r="AO30" i="38"/>
  <c r="AO29" i="38"/>
  <c r="AO28" i="38"/>
  <c r="AO31" i="38"/>
  <c r="AO27" i="38"/>
  <c r="R37" i="38"/>
  <c r="V39" i="38"/>
  <c r="V45" i="38"/>
  <c r="V43" i="38"/>
  <c r="V46" i="38"/>
  <c r="V44" i="38"/>
  <c r="V47" i="38"/>
  <c r="V48" i="38"/>
  <c r="AI25" i="38"/>
  <c r="AI27" i="38"/>
  <c r="AI29" i="38"/>
  <c r="AI28" i="38"/>
  <c r="AI26" i="38"/>
  <c r="AI30" i="38"/>
  <c r="AJ4" i="38"/>
  <c r="AI4" i="38"/>
  <c r="AH4" i="38"/>
  <c r="C33" i="31"/>
  <c r="B33" i="31"/>
  <c r="AI18" i="50" l="1"/>
  <c r="L40" i="50" s="1"/>
  <c r="AJ18" i="50"/>
  <c r="L41" i="50" s="1"/>
  <c r="AC18" i="50"/>
  <c r="L26" i="50" s="1"/>
  <c r="AD18" i="50"/>
  <c r="L27" i="50" s="1"/>
  <c r="J37" i="50"/>
  <c r="J23" i="50"/>
  <c r="L39" i="50"/>
  <c r="AS37" i="50"/>
  <c r="AS36" i="50" s="1"/>
  <c r="L25" i="50"/>
  <c r="AS23" i="50"/>
  <c r="AS22" i="50" s="1"/>
  <c r="AE37" i="49"/>
  <c r="AO37" i="49"/>
  <c r="AJ18" i="49"/>
  <c r="L41" i="49" s="1"/>
  <c r="AG37" i="49"/>
  <c r="AC18" i="49"/>
  <c r="L26" i="49" s="1"/>
  <c r="AI18" i="49"/>
  <c r="L40" i="49" s="1"/>
  <c r="AD18" i="49"/>
  <c r="L27" i="49" s="1"/>
  <c r="AI37" i="49"/>
  <c r="AM37" i="49"/>
  <c r="AK37" i="49"/>
  <c r="J23" i="49"/>
  <c r="AQ37" i="49"/>
  <c r="L25" i="49"/>
  <c r="AC37" i="49"/>
  <c r="AS23" i="49"/>
  <c r="AS22" i="49" s="1"/>
  <c r="L39" i="49"/>
  <c r="Y37" i="49"/>
  <c r="AS46" i="49"/>
  <c r="J46" i="49" s="1"/>
  <c r="AS47" i="49"/>
  <c r="J47" i="49" s="1"/>
  <c r="AS42" i="49"/>
  <c r="J42" i="49" s="1"/>
  <c r="AS39" i="49"/>
  <c r="J39" i="49" s="1"/>
  <c r="AS48" i="49"/>
  <c r="J48" i="49" s="1"/>
  <c r="AS45" i="49"/>
  <c r="J45" i="49" s="1"/>
  <c r="AS43" i="49"/>
  <c r="J43" i="49" s="1"/>
  <c r="AS41" i="49"/>
  <c r="J41" i="49" s="1"/>
  <c r="AS44" i="49"/>
  <c r="J44" i="49" s="1"/>
  <c r="AS40" i="49"/>
  <c r="J40" i="49" s="1"/>
  <c r="AS49" i="49"/>
  <c r="J49" i="49" s="1"/>
  <c r="V36" i="49"/>
  <c r="AC37" i="48"/>
  <c r="AE37" i="48"/>
  <c r="AJ18" i="48"/>
  <c r="L41" i="48" s="1"/>
  <c r="AI18" i="48"/>
  <c r="L40" i="48" s="1"/>
  <c r="AG37" i="48"/>
  <c r="AC18" i="48"/>
  <c r="L26" i="48" s="1"/>
  <c r="AD18" i="48"/>
  <c r="L27" i="48" s="1"/>
  <c r="L39" i="48"/>
  <c r="AQ37" i="48"/>
  <c r="Y37" i="48"/>
  <c r="AS42" i="48"/>
  <c r="J42" i="48" s="1"/>
  <c r="AS43" i="48"/>
  <c r="J43" i="48" s="1"/>
  <c r="AS41" i="48"/>
  <c r="J41" i="48" s="1"/>
  <c r="AS49" i="48"/>
  <c r="J49" i="48" s="1"/>
  <c r="AS40" i="48"/>
  <c r="J40" i="48" s="1"/>
  <c r="AS46" i="48"/>
  <c r="J46" i="48" s="1"/>
  <c r="AS47" i="48"/>
  <c r="J47" i="48" s="1"/>
  <c r="AS48" i="48"/>
  <c r="J48" i="48" s="1"/>
  <c r="AS39" i="48"/>
  <c r="J39" i="48" s="1"/>
  <c r="AS44" i="48"/>
  <c r="J44" i="48" s="1"/>
  <c r="AS45" i="48"/>
  <c r="J45" i="48" s="1"/>
  <c r="L25" i="48"/>
  <c r="V36" i="48"/>
  <c r="AI37" i="48"/>
  <c r="AS23" i="48"/>
  <c r="AS22" i="48" s="1"/>
  <c r="J23" i="48"/>
  <c r="AM37" i="48"/>
  <c r="AO37" i="48"/>
  <c r="AK37" i="48"/>
  <c r="J37" i="47"/>
  <c r="H43" i="47"/>
  <c r="L25" i="47"/>
  <c r="H29" i="47" s="1"/>
  <c r="AE18" i="47"/>
  <c r="L28" i="47" s="1"/>
  <c r="AS37" i="47"/>
  <c r="AS36" i="47"/>
  <c r="AS23" i="47"/>
  <c r="J25" i="47"/>
  <c r="J23" i="47" s="1"/>
  <c r="AK18" i="47"/>
  <c r="L42" i="47" s="1"/>
  <c r="L39" i="47"/>
  <c r="AS22" i="47"/>
  <c r="AE39" i="38"/>
  <c r="AC40" i="38"/>
  <c r="AA39" i="38"/>
  <c r="AE41" i="38"/>
  <c r="AC41" i="38"/>
  <c r="AA23" i="38"/>
  <c r="AG23" i="38"/>
  <c r="AG41" i="38"/>
  <c r="AG42" i="38"/>
  <c r="AG43" i="38"/>
  <c r="AG40" i="38"/>
  <c r="AG39" i="38"/>
  <c r="AH18" i="38"/>
  <c r="AI15" i="38"/>
  <c r="AI11" i="38"/>
  <c r="AI16" i="38"/>
  <c r="AJ14" i="38"/>
  <c r="AI14" i="38"/>
  <c r="AJ8" i="38"/>
  <c r="AJ10" i="38"/>
  <c r="AI8" i="38"/>
  <c r="AI13" i="38"/>
  <c r="AI9" i="38"/>
  <c r="AJ7" i="38"/>
  <c r="AJ6" i="38"/>
  <c r="AI10" i="38"/>
  <c r="AI7" i="38"/>
  <c r="AI5" i="38"/>
  <c r="AI6" i="38"/>
  <c r="AI12" i="38"/>
  <c r="AJ13" i="38"/>
  <c r="AJ12" i="38"/>
  <c r="AJ9" i="38"/>
  <c r="AJ5" i="38"/>
  <c r="AJ11" i="38"/>
  <c r="AI23" i="38"/>
  <c r="V37" i="38"/>
  <c r="V49" i="38" s="1"/>
  <c r="V36" i="38" s="1"/>
  <c r="Y39" i="38"/>
  <c r="AQ42" i="38"/>
  <c r="AQ41" i="38"/>
  <c r="AQ48" i="38"/>
  <c r="AQ46" i="38"/>
  <c r="AQ40" i="38"/>
  <c r="AQ43" i="38"/>
  <c r="AQ45" i="38"/>
  <c r="AQ39" i="38"/>
  <c r="AQ44" i="38"/>
  <c r="AQ47" i="38"/>
  <c r="AC23" i="38"/>
  <c r="AS35" i="38"/>
  <c r="J35" i="38" s="1"/>
  <c r="AS33" i="38"/>
  <c r="J33" i="38" s="1"/>
  <c r="AS31" i="38"/>
  <c r="J31" i="38" s="1"/>
  <c r="AS34" i="38"/>
  <c r="J34" i="38" s="1"/>
  <c r="AS25" i="38"/>
  <c r="J25" i="38" s="1"/>
  <c r="AS32" i="38"/>
  <c r="J32" i="38" s="1"/>
  <c r="AS29" i="38"/>
  <c r="J29" i="38" s="1"/>
  <c r="AS30" i="38"/>
  <c r="J30" i="38" s="1"/>
  <c r="AS28" i="38"/>
  <c r="J28" i="38" s="1"/>
  <c r="AS26" i="38"/>
  <c r="J26" i="38" s="1"/>
  <c r="AS27" i="38"/>
  <c r="J27" i="38" s="1"/>
  <c r="AO23" i="38"/>
  <c r="AQ23" i="38"/>
  <c r="Y23" i="38"/>
  <c r="AO42" i="38"/>
  <c r="AO41" i="38"/>
  <c r="AO40" i="38"/>
  <c r="AO46" i="38"/>
  <c r="AO45" i="38"/>
  <c r="AO44" i="38"/>
  <c r="AO39" i="38"/>
  <c r="AO47" i="38"/>
  <c r="AO43" i="38"/>
  <c r="AK23" i="38"/>
  <c r="AE23" i="38"/>
  <c r="AI41" i="38"/>
  <c r="AI40" i="38"/>
  <c r="AI39" i="38"/>
  <c r="AI42" i="38"/>
  <c r="AI44" i="38"/>
  <c r="AI43" i="38"/>
  <c r="AM42" i="38"/>
  <c r="AM41" i="38"/>
  <c r="AM40" i="38"/>
  <c r="AM39" i="38"/>
  <c r="AM45" i="38"/>
  <c r="AM46" i="38"/>
  <c r="AM43" i="38"/>
  <c r="AM44" i="38"/>
  <c r="AM23" i="38"/>
  <c r="AB18" i="38"/>
  <c r="AC16" i="38"/>
  <c r="AC14" i="38"/>
  <c r="AC15" i="38"/>
  <c r="AD15" i="38"/>
  <c r="AD14" i="38"/>
  <c r="AD10" i="38"/>
  <c r="AD13" i="38"/>
  <c r="AD6" i="38"/>
  <c r="AC7" i="38"/>
  <c r="AC13" i="38"/>
  <c r="AD8" i="38"/>
  <c r="AD5" i="38"/>
  <c r="AD12" i="38"/>
  <c r="AC12" i="38"/>
  <c r="AD7" i="38"/>
  <c r="AD11" i="38"/>
  <c r="AD9" i="38"/>
  <c r="AC11" i="38"/>
  <c r="AC5" i="38"/>
  <c r="AC9" i="38"/>
  <c r="AC10" i="38"/>
  <c r="AC8" i="38"/>
  <c r="AC6" i="38"/>
  <c r="AK41" i="38"/>
  <c r="AK42" i="38"/>
  <c r="AK40" i="38"/>
  <c r="AK39" i="38"/>
  <c r="AK44" i="38"/>
  <c r="AK45" i="38"/>
  <c r="AK43" i="38"/>
  <c r="AE37" i="38"/>
  <c r="AA37" i="38"/>
  <c r="AK18" i="50" l="1"/>
  <c r="L42" i="50" s="1"/>
  <c r="H43" i="50" s="1"/>
  <c r="AE18" i="50"/>
  <c r="L28" i="50" s="1"/>
  <c r="H29" i="50" s="1"/>
  <c r="H26" i="50"/>
  <c r="H27" i="50"/>
  <c r="H25" i="50"/>
  <c r="H41" i="50"/>
  <c r="H40" i="50"/>
  <c r="H39" i="50"/>
  <c r="AK18" i="49"/>
  <c r="L42" i="49" s="1"/>
  <c r="H47" i="49" s="1"/>
  <c r="AE18" i="49"/>
  <c r="L28" i="49" s="1"/>
  <c r="H34" i="49" s="1"/>
  <c r="J37" i="49"/>
  <c r="AS37" i="49"/>
  <c r="AS36" i="49" s="1"/>
  <c r="H41" i="49"/>
  <c r="H40" i="49"/>
  <c r="H39" i="49"/>
  <c r="H26" i="49"/>
  <c r="H27" i="49"/>
  <c r="H25" i="49"/>
  <c r="AE18" i="48"/>
  <c r="L28" i="48" s="1"/>
  <c r="H30" i="48" s="1"/>
  <c r="AK18" i="48"/>
  <c r="L42" i="48" s="1"/>
  <c r="H44" i="48" s="1"/>
  <c r="H26" i="48"/>
  <c r="H27" i="48"/>
  <c r="H25" i="48"/>
  <c r="H41" i="48"/>
  <c r="H40" i="48"/>
  <c r="H39" i="48"/>
  <c r="AS37" i="48"/>
  <c r="AS36" i="48" s="1"/>
  <c r="J37" i="48"/>
  <c r="BS12" i="47"/>
  <c r="BS11" i="47"/>
  <c r="BO8" i="47"/>
  <c r="H34" i="47"/>
  <c r="H41" i="47"/>
  <c r="H40" i="47"/>
  <c r="H39" i="47"/>
  <c r="L37" i="47"/>
  <c r="H31" i="47"/>
  <c r="H49" i="47"/>
  <c r="BK43" i="47" s="1"/>
  <c r="H35" i="47"/>
  <c r="BO14" i="47" s="1"/>
  <c r="H28" i="47"/>
  <c r="H33" i="47"/>
  <c r="H45" i="47"/>
  <c r="BK39" i="47" s="1"/>
  <c r="H32" i="47"/>
  <c r="H26" i="47"/>
  <c r="H27" i="47"/>
  <c r="H25" i="47"/>
  <c r="L23" i="47"/>
  <c r="H47" i="47"/>
  <c r="BK41" i="47" s="1"/>
  <c r="H46" i="47"/>
  <c r="BK40" i="47" s="1"/>
  <c r="H48" i="47"/>
  <c r="BK42" i="47" s="1"/>
  <c r="H42" i="47"/>
  <c r="BS13" i="47" s="1"/>
  <c r="H30" i="47"/>
  <c r="H44" i="47"/>
  <c r="BK38" i="47" s="1"/>
  <c r="AC37" i="38"/>
  <c r="AI18" i="38"/>
  <c r="L40" i="38" s="1"/>
  <c r="AM37" i="38"/>
  <c r="J23" i="38"/>
  <c r="AJ18" i="38"/>
  <c r="L41" i="38" s="1"/>
  <c r="AC18" i="38"/>
  <c r="L26" i="38" s="1"/>
  <c r="AD18" i="38"/>
  <c r="L27" i="38" s="1"/>
  <c r="AI37" i="38"/>
  <c r="AO37" i="38"/>
  <c r="Y37" i="38"/>
  <c r="AK37" i="38"/>
  <c r="AS42" i="38"/>
  <c r="J42" i="38" s="1"/>
  <c r="AS43" i="38"/>
  <c r="J43" i="38" s="1"/>
  <c r="AS41" i="38"/>
  <c r="J41" i="38" s="1"/>
  <c r="AS40" i="38"/>
  <c r="J40" i="38" s="1"/>
  <c r="AS46" i="38"/>
  <c r="J46" i="38" s="1"/>
  <c r="AS47" i="38"/>
  <c r="J47" i="38" s="1"/>
  <c r="AS39" i="38"/>
  <c r="J39" i="38" s="1"/>
  <c r="AS48" i="38"/>
  <c r="J48" i="38" s="1"/>
  <c r="AS44" i="38"/>
  <c r="J44" i="38" s="1"/>
  <c r="AS45" i="38"/>
  <c r="J45" i="38" s="1"/>
  <c r="AS49" i="38"/>
  <c r="J49" i="38" s="1"/>
  <c r="L39" i="38"/>
  <c r="AG37" i="38"/>
  <c r="AS23" i="38"/>
  <c r="AS22" i="38" s="1"/>
  <c r="L25" i="38"/>
  <c r="AQ37" i="38"/>
  <c r="H47" i="50" l="1"/>
  <c r="BK11" i="50" s="1"/>
  <c r="H45" i="50"/>
  <c r="BK26" i="50" s="1"/>
  <c r="H48" i="50"/>
  <c r="BK29" i="50" s="1"/>
  <c r="H44" i="50"/>
  <c r="BK25" i="50" s="1"/>
  <c r="H46" i="50"/>
  <c r="BK19" i="50" s="1"/>
  <c r="H49" i="50"/>
  <c r="BK43" i="50" s="1"/>
  <c r="H42" i="50"/>
  <c r="BK15" i="50" s="1"/>
  <c r="L37" i="50"/>
  <c r="H32" i="50"/>
  <c r="H31" i="50"/>
  <c r="H33" i="50"/>
  <c r="BS31" i="50" s="1"/>
  <c r="L23" i="50"/>
  <c r="H34" i="50"/>
  <c r="H35" i="50"/>
  <c r="H28" i="50"/>
  <c r="H30" i="50"/>
  <c r="BK24" i="50"/>
  <c r="BO6" i="50"/>
  <c r="BS6" i="50"/>
  <c r="BS5" i="50"/>
  <c r="BS10" i="50"/>
  <c r="BS11" i="50"/>
  <c r="BS12" i="50"/>
  <c r="BO8" i="50"/>
  <c r="BK14" i="50"/>
  <c r="BO5" i="50"/>
  <c r="BS4" i="50"/>
  <c r="BK16" i="50"/>
  <c r="BK7" i="50"/>
  <c r="BK5" i="50"/>
  <c r="BK4" i="50"/>
  <c r="BO4" i="50"/>
  <c r="H49" i="49"/>
  <c r="BK59" i="49" s="1"/>
  <c r="L37" i="49"/>
  <c r="H43" i="49"/>
  <c r="BK24" i="49" s="1"/>
  <c r="H44" i="49"/>
  <c r="BS44" i="49" s="1"/>
  <c r="H45" i="49"/>
  <c r="BS45" i="49" s="1"/>
  <c r="H46" i="49"/>
  <c r="BK27" i="49" s="1"/>
  <c r="H42" i="49"/>
  <c r="BK6" i="49" s="1"/>
  <c r="H48" i="49"/>
  <c r="BK12" i="49" s="1"/>
  <c r="H30" i="49"/>
  <c r="H28" i="49"/>
  <c r="H35" i="49"/>
  <c r="H29" i="49"/>
  <c r="BS11" i="49" s="1"/>
  <c r="BS39" i="49"/>
  <c r="H32" i="49"/>
  <c r="H33" i="49"/>
  <c r="BS33" i="49" s="1"/>
  <c r="BS47" i="49"/>
  <c r="BS40" i="49"/>
  <c r="L23" i="49"/>
  <c r="H31" i="49"/>
  <c r="BS20" i="49" s="1"/>
  <c r="BK28" i="49"/>
  <c r="BO6" i="49"/>
  <c r="BS6" i="49"/>
  <c r="BS5" i="49"/>
  <c r="BK20" i="49"/>
  <c r="BK14" i="49"/>
  <c r="BO5" i="49"/>
  <c r="BS4" i="49"/>
  <c r="BK4" i="49"/>
  <c r="BK11" i="49"/>
  <c r="BK5" i="49"/>
  <c r="BO4" i="49"/>
  <c r="BS41" i="49"/>
  <c r="H33" i="48"/>
  <c r="BS36" i="48" s="1"/>
  <c r="H32" i="48"/>
  <c r="BS24" i="48" s="1"/>
  <c r="H28" i="48"/>
  <c r="BS8" i="48" s="1"/>
  <c r="H35" i="48"/>
  <c r="L23" i="48"/>
  <c r="H31" i="48"/>
  <c r="BS20" i="48" s="1"/>
  <c r="H34" i="48"/>
  <c r="BS41" i="48" s="1"/>
  <c r="H29" i="48"/>
  <c r="BS15" i="48"/>
  <c r="L37" i="48"/>
  <c r="H48" i="48"/>
  <c r="BK29" i="48" s="1"/>
  <c r="H49" i="48"/>
  <c r="BK48" i="48" s="1"/>
  <c r="H42" i="48"/>
  <c r="BS17" i="48" s="1"/>
  <c r="H43" i="48"/>
  <c r="BS18" i="48" s="1"/>
  <c r="BS16" i="48"/>
  <c r="H46" i="48"/>
  <c r="BK45" i="48" s="1"/>
  <c r="H47" i="48"/>
  <c r="BK46" i="48" s="1"/>
  <c r="H45" i="48"/>
  <c r="BK44" i="48" s="1"/>
  <c r="BS14" i="48"/>
  <c r="BO9" i="48"/>
  <c r="BK25" i="48"/>
  <c r="BS6" i="48"/>
  <c r="BS5" i="48"/>
  <c r="BO6" i="48"/>
  <c r="BK17" i="48"/>
  <c r="BK14" i="48"/>
  <c r="BS4" i="48"/>
  <c r="BO5" i="48"/>
  <c r="BK8" i="48"/>
  <c r="BO4" i="48"/>
  <c r="BK4" i="48"/>
  <c r="BK5" i="48"/>
  <c r="BK47" i="47"/>
  <c r="BS17" i="47"/>
  <c r="BS15" i="47"/>
  <c r="BK45" i="47"/>
  <c r="BK44" i="47"/>
  <c r="BK48" i="47"/>
  <c r="BS16" i="47"/>
  <c r="BK46" i="47"/>
  <c r="BS18" i="47"/>
  <c r="BO9" i="47"/>
  <c r="BS14" i="47"/>
  <c r="BK18" i="47"/>
  <c r="BK20" i="47"/>
  <c r="BK17" i="47"/>
  <c r="BK15" i="47"/>
  <c r="BK14" i="47"/>
  <c r="BK22" i="47"/>
  <c r="BK16" i="47"/>
  <c r="BK21" i="47"/>
  <c r="BS4" i="47"/>
  <c r="BK19" i="47"/>
  <c r="BO5" i="47"/>
  <c r="BK55" i="47"/>
  <c r="BS26" i="47"/>
  <c r="BO11" i="47"/>
  <c r="BK54" i="47"/>
  <c r="BS30" i="47"/>
  <c r="BS29" i="47"/>
  <c r="BS28" i="47"/>
  <c r="BS27" i="47"/>
  <c r="BS24" i="47"/>
  <c r="BK56" i="47"/>
  <c r="BS25" i="47"/>
  <c r="BS32" i="47"/>
  <c r="BS31" i="47"/>
  <c r="BO12" i="47"/>
  <c r="BK58" i="47"/>
  <c r="BS35" i="47"/>
  <c r="BS33" i="47"/>
  <c r="BS37" i="47"/>
  <c r="BS36" i="47"/>
  <c r="BK57" i="47"/>
  <c r="BS34" i="47"/>
  <c r="BS38" i="47"/>
  <c r="H37" i="47"/>
  <c r="BK32" i="47"/>
  <c r="BK31" i="47"/>
  <c r="BK35" i="47"/>
  <c r="BK33" i="47"/>
  <c r="BK37" i="47"/>
  <c r="BK34" i="47"/>
  <c r="BO7" i="47"/>
  <c r="BS9" i="47"/>
  <c r="BS7" i="47"/>
  <c r="BS8" i="47"/>
  <c r="BK36" i="47"/>
  <c r="BK59" i="47"/>
  <c r="BS45" i="47"/>
  <c r="BS44" i="47"/>
  <c r="BO13" i="47"/>
  <c r="BS46" i="47"/>
  <c r="BS42" i="47"/>
  <c r="BS41" i="47"/>
  <c r="BS40" i="47"/>
  <c r="BS43" i="47"/>
  <c r="BS47" i="47"/>
  <c r="BS39" i="47"/>
  <c r="BK9" i="47"/>
  <c r="BK8" i="47"/>
  <c r="BK7" i="47"/>
  <c r="H23" i="47"/>
  <c r="BK12" i="47"/>
  <c r="BK11" i="47"/>
  <c r="BO4" i="47"/>
  <c r="BK4" i="47"/>
  <c r="BK6" i="47"/>
  <c r="BK10" i="47"/>
  <c r="BK13" i="47"/>
  <c r="BK5" i="47"/>
  <c r="BK25" i="47"/>
  <c r="BK26" i="47"/>
  <c r="BK23" i="47"/>
  <c r="BK30" i="47"/>
  <c r="BK24" i="47"/>
  <c r="BK29" i="47"/>
  <c r="BK27" i="47"/>
  <c r="BK28" i="47"/>
  <c r="BS6" i="47"/>
  <c r="BS5" i="47"/>
  <c r="BO6" i="47"/>
  <c r="BK51" i="47"/>
  <c r="BS23" i="47"/>
  <c r="BO10" i="47"/>
  <c r="BK50" i="47"/>
  <c r="BS21" i="47"/>
  <c r="BS19" i="47"/>
  <c r="BK53" i="47"/>
  <c r="BK49" i="47"/>
  <c r="BS22" i="47"/>
  <c r="BK52" i="47"/>
  <c r="BS20" i="47"/>
  <c r="BS10" i="47"/>
  <c r="AK18" i="38"/>
  <c r="L42" i="38" s="1"/>
  <c r="H45" i="38" s="1"/>
  <c r="AE18" i="38"/>
  <c r="L28" i="38" s="1"/>
  <c r="H31" i="38" s="1"/>
  <c r="J37" i="38"/>
  <c r="H41" i="38"/>
  <c r="H40" i="38"/>
  <c r="H39" i="38"/>
  <c r="AS37" i="38"/>
  <c r="AS36" i="38" s="1"/>
  <c r="H26" i="38"/>
  <c r="H27" i="38"/>
  <c r="H25" i="38"/>
  <c r="BS17" i="50" l="1"/>
  <c r="BK10" i="50"/>
  <c r="BK20" i="50"/>
  <c r="BS44" i="50"/>
  <c r="BO14" i="50"/>
  <c r="BK18" i="50"/>
  <c r="BK36" i="50"/>
  <c r="BK21" i="50"/>
  <c r="BK39" i="50"/>
  <c r="BK9" i="50"/>
  <c r="BK40" i="50"/>
  <c r="BK27" i="50"/>
  <c r="BK12" i="50"/>
  <c r="BK8" i="50"/>
  <c r="BK17" i="50"/>
  <c r="BK38" i="50"/>
  <c r="BK42" i="50"/>
  <c r="BK6" i="50"/>
  <c r="BS13" i="50"/>
  <c r="H37" i="50"/>
  <c r="BS30" i="50"/>
  <c r="BK22" i="50"/>
  <c r="BK28" i="50"/>
  <c r="BK41" i="50"/>
  <c r="BK23" i="50"/>
  <c r="BK30" i="50"/>
  <c r="BK13" i="50"/>
  <c r="BS21" i="50"/>
  <c r="BS7" i="50"/>
  <c r="BS9" i="50"/>
  <c r="BK50" i="50"/>
  <c r="BS45" i="50"/>
  <c r="BS25" i="50"/>
  <c r="BS47" i="50"/>
  <c r="BK54" i="50"/>
  <c r="BK33" i="50"/>
  <c r="BO11" i="50"/>
  <c r="BK35" i="50"/>
  <c r="BS43" i="50"/>
  <c r="BS27" i="50"/>
  <c r="BK32" i="50"/>
  <c r="BS40" i="50"/>
  <c r="BK47" i="50"/>
  <c r="BS46" i="50"/>
  <c r="BK46" i="50"/>
  <c r="BS36" i="50"/>
  <c r="BK57" i="50"/>
  <c r="BS16" i="50"/>
  <c r="BS8" i="50"/>
  <c r="BS37" i="50"/>
  <c r="BK44" i="50"/>
  <c r="BO7" i="50"/>
  <c r="BS33" i="50"/>
  <c r="BO9" i="50"/>
  <c r="BS32" i="50"/>
  <c r="BK45" i="50"/>
  <c r="BK37" i="50"/>
  <c r="BS35" i="50"/>
  <c r="BS42" i="50"/>
  <c r="BK58" i="50"/>
  <c r="BS38" i="50"/>
  <c r="BO12" i="50"/>
  <c r="BK31" i="50"/>
  <c r="BS34" i="50"/>
  <c r="BK59" i="50"/>
  <c r="BS20" i="50"/>
  <c r="BO10" i="50"/>
  <c r="BK56" i="50"/>
  <c r="BS26" i="50"/>
  <c r="BK52" i="50"/>
  <c r="BS23" i="50"/>
  <c r="H23" i="50"/>
  <c r="BK48" i="50"/>
  <c r="BS24" i="50"/>
  <c r="BK55" i="50"/>
  <c r="BS22" i="50"/>
  <c r="BK51" i="50"/>
  <c r="BS41" i="50"/>
  <c r="BK49" i="50"/>
  <c r="BS28" i="50"/>
  <c r="BK53" i="50"/>
  <c r="BS14" i="50"/>
  <c r="BS15" i="50"/>
  <c r="BS29" i="50"/>
  <c r="BK34" i="50"/>
  <c r="BS19" i="50"/>
  <c r="BO13" i="50"/>
  <c r="BS18" i="50"/>
  <c r="BS39" i="50"/>
  <c r="BS30" i="49"/>
  <c r="BK25" i="49"/>
  <c r="BK13" i="49"/>
  <c r="BK16" i="49"/>
  <c r="BS43" i="49"/>
  <c r="BK7" i="49"/>
  <c r="BK30" i="49"/>
  <c r="BK22" i="49"/>
  <c r="BK26" i="49"/>
  <c r="BK18" i="49"/>
  <c r="BK9" i="49"/>
  <c r="BO14" i="49"/>
  <c r="BK33" i="49"/>
  <c r="BK8" i="49"/>
  <c r="BK17" i="49"/>
  <c r="BK29" i="49"/>
  <c r="BK21" i="49"/>
  <c r="BS42" i="49"/>
  <c r="H37" i="49"/>
  <c r="BK23" i="49"/>
  <c r="BS31" i="49"/>
  <c r="BK15" i="49"/>
  <c r="BK19" i="49"/>
  <c r="BK10" i="49"/>
  <c r="BK45" i="49"/>
  <c r="BO13" i="49"/>
  <c r="BS46" i="49"/>
  <c r="BS8" i="49"/>
  <c r="BK44" i="49"/>
  <c r="BS18" i="49"/>
  <c r="BS24" i="49"/>
  <c r="BS16" i="49"/>
  <c r="BS14" i="49"/>
  <c r="BK48" i="49"/>
  <c r="BK35" i="49"/>
  <c r="BK41" i="49"/>
  <c r="BK40" i="49"/>
  <c r="BO8" i="49"/>
  <c r="BK42" i="49"/>
  <c r="BK38" i="49"/>
  <c r="BS12" i="49"/>
  <c r="BK39" i="49"/>
  <c r="BK43" i="49"/>
  <c r="BS10" i="49"/>
  <c r="BS13" i="49"/>
  <c r="BK31" i="49"/>
  <c r="BK34" i="49"/>
  <c r="BS26" i="49"/>
  <c r="BK47" i="49"/>
  <c r="BK46" i="49"/>
  <c r="BK36" i="49"/>
  <c r="BK56" i="49"/>
  <c r="BO9" i="49"/>
  <c r="BS15" i="49"/>
  <c r="H23" i="49"/>
  <c r="BK32" i="49"/>
  <c r="BK37" i="49"/>
  <c r="BS32" i="49"/>
  <c r="BS17" i="49"/>
  <c r="BO7" i="49"/>
  <c r="BS7" i="49"/>
  <c r="BS9" i="49"/>
  <c r="BS37" i="49"/>
  <c r="BK53" i="49"/>
  <c r="BK50" i="49"/>
  <c r="BS21" i="49"/>
  <c r="BS19" i="49"/>
  <c r="BK49" i="49"/>
  <c r="BK51" i="49"/>
  <c r="BS22" i="49"/>
  <c r="BS23" i="49"/>
  <c r="BK52" i="49"/>
  <c r="BO10" i="49"/>
  <c r="BK58" i="49"/>
  <c r="BS36" i="49"/>
  <c r="BK57" i="49"/>
  <c r="BS35" i="49"/>
  <c r="BS34" i="49"/>
  <c r="BO12" i="49"/>
  <c r="BS38" i="49"/>
  <c r="BK55" i="49"/>
  <c r="BO11" i="49"/>
  <c r="BK54" i="49"/>
  <c r="BS29" i="49"/>
  <c r="BS27" i="49"/>
  <c r="BS25" i="49"/>
  <c r="BS28" i="49"/>
  <c r="BS19" i="48"/>
  <c r="BS33" i="48"/>
  <c r="BS29" i="48"/>
  <c r="BS31" i="48"/>
  <c r="BS32" i="48"/>
  <c r="BS26" i="48"/>
  <c r="BS7" i="48"/>
  <c r="BS9" i="48"/>
  <c r="BS25" i="48"/>
  <c r="BK32" i="48"/>
  <c r="BS13" i="48"/>
  <c r="BS34" i="48"/>
  <c r="BK23" i="48"/>
  <c r="BK6" i="48"/>
  <c r="BK38" i="48"/>
  <c r="BS12" i="48"/>
  <c r="BS10" i="48"/>
  <c r="BS35" i="48"/>
  <c r="BS11" i="48"/>
  <c r="BS40" i="48"/>
  <c r="BS39" i="48"/>
  <c r="BK30" i="48"/>
  <c r="BK21" i="48"/>
  <c r="BK9" i="48"/>
  <c r="BK53" i="48"/>
  <c r="BK59" i="48"/>
  <c r="BK55" i="48"/>
  <c r="BS44" i="48"/>
  <c r="BK13" i="48"/>
  <c r="BO10" i="48"/>
  <c r="H23" i="48"/>
  <c r="BS23" i="48"/>
  <c r="BK22" i="48"/>
  <c r="BK43" i="48"/>
  <c r="BK36" i="48"/>
  <c r="BK49" i="48"/>
  <c r="BK37" i="48"/>
  <c r="BK56" i="48"/>
  <c r="BK11" i="48"/>
  <c r="BS28" i="48"/>
  <c r="BK52" i="48"/>
  <c r="BK41" i="48"/>
  <c r="BK54" i="48"/>
  <c r="BK12" i="48"/>
  <c r="BO7" i="48"/>
  <c r="BO13" i="48"/>
  <c r="BK47" i="48"/>
  <c r="BK16" i="48"/>
  <c r="BS43" i="48"/>
  <c r="BK57" i="48"/>
  <c r="BK42" i="48"/>
  <c r="BS22" i="48"/>
  <c r="BK35" i="48"/>
  <c r="BK7" i="48"/>
  <c r="BK31" i="48"/>
  <c r="BK15" i="48"/>
  <c r="BO8" i="48"/>
  <c r="BO14" i="48"/>
  <c r="BS30" i="48"/>
  <c r="BK39" i="48"/>
  <c r="BK24" i="48"/>
  <c r="BS27" i="48"/>
  <c r="BS21" i="48"/>
  <c r="BK58" i="48"/>
  <c r="BS42" i="48"/>
  <c r="BK51" i="48"/>
  <c r="BK33" i="48"/>
  <c r="BS37" i="48"/>
  <c r="BK20" i="48"/>
  <c r="BK26" i="48"/>
  <c r="BS45" i="48"/>
  <c r="BK40" i="48"/>
  <c r="BK50" i="48"/>
  <c r="BK27" i="48"/>
  <c r="BO11" i="48"/>
  <c r="BK28" i="48"/>
  <c r="BS47" i="48"/>
  <c r="BK34" i="48"/>
  <c r="BO12" i="48"/>
  <c r="BK18" i="48"/>
  <c r="H37" i="48"/>
  <c r="BS38" i="48"/>
  <c r="BK19" i="48"/>
  <c r="BS46" i="48"/>
  <c r="BK10" i="48"/>
  <c r="B38" i="47"/>
  <c r="B37" i="47"/>
  <c r="B36" i="47"/>
  <c r="H34" i="38"/>
  <c r="BS45" i="38" s="1"/>
  <c r="H48" i="38"/>
  <c r="BK52" i="38" s="1"/>
  <c r="H29" i="38"/>
  <c r="BK39" i="38" s="1"/>
  <c r="H44" i="38"/>
  <c r="BS23" i="38" s="1"/>
  <c r="L23" i="38"/>
  <c r="H33" i="38"/>
  <c r="L37" i="38"/>
  <c r="H30" i="38"/>
  <c r="BK44" i="38" s="1"/>
  <c r="H49" i="38"/>
  <c r="BK30" i="38" s="1"/>
  <c r="H32" i="38"/>
  <c r="H28" i="38"/>
  <c r="BS8" i="38" s="1"/>
  <c r="H35" i="38"/>
  <c r="BO10" i="38"/>
  <c r="H42" i="38"/>
  <c r="BS21" i="38" s="1"/>
  <c r="H46" i="38"/>
  <c r="BK50" i="38" s="1"/>
  <c r="H47" i="38"/>
  <c r="BK51" i="38" s="1"/>
  <c r="H43" i="38"/>
  <c r="BS22" i="38" s="1"/>
  <c r="BK49" i="38"/>
  <c r="BK9" i="38"/>
  <c r="BO4" i="38"/>
  <c r="BK4" i="38"/>
  <c r="BK5" i="38"/>
  <c r="BS19" i="38"/>
  <c r="BK26" i="38"/>
  <c r="BO6" i="38"/>
  <c r="BS5" i="38"/>
  <c r="BS6" i="38"/>
  <c r="BK14" i="38"/>
  <c r="BS4" i="38"/>
  <c r="BK18" i="38"/>
  <c r="BO5" i="38"/>
  <c r="BS20" i="38"/>
  <c r="W16" i="32"/>
  <c r="V16" i="32"/>
  <c r="U16" i="32"/>
  <c r="T16" i="32"/>
  <c r="X16" i="32" s="1"/>
  <c r="B36" i="50" l="1"/>
  <c r="B38" i="50"/>
  <c r="B37" i="50"/>
  <c r="B37" i="49"/>
  <c r="B36" i="49"/>
  <c r="B38" i="49"/>
  <c r="B37" i="48"/>
  <c r="B36" i="48"/>
  <c r="B38" i="48"/>
  <c r="BK22" i="38"/>
  <c r="BK53" i="38"/>
  <c r="BK59" i="38"/>
  <c r="BK56" i="38"/>
  <c r="BK13" i="38"/>
  <c r="BK17" i="38"/>
  <c r="BS25" i="38"/>
  <c r="BK8" i="38"/>
  <c r="BS39" i="38"/>
  <c r="BS40" i="38"/>
  <c r="BS41" i="38"/>
  <c r="BS44" i="38"/>
  <c r="BK38" i="38"/>
  <c r="BS11" i="38"/>
  <c r="BK57" i="38"/>
  <c r="BS12" i="38"/>
  <c r="BK43" i="38"/>
  <c r="BS7" i="38"/>
  <c r="BK32" i="38"/>
  <c r="BS24" i="38"/>
  <c r="BO14" i="38"/>
  <c r="BK37" i="38"/>
  <c r="BS34" i="38"/>
  <c r="BK55" i="38"/>
  <c r="BS36" i="38"/>
  <c r="BK25" i="38"/>
  <c r="BS29" i="38"/>
  <c r="BS42" i="38"/>
  <c r="BS10" i="38"/>
  <c r="BS30" i="38"/>
  <c r="BK33" i="38"/>
  <c r="BS9" i="38"/>
  <c r="BS14" i="38"/>
  <c r="BS33" i="38"/>
  <c r="BS37" i="38"/>
  <c r="BK12" i="38"/>
  <c r="BS26" i="38"/>
  <c r="BK47" i="38"/>
  <c r="BK58" i="38"/>
  <c r="BS15" i="38"/>
  <c r="BK36" i="38"/>
  <c r="BS31" i="38"/>
  <c r="BK42" i="38"/>
  <c r="BO9" i="38"/>
  <c r="BO13" i="38"/>
  <c r="BK48" i="38"/>
  <c r="BS32" i="38"/>
  <c r="BS16" i="38"/>
  <c r="BK21" i="38"/>
  <c r="BK29" i="38"/>
  <c r="H23" i="38"/>
  <c r="BK24" i="38"/>
  <c r="BS43" i="38"/>
  <c r="BS28" i="38"/>
  <c r="BS18" i="38"/>
  <c r="BO8" i="38"/>
  <c r="BK31" i="38"/>
  <c r="BK16" i="38"/>
  <c r="BS35" i="38"/>
  <c r="BK7" i="38"/>
  <c r="BK10" i="38"/>
  <c r="BK15" i="38"/>
  <c r="BS38" i="38"/>
  <c r="BK27" i="38"/>
  <c r="BS46" i="38"/>
  <c r="BK40" i="38"/>
  <c r="BK20" i="38"/>
  <c r="BK28" i="38"/>
  <c r="BK41" i="38"/>
  <c r="BK35" i="38"/>
  <c r="BO7" i="38"/>
  <c r="BO11" i="38"/>
  <c r="BK19" i="38"/>
  <c r="BK23" i="38"/>
  <c r="BS13" i="38"/>
  <c r="BK6" i="38"/>
  <c r="BK46" i="38"/>
  <c r="H37" i="38"/>
  <c r="BS47" i="38"/>
  <c r="BK54" i="38"/>
  <c r="BS27" i="38"/>
  <c r="BK45" i="38"/>
  <c r="BO12" i="38"/>
  <c r="BS17" i="38"/>
  <c r="BK34" i="38"/>
  <c r="BK11" i="38"/>
  <c r="R16" i="32"/>
  <c r="U15" i="32"/>
  <c r="V15" i="32" s="1"/>
  <c r="T15" i="32"/>
  <c r="R15" i="32"/>
  <c r="U14" i="32"/>
  <c r="T14" i="32"/>
  <c r="R14" i="32"/>
  <c r="U13" i="32"/>
  <c r="T13" i="32"/>
  <c r="R13" i="32"/>
  <c r="U12" i="32"/>
  <c r="T12" i="32"/>
  <c r="R12" i="32"/>
  <c r="R11" i="32"/>
  <c r="V11" i="32" s="1"/>
  <c r="U10" i="32"/>
  <c r="T10" i="32"/>
  <c r="R10" i="32"/>
  <c r="U9" i="32"/>
  <c r="T9" i="32"/>
  <c r="R9" i="32"/>
  <c r="U8" i="32"/>
  <c r="T8" i="32"/>
  <c r="R8" i="32"/>
  <c r="U7" i="32"/>
  <c r="T7" i="32"/>
  <c r="R7" i="32"/>
  <c r="U6" i="32"/>
  <c r="T6" i="32"/>
  <c r="R6" i="32"/>
  <c r="U5" i="32"/>
  <c r="T5" i="32"/>
  <c r="R5" i="32"/>
  <c r="R3" i="32" s="1"/>
  <c r="U2" i="32"/>
  <c r="T2" i="32"/>
  <c r="R2" i="32"/>
  <c r="Q1" i="31"/>
  <c r="P1" i="31"/>
  <c r="P15" i="31"/>
  <c r="Q6" i="31"/>
  <c r="E11" i="32"/>
  <c r="E12" i="32"/>
  <c r="E13" i="32"/>
  <c r="E14" i="32"/>
  <c r="B27" i="32" s="1"/>
  <c r="C33" i="32" s="1"/>
  <c r="D33" i="32" s="1"/>
  <c r="E33" i="32" s="1"/>
  <c r="E7" i="32"/>
  <c r="E8" i="32"/>
  <c r="E4" i="32"/>
  <c r="E5" i="32"/>
  <c r="E6" i="32"/>
  <c r="E3" i="32"/>
  <c r="B37" i="38" l="1"/>
  <c r="B36" i="38"/>
  <c r="B38" i="38"/>
  <c r="V14" i="32"/>
  <c r="V9" i="32"/>
  <c r="V13" i="32"/>
  <c r="V10" i="32"/>
  <c r="V8" i="32"/>
  <c r="V12" i="32"/>
  <c r="V6" i="32"/>
  <c r="V7" i="32"/>
  <c r="V5" i="32"/>
  <c r="B26" i="32"/>
  <c r="C26" i="32" s="1"/>
  <c r="D26" i="32" s="1"/>
  <c r="E26" i="32" s="1"/>
  <c r="F26" i="32" s="1"/>
  <c r="B19" i="32"/>
  <c r="C19" i="32" s="1"/>
  <c r="D19" i="32" s="1"/>
  <c r="E19" i="32" s="1"/>
  <c r="F19" i="32" s="1"/>
  <c r="B25" i="32"/>
  <c r="F25" i="32" s="1"/>
  <c r="D17" i="32"/>
  <c r="C25" i="32"/>
  <c r="D25" i="32" s="1"/>
  <c r="E25" i="32" s="1"/>
  <c r="C32" i="32"/>
  <c r="D32" i="32" s="1"/>
  <c r="E32" i="32" s="1"/>
  <c r="C27" i="32"/>
  <c r="D27" i="32" s="1"/>
  <c r="E27" i="32" s="1"/>
  <c r="F27" i="32" s="1"/>
  <c r="BF48" i="31"/>
  <c r="BF47" i="31"/>
  <c r="BE45" i="31"/>
  <c r="BF46" i="31" s="1"/>
  <c r="BE44" i="31"/>
  <c r="BF45" i="31" s="1"/>
  <c r="BD44" i="31"/>
  <c r="BE43" i="31"/>
  <c r="BF44" i="31" s="1"/>
  <c r="BD43" i="31"/>
  <c r="BC43" i="31"/>
  <c r="BE42" i="31"/>
  <c r="BD42" i="31"/>
  <c r="BC42" i="31"/>
  <c r="BF41" i="31"/>
  <c r="BE41" i="31"/>
  <c r="BF42" i="31" s="1"/>
  <c r="BD41" i="31"/>
  <c r="BC41" i="31"/>
  <c r="BF40" i="31"/>
  <c r="BE40" i="31"/>
  <c r="BD40" i="31"/>
  <c r="BC40" i="31"/>
  <c r="BC39" i="31"/>
  <c r="AS38" i="31"/>
  <c r="AR38" i="31"/>
  <c r="AQ38" i="31"/>
  <c r="AP38" i="31"/>
  <c r="AO38" i="31"/>
  <c r="AN38" i="31"/>
  <c r="AM38" i="31"/>
  <c r="AL38" i="31"/>
  <c r="AK38" i="31"/>
  <c r="AJ38" i="31"/>
  <c r="AI38" i="31"/>
  <c r="AH38" i="31"/>
  <c r="AG38" i="31"/>
  <c r="AF38" i="31"/>
  <c r="AE38" i="31"/>
  <c r="AD38" i="31"/>
  <c r="AC38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BF34" i="31"/>
  <c r="BF33" i="31"/>
  <c r="C32" i="31"/>
  <c r="B32" i="31"/>
  <c r="BE31" i="31"/>
  <c r="BF32" i="31" s="1"/>
  <c r="BI30" i="31"/>
  <c r="BI37" i="31" s="1"/>
  <c r="BI43" i="31" s="1"/>
  <c r="BI48" i="31" s="1"/>
  <c r="BI53" i="31" s="1"/>
  <c r="BI56" i="31" s="1"/>
  <c r="BI58" i="31" s="1"/>
  <c r="BI59" i="31" s="1"/>
  <c r="BE30" i="31"/>
  <c r="BF31" i="31" s="1"/>
  <c r="BD30" i="31"/>
  <c r="E30" i="31"/>
  <c r="D30" i="31"/>
  <c r="BI29" i="31"/>
  <c r="BI36" i="31" s="1"/>
  <c r="BI42" i="31" s="1"/>
  <c r="BI47" i="31" s="1"/>
  <c r="BI52" i="31" s="1"/>
  <c r="BI55" i="31" s="1"/>
  <c r="BI57" i="31" s="1"/>
  <c r="BM13" i="31" s="1"/>
  <c r="BE29" i="31"/>
  <c r="BD29" i="31"/>
  <c r="BC29" i="31"/>
  <c r="C29" i="31"/>
  <c r="B29" i="31"/>
  <c r="BI28" i="31"/>
  <c r="BI35" i="31" s="1"/>
  <c r="BI41" i="31" s="1"/>
  <c r="BI46" i="31" s="1"/>
  <c r="BI51" i="31" s="1"/>
  <c r="BI54" i="31" s="1"/>
  <c r="BM12" i="31" s="1"/>
  <c r="BQ47" i="31" s="1"/>
  <c r="BE28" i="31"/>
  <c r="BF29" i="31" s="1"/>
  <c r="BD28" i="31"/>
  <c r="BC28" i="31"/>
  <c r="BI27" i="31"/>
  <c r="BI34" i="31" s="1"/>
  <c r="BI40" i="31" s="1"/>
  <c r="BI45" i="31" s="1"/>
  <c r="BI50" i="31" s="1"/>
  <c r="BF27" i="31"/>
  <c r="BE27" i="31"/>
  <c r="BF28" i="31" s="1"/>
  <c r="BD27" i="31"/>
  <c r="BC27" i="31"/>
  <c r="C27" i="31"/>
  <c r="B27" i="31"/>
  <c r="BI26" i="31"/>
  <c r="BI33" i="31" s="1"/>
  <c r="BI39" i="31" s="1"/>
  <c r="BI44" i="31" s="1"/>
  <c r="BM10" i="31" s="1"/>
  <c r="BQ30" i="31" s="1"/>
  <c r="BQ37" i="31" s="1"/>
  <c r="BQ45" i="31" s="1"/>
  <c r="BF26" i="31"/>
  <c r="BE26" i="31"/>
  <c r="BD26" i="31"/>
  <c r="BC26" i="31"/>
  <c r="E26" i="31"/>
  <c r="E27" i="31" s="1"/>
  <c r="D26" i="31"/>
  <c r="C26" i="31"/>
  <c r="B26" i="31"/>
  <c r="BI25" i="31"/>
  <c r="BI32" i="31" s="1"/>
  <c r="BI38" i="31" s="1"/>
  <c r="BM9" i="31" s="1"/>
  <c r="BQ23" i="31" s="1"/>
  <c r="BQ29" i="31" s="1"/>
  <c r="BQ36" i="31" s="1"/>
  <c r="BQ44" i="31" s="1"/>
  <c r="BC25" i="31"/>
  <c r="E25" i="31"/>
  <c r="D25" i="31"/>
  <c r="C25" i="31"/>
  <c r="B25" i="31"/>
  <c r="BI24" i="31"/>
  <c r="BI31" i="31" s="1"/>
  <c r="BM8" i="31" s="1"/>
  <c r="BI23" i="31"/>
  <c r="B22" i="31"/>
  <c r="C22" i="31" s="1"/>
  <c r="B20" i="31"/>
  <c r="B21" i="31" s="1"/>
  <c r="BQ18" i="31"/>
  <c r="BQ22" i="31" s="1"/>
  <c r="BQ28" i="31" s="1"/>
  <c r="BQ35" i="31" s="1"/>
  <c r="BQ43" i="31" s="1"/>
  <c r="W15" i="31"/>
  <c r="V15" i="31"/>
  <c r="Q15" i="31"/>
  <c r="R15" i="31" s="1"/>
  <c r="W14" i="31"/>
  <c r="V14" i="31"/>
  <c r="Q14" i="31"/>
  <c r="P14" i="31"/>
  <c r="BQ13" i="31"/>
  <c r="BQ17" i="31" s="1"/>
  <c r="BQ21" i="31" s="1"/>
  <c r="BQ27" i="31" s="1"/>
  <c r="BQ34" i="31" s="1"/>
  <c r="BQ42" i="31" s="1"/>
  <c r="Q13" i="31"/>
  <c r="P13" i="31"/>
  <c r="W12" i="31"/>
  <c r="V12" i="31"/>
  <c r="Q12" i="31"/>
  <c r="P12" i="31"/>
  <c r="BM11" i="31"/>
  <c r="BQ38" i="31" s="1"/>
  <c r="BQ46" i="31" s="1"/>
  <c r="W10" i="31"/>
  <c r="V10" i="31"/>
  <c r="W9" i="31"/>
  <c r="V9" i="31"/>
  <c r="Q9" i="31"/>
  <c r="P9" i="31"/>
  <c r="W8" i="31"/>
  <c r="V8" i="31"/>
  <c r="Q8" i="31"/>
  <c r="P8" i="31"/>
  <c r="BM7" i="31"/>
  <c r="W7" i="31"/>
  <c r="V7" i="31"/>
  <c r="Q7" i="31"/>
  <c r="P7" i="31"/>
  <c r="BQ6" i="31"/>
  <c r="BQ8" i="31" s="1"/>
  <c r="BQ11" i="31" s="1"/>
  <c r="BQ15" i="31" s="1"/>
  <c r="BQ19" i="31" s="1"/>
  <c r="BQ25" i="31" s="1"/>
  <c r="BQ32" i="31" s="1"/>
  <c r="BQ40" i="31" s="1"/>
  <c r="BM6" i="31"/>
  <c r="BQ9" i="31" s="1"/>
  <c r="BQ12" i="31" s="1"/>
  <c r="BQ16" i="31" s="1"/>
  <c r="BQ20" i="31" s="1"/>
  <c r="BQ26" i="31" s="1"/>
  <c r="BQ33" i="31" s="1"/>
  <c r="BQ41" i="31" s="1"/>
  <c r="W6" i="31"/>
  <c r="V6" i="31"/>
  <c r="P6" i="31"/>
  <c r="BQ5" i="31"/>
  <c r="BQ7" i="31" s="1"/>
  <c r="BQ10" i="31" s="1"/>
  <c r="BQ14" i="31" s="1"/>
  <c r="BI49" i="31" s="1"/>
  <c r="BQ24" i="31" s="1"/>
  <c r="BQ31" i="31" s="1"/>
  <c r="BQ39" i="31" s="1"/>
  <c r="BM14" i="31" s="1"/>
  <c r="W5" i="31"/>
  <c r="V5" i="31"/>
  <c r="Q5" i="31"/>
  <c r="P5" i="31"/>
  <c r="W4" i="31"/>
  <c r="V4" i="31"/>
  <c r="Q4" i="31"/>
  <c r="P4" i="31"/>
  <c r="D3" i="31"/>
  <c r="N1" i="31"/>
  <c r="N11" i="31" s="1"/>
  <c r="BF43" i="31" l="1"/>
  <c r="BF30" i="31"/>
  <c r="E23" i="31"/>
  <c r="N5" i="31"/>
  <c r="R5" i="31" s="1"/>
  <c r="N12" i="31"/>
  <c r="R12" i="31" s="1"/>
  <c r="N4" i="31"/>
  <c r="R4" i="31" s="1"/>
  <c r="N7" i="31"/>
  <c r="N6" i="31"/>
  <c r="V3" i="32"/>
  <c r="C31" i="32"/>
  <c r="D31" i="32" s="1"/>
  <c r="E31" i="32" s="1"/>
  <c r="B23" i="31"/>
  <c r="G14" i="31"/>
  <c r="G13" i="31"/>
  <c r="R6" i="31"/>
  <c r="R11" i="31"/>
  <c r="N9" i="31"/>
  <c r="R9" i="31" s="1"/>
  <c r="D27" i="31"/>
  <c r="D23" i="31" s="1"/>
  <c r="N10" i="31"/>
  <c r="R10" i="31" s="1"/>
  <c r="C31" i="31"/>
  <c r="W39" i="31" s="1"/>
  <c r="R7" i="31"/>
  <c r="N15" i="31"/>
  <c r="N14" i="31"/>
  <c r="R14" i="31" s="1"/>
  <c r="N13" i="31"/>
  <c r="R13" i="31" s="1"/>
  <c r="N8" i="31"/>
  <c r="B24" i="31" l="1"/>
  <c r="N30" i="31" s="1"/>
  <c r="P30" i="31" s="1"/>
  <c r="R35" i="31" s="1"/>
  <c r="C23" i="31"/>
  <c r="N26" i="31"/>
  <c r="P26" i="31" s="1"/>
  <c r="B34" i="31"/>
  <c r="N2" i="31"/>
  <c r="W6" i="32"/>
  <c r="X6" i="32" s="1"/>
  <c r="Y16" i="32"/>
  <c r="W10" i="32"/>
  <c r="X10" i="32" s="1"/>
  <c r="W13" i="32"/>
  <c r="X13" i="32" s="1"/>
  <c r="W8" i="32"/>
  <c r="Y8" i="32" s="1"/>
  <c r="W11" i="32"/>
  <c r="X11" i="32" s="1"/>
  <c r="W9" i="32"/>
  <c r="X9" i="32" s="1"/>
  <c r="W7" i="32"/>
  <c r="X7" i="32" s="1"/>
  <c r="W15" i="32"/>
  <c r="X15" i="32" s="1"/>
  <c r="W5" i="32"/>
  <c r="Y5" i="32" s="1"/>
  <c r="W14" i="32"/>
  <c r="X14" i="32" s="1"/>
  <c r="W12" i="32"/>
  <c r="X12" i="32" s="1"/>
  <c r="N25" i="31"/>
  <c r="P25" i="31" s="1"/>
  <c r="N27" i="31"/>
  <c r="P27" i="31" s="1"/>
  <c r="N28" i="31"/>
  <c r="P28" i="31" s="1"/>
  <c r="N29" i="31"/>
  <c r="P29" i="31" s="1"/>
  <c r="R34" i="31" s="1"/>
  <c r="R8" i="31"/>
  <c r="T34" i="31"/>
  <c r="B31" i="31"/>
  <c r="T28" i="31"/>
  <c r="T33" i="31"/>
  <c r="C34" i="31"/>
  <c r="U16" i="31" s="1"/>
  <c r="Y16" i="31" s="1"/>
  <c r="AG16" i="31" s="1"/>
  <c r="T26" i="31"/>
  <c r="T30" i="31"/>
  <c r="T29" i="31"/>
  <c r="C24" i="31"/>
  <c r="T32" i="31"/>
  <c r="T31" i="31"/>
  <c r="T35" i="31"/>
  <c r="AJ16" i="31" l="1"/>
  <c r="AH16" i="31"/>
  <c r="T16" i="31"/>
  <c r="X16" i="31" s="1"/>
  <c r="AA16" i="31" s="1"/>
  <c r="R33" i="31"/>
  <c r="R32" i="31"/>
  <c r="R31" i="31"/>
  <c r="T25" i="31"/>
  <c r="T27" i="31"/>
  <c r="T23" i="31" s="1"/>
  <c r="Y6" i="32"/>
  <c r="Y7" i="32"/>
  <c r="Y9" i="32"/>
  <c r="Y10" i="32"/>
  <c r="Y12" i="32"/>
  <c r="X8" i="32"/>
  <c r="Y15" i="32"/>
  <c r="Y11" i="32"/>
  <c r="Y14" i="32"/>
  <c r="Y13" i="32"/>
  <c r="W3" i="32"/>
  <c r="X5" i="32"/>
  <c r="N23" i="31"/>
  <c r="W25" i="31"/>
  <c r="T39" i="31"/>
  <c r="T41" i="31"/>
  <c r="T49" i="31"/>
  <c r="T43" i="31"/>
  <c r="T40" i="31"/>
  <c r="T45" i="31"/>
  <c r="T48" i="31"/>
  <c r="T44" i="31"/>
  <c r="T46" i="31"/>
  <c r="T47" i="31"/>
  <c r="T42" i="31"/>
  <c r="R26" i="31"/>
  <c r="R30" i="31"/>
  <c r="R29" i="31"/>
  <c r="R28" i="31"/>
  <c r="R27" i="31"/>
  <c r="R25" i="31"/>
  <c r="P23" i="31"/>
  <c r="N43" i="31"/>
  <c r="P43" i="31" s="1"/>
  <c r="N41" i="31"/>
  <c r="P41" i="31" s="1"/>
  <c r="N44" i="31"/>
  <c r="P44" i="31" s="1"/>
  <c r="N40" i="31"/>
  <c r="P40" i="31" s="1"/>
  <c r="N39" i="31"/>
  <c r="N42" i="31"/>
  <c r="P42" i="31" s="1"/>
  <c r="R2" i="31"/>
  <c r="S16" i="31" s="1"/>
  <c r="AD16" i="31" l="1"/>
  <c r="AB16" i="31"/>
  <c r="X3" i="32"/>
  <c r="Y3" i="32"/>
  <c r="V26" i="31"/>
  <c r="V29" i="31"/>
  <c r="AG25" i="31" s="1"/>
  <c r="V33" i="31"/>
  <c r="AO33" i="31" s="1"/>
  <c r="S14" i="31"/>
  <c r="S10" i="31"/>
  <c r="S9" i="31"/>
  <c r="S15" i="31"/>
  <c r="S11" i="31"/>
  <c r="S4" i="31"/>
  <c r="S5" i="31"/>
  <c r="S13" i="31"/>
  <c r="S6" i="31"/>
  <c r="S12" i="31"/>
  <c r="S7" i="31"/>
  <c r="R47" i="31"/>
  <c r="R48" i="31"/>
  <c r="R46" i="31"/>
  <c r="R45" i="31"/>
  <c r="R49" i="31"/>
  <c r="S8" i="31"/>
  <c r="V34" i="31"/>
  <c r="AQ31" i="31" s="1"/>
  <c r="R23" i="31"/>
  <c r="V25" i="31"/>
  <c r="T37" i="31"/>
  <c r="V31" i="31"/>
  <c r="AK26" i="31" s="1"/>
  <c r="P39" i="31"/>
  <c r="R44" i="31" s="1"/>
  <c r="N37" i="31"/>
  <c r="V27" i="31"/>
  <c r="AC25" i="31" s="1"/>
  <c r="AG28" i="31"/>
  <c r="V30" i="31"/>
  <c r="AI29" i="31" s="1"/>
  <c r="V28" i="31"/>
  <c r="AE27" i="31" s="1"/>
  <c r="V32" i="31"/>
  <c r="AM25" i="31" s="1"/>
  <c r="U11" i="31" l="1"/>
  <c r="Y11" i="31" s="1"/>
  <c r="AG11" i="31" s="1"/>
  <c r="T11" i="31"/>
  <c r="X11" i="31" s="1"/>
  <c r="AA11" i="31" s="1"/>
  <c r="AG27" i="31"/>
  <c r="AQ33" i="31"/>
  <c r="AC26" i="31"/>
  <c r="AK31" i="31"/>
  <c r="AG29" i="31"/>
  <c r="AG26" i="31"/>
  <c r="AA25" i="31"/>
  <c r="AK30" i="31"/>
  <c r="AK27" i="31"/>
  <c r="AA26" i="31"/>
  <c r="AO30" i="31"/>
  <c r="R40" i="31"/>
  <c r="R41" i="31"/>
  <c r="R42" i="31"/>
  <c r="AC27" i="31"/>
  <c r="AQ30" i="31"/>
  <c r="AM32" i="31"/>
  <c r="AQ32" i="31"/>
  <c r="AQ25" i="31"/>
  <c r="AQ27" i="31"/>
  <c r="AQ28" i="31"/>
  <c r="AQ26" i="31"/>
  <c r="AQ34" i="31"/>
  <c r="AQ29" i="31"/>
  <c r="U13" i="31"/>
  <c r="Y13" i="31" s="1"/>
  <c r="AG13" i="31" s="1"/>
  <c r="T13" i="31"/>
  <c r="X13" i="31" s="1"/>
  <c r="AA13" i="31" s="1"/>
  <c r="U15" i="31"/>
  <c r="Y15" i="31" s="1"/>
  <c r="AG15" i="31" s="1"/>
  <c r="AJ15" i="31" s="1"/>
  <c r="T15" i="31"/>
  <c r="X15" i="31" s="1"/>
  <c r="AA15" i="31" s="1"/>
  <c r="T7" i="31"/>
  <c r="X7" i="31" s="1"/>
  <c r="AA7" i="31" s="1"/>
  <c r="U7" i="31"/>
  <c r="Y7" i="31" s="1"/>
  <c r="AG7" i="31" s="1"/>
  <c r="U9" i="31"/>
  <c r="Y9" i="31" s="1"/>
  <c r="AG9" i="31" s="1"/>
  <c r="T9" i="31"/>
  <c r="X9" i="31" s="1"/>
  <c r="AA9" i="31" s="1"/>
  <c r="T12" i="31"/>
  <c r="X12" i="31" s="1"/>
  <c r="AA12" i="31" s="1"/>
  <c r="U12" i="31"/>
  <c r="Y12" i="31" s="1"/>
  <c r="AG12" i="31" s="1"/>
  <c r="T6" i="31"/>
  <c r="X6" i="31" s="1"/>
  <c r="AA6" i="31" s="1"/>
  <c r="U6" i="31"/>
  <c r="Y6" i="31" s="1"/>
  <c r="AG6" i="31" s="1"/>
  <c r="T14" i="31"/>
  <c r="X14" i="31" s="1"/>
  <c r="AA14" i="31" s="1"/>
  <c r="U14" i="31"/>
  <c r="Y14" i="31" s="1"/>
  <c r="AG14" i="31" s="1"/>
  <c r="U8" i="31"/>
  <c r="Y8" i="31" s="1"/>
  <c r="AG8" i="31" s="1"/>
  <c r="T8" i="31"/>
  <c r="X8" i="31" s="1"/>
  <c r="AA8" i="31" s="1"/>
  <c r="U5" i="31"/>
  <c r="Y5" i="31" s="1"/>
  <c r="AG5" i="31" s="1"/>
  <c r="T5" i="31"/>
  <c r="X5" i="31" s="1"/>
  <c r="AA5" i="31" s="1"/>
  <c r="U4" i="31"/>
  <c r="T4" i="31"/>
  <c r="AO32" i="31"/>
  <c r="AO25" i="31"/>
  <c r="AO31" i="31"/>
  <c r="AO27" i="31"/>
  <c r="AO28" i="31"/>
  <c r="AO29" i="31"/>
  <c r="AM31" i="31"/>
  <c r="AO26" i="31"/>
  <c r="AM28" i="31"/>
  <c r="AM29" i="31"/>
  <c r="AE28" i="31"/>
  <c r="AM27" i="31"/>
  <c r="S2" i="31"/>
  <c r="AE26" i="31"/>
  <c r="AK28" i="31"/>
  <c r="AK25" i="31"/>
  <c r="AM26" i="31"/>
  <c r="AI27" i="31"/>
  <c r="AK29" i="31"/>
  <c r="AE25" i="31"/>
  <c r="Y25" i="31"/>
  <c r="V23" i="31"/>
  <c r="V35" i="31" s="1"/>
  <c r="V22" i="31" s="1"/>
  <c r="U10" i="31"/>
  <c r="Y10" i="31" s="1"/>
  <c r="AG10" i="31" s="1"/>
  <c r="T10" i="31"/>
  <c r="X10" i="31" s="1"/>
  <c r="AA10" i="31" s="1"/>
  <c r="AI30" i="31"/>
  <c r="AI28" i="31"/>
  <c r="AM30" i="31"/>
  <c r="AI26" i="31"/>
  <c r="AI25" i="31"/>
  <c r="P37" i="31"/>
  <c r="R39" i="31"/>
  <c r="R43" i="31"/>
  <c r="AG23" i="31" l="1"/>
  <c r="V40" i="31"/>
  <c r="AA40" i="31" s="1"/>
  <c r="AC23" i="31"/>
  <c r="AA23" i="31"/>
  <c r="AB14" i="31"/>
  <c r="AB7" i="31"/>
  <c r="AB11" i="31"/>
  <c r="AB10" i="31"/>
  <c r="AB15" i="31"/>
  <c r="AB13" i="31"/>
  <c r="AB12" i="31"/>
  <c r="AB6" i="31"/>
  <c r="AB5" i="31"/>
  <c r="AB8" i="31"/>
  <c r="AB9" i="31"/>
  <c r="U2" i="31"/>
  <c r="T2" i="31"/>
  <c r="AQ23" i="31"/>
  <c r="AE23" i="31"/>
  <c r="AO23" i="31"/>
  <c r="AM23" i="31"/>
  <c r="AH7" i="31"/>
  <c r="AH6" i="31"/>
  <c r="AH8" i="31"/>
  <c r="V41" i="31"/>
  <c r="AH11" i="31"/>
  <c r="AS31" i="31"/>
  <c r="J31" i="31" s="1"/>
  <c r="AS25" i="31"/>
  <c r="AS28" i="31"/>
  <c r="J28" i="31" s="1"/>
  <c r="AS30" i="31"/>
  <c r="J30" i="31" s="1"/>
  <c r="AS26" i="31"/>
  <c r="J26" i="31" s="1"/>
  <c r="AS29" i="31"/>
  <c r="J29" i="31" s="1"/>
  <c r="AS35" i="31"/>
  <c r="J35" i="31" s="1"/>
  <c r="AS27" i="31"/>
  <c r="J27" i="31" s="1"/>
  <c r="AS32" i="31"/>
  <c r="J32" i="31" s="1"/>
  <c r="AS33" i="31"/>
  <c r="J33" i="31" s="1"/>
  <c r="AS34" i="31"/>
  <c r="J34" i="31" s="1"/>
  <c r="AH15" i="31"/>
  <c r="AI23" i="31"/>
  <c r="Y23" i="31"/>
  <c r="AK23" i="31"/>
  <c r="AH5" i="31"/>
  <c r="AH10" i="31"/>
  <c r="Y4" i="31"/>
  <c r="Y2" i="31" s="1"/>
  <c r="AH13" i="31"/>
  <c r="AH14" i="31"/>
  <c r="R37" i="31"/>
  <c r="V39" i="31"/>
  <c r="V48" i="31"/>
  <c r="V45" i="31"/>
  <c r="V44" i="31"/>
  <c r="V47" i="31"/>
  <c r="V46" i="31"/>
  <c r="V43" i="31"/>
  <c r="V42" i="31"/>
  <c r="AH12" i="31"/>
  <c r="AH9" i="31"/>
  <c r="X4" i="31"/>
  <c r="AA39" i="31" l="1"/>
  <c r="AA37" i="31" s="1"/>
  <c r="X2" i="31"/>
  <c r="AA4" i="31"/>
  <c r="AD4" i="31" s="1"/>
  <c r="AM39" i="31"/>
  <c r="AM45" i="31"/>
  <c r="AM46" i="31"/>
  <c r="AM43" i="31"/>
  <c r="AM44" i="31"/>
  <c r="AM41" i="31"/>
  <c r="AM42" i="31"/>
  <c r="AM40" i="31"/>
  <c r="AO41" i="31"/>
  <c r="AO40" i="31"/>
  <c r="AO46" i="31"/>
  <c r="AO44" i="31"/>
  <c r="AO39" i="31"/>
  <c r="AO45" i="31"/>
  <c r="AO42" i="31"/>
  <c r="AO47" i="31"/>
  <c r="AO43" i="31"/>
  <c r="AS23" i="31"/>
  <c r="AS22" i="31" s="1"/>
  <c r="AC41" i="31"/>
  <c r="AC40" i="31"/>
  <c r="AC39" i="31"/>
  <c r="AI39" i="31"/>
  <c r="AI42" i="31"/>
  <c r="AI40" i="31"/>
  <c r="AI44" i="31"/>
  <c r="AI43" i="31"/>
  <c r="AI41" i="31"/>
  <c r="AK39" i="31"/>
  <c r="AK43" i="31"/>
  <c r="AK44" i="31"/>
  <c r="AK45" i="31"/>
  <c r="AK42" i="31"/>
  <c r="AK41" i="31"/>
  <c r="AK40" i="31"/>
  <c r="AQ48" i="31"/>
  <c r="AQ43" i="31"/>
  <c r="AQ40" i="31"/>
  <c r="AQ44" i="31"/>
  <c r="AQ45" i="31"/>
  <c r="AQ39" i="31"/>
  <c r="AQ46" i="31"/>
  <c r="AQ47" i="31"/>
  <c r="AQ42" i="31"/>
  <c r="AQ41" i="31"/>
  <c r="AG4" i="31"/>
  <c r="AJ4" i="31" s="1"/>
  <c r="AE39" i="31"/>
  <c r="AE40" i="31"/>
  <c r="AE42" i="31"/>
  <c r="AE41" i="31"/>
  <c r="V37" i="31"/>
  <c r="V49" i="31" s="1"/>
  <c r="Y39" i="31"/>
  <c r="AG39" i="31"/>
  <c r="AG43" i="31"/>
  <c r="AG41" i="31"/>
  <c r="AG42" i="31"/>
  <c r="AG40" i="31"/>
  <c r="J25" i="31"/>
  <c r="J23" i="31" s="1"/>
  <c r="AB4" i="31" l="1"/>
  <c r="AC4" i="31"/>
  <c r="AG37" i="31"/>
  <c r="AK37" i="31"/>
  <c r="AS40" i="31"/>
  <c r="J40" i="31" s="1"/>
  <c r="AS46" i="31"/>
  <c r="J46" i="31" s="1"/>
  <c r="AS47" i="31"/>
  <c r="J47" i="31" s="1"/>
  <c r="AS39" i="31"/>
  <c r="AS48" i="31"/>
  <c r="J48" i="31" s="1"/>
  <c r="AS44" i="31"/>
  <c r="J44" i="31" s="1"/>
  <c r="AS45" i="31"/>
  <c r="J45" i="31" s="1"/>
  <c r="AS49" i="31"/>
  <c r="J49" i="31" s="1"/>
  <c r="AS42" i="31"/>
  <c r="J42" i="31" s="1"/>
  <c r="AS43" i="31"/>
  <c r="J43" i="31" s="1"/>
  <c r="AS41" i="31"/>
  <c r="J41" i="31" s="1"/>
  <c r="AM37" i="31"/>
  <c r="V36" i="31"/>
  <c r="AI37" i="31"/>
  <c r="Y37" i="31"/>
  <c r="AQ37" i="31"/>
  <c r="AH4" i="31"/>
  <c r="AI4" i="31"/>
  <c r="AC37" i="31"/>
  <c r="AO37" i="31"/>
  <c r="AE37" i="31"/>
  <c r="AI16" i="31" l="1"/>
  <c r="AJ7" i="31"/>
  <c r="AJ12" i="31"/>
  <c r="AJ11" i="31"/>
  <c r="AJ8" i="31"/>
  <c r="AJ6" i="31"/>
  <c r="AJ14" i="31"/>
  <c r="AJ9" i="31"/>
  <c r="AJ10" i="31"/>
  <c r="AJ13" i="31"/>
  <c r="AJ5" i="31"/>
  <c r="AD9" i="31"/>
  <c r="AD5" i="31"/>
  <c r="AD13" i="31"/>
  <c r="AD10" i="31"/>
  <c r="AD12" i="31"/>
  <c r="AD15" i="31"/>
  <c r="AD7" i="31"/>
  <c r="AD11" i="31"/>
  <c r="AD6" i="31"/>
  <c r="AD14" i="31"/>
  <c r="AD8" i="31"/>
  <c r="AC16" i="31"/>
  <c r="AC15" i="31"/>
  <c r="AC5" i="31"/>
  <c r="AC14" i="31"/>
  <c r="AC8" i="31"/>
  <c r="AC12" i="31"/>
  <c r="AC10" i="31"/>
  <c r="AC13" i="31"/>
  <c r="AB18" i="31"/>
  <c r="L25" i="31" s="1"/>
  <c r="H25" i="31" s="1"/>
  <c r="AC11" i="31"/>
  <c r="AC6" i="31"/>
  <c r="AC9" i="31"/>
  <c r="AC7" i="31"/>
  <c r="AH18" i="31"/>
  <c r="AI10" i="31"/>
  <c r="AI11" i="31"/>
  <c r="AI5" i="31"/>
  <c r="AI9" i="31"/>
  <c r="AI7" i="31"/>
  <c r="AI14" i="31"/>
  <c r="AI8" i="31"/>
  <c r="AI15" i="31"/>
  <c r="AI12" i="31"/>
  <c r="AI6" i="31"/>
  <c r="AI13" i="31"/>
  <c r="AS37" i="31"/>
  <c r="AS36" i="31" s="1"/>
  <c r="J39" i="31"/>
  <c r="J37" i="31" s="1"/>
  <c r="AC18" i="31" l="1"/>
  <c r="L26" i="31" s="1"/>
  <c r="H26" i="31" s="1"/>
  <c r="AD18" i="31"/>
  <c r="L27" i="31" s="1"/>
  <c r="AJ18" i="31"/>
  <c r="L41" i="31" s="1"/>
  <c r="AI18" i="31"/>
  <c r="L40" i="31" s="1"/>
  <c r="L39" i="31"/>
  <c r="H27" i="31" l="1"/>
  <c r="L28" i="31"/>
  <c r="H31" i="31" s="1"/>
  <c r="L42" i="31"/>
  <c r="H49" i="31" s="1"/>
  <c r="H41" i="31"/>
  <c r="H40" i="31"/>
  <c r="H39" i="31"/>
  <c r="H44" i="31" l="1"/>
  <c r="BS23" i="31" s="1"/>
  <c r="H32" i="31"/>
  <c r="BS24" i="31" s="1"/>
  <c r="H34" i="31"/>
  <c r="BS39" i="31" s="1"/>
  <c r="H29" i="31"/>
  <c r="BS11" i="31" s="1"/>
  <c r="H35" i="31"/>
  <c r="BO14" i="31" s="1"/>
  <c r="H30" i="31"/>
  <c r="BS15" i="31" s="1"/>
  <c r="L23" i="31"/>
  <c r="H33" i="31"/>
  <c r="BS33" i="31" s="1"/>
  <c r="H28" i="31"/>
  <c r="BK37" i="31" s="1"/>
  <c r="H48" i="31"/>
  <c r="H47" i="31"/>
  <c r="BK28" i="31" s="1"/>
  <c r="H43" i="31"/>
  <c r="L37" i="31"/>
  <c r="H45" i="31"/>
  <c r="H46" i="31"/>
  <c r="BK10" i="31" s="1"/>
  <c r="H42" i="31"/>
  <c r="BK49" i="31"/>
  <c r="BS5" i="31"/>
  <c r="BS4" i="31"/>
  <c r="BO4" i="31"/>
  <c r="BS6" i="31"/>
  <c r="BO5" i="31"/>
  <c r="BK4" i="31"/>
  <c r="BS19" i="31"/>
  <c r="BK13" i="31"/>
  <c r="BK53" i="31"/>
  <c r="BK22" i="31"/>
  <c r="BK30" i="31"/>
  <c r="BK14" i="31"/>
  <c r="BK5" i="31"/>
  <c r="BO6" i="31"/>
  <c r="BS20" i="31"/>
  <c r="BS43" i="31" l="1"/>
  <c r="BS10" i="31"/>
  <c r="BS41" i="31"/>
  <c r="BK59" i="31"/>
  <c r="BK43" i="31"/>
  <c r="BS40" i="31"/>
  <c r="BS12" i="31"/>
  <c r="BS16" i="31"/>
  <c r="BK48" i="31"/>
  <c r="BK44" i="31"/>
  <c r="BS26" i="31"/>
  <c r="BK56" i="31"/>
  <c r="BS25" i="31"/>
  <c r="BK47" i="31"/>
  <c r="BK58" i="31"/>
  <c r="BS31" i="31"/>
  <c r="BS14" i="31"/>
  <c r="BS32" i="31"/>
  <c r="BS34" i="31"/>
  <c r="H23" i="31"/>
  <c r="BS9" i="31"/>
  <c r="BS7" i="31"/>
  <c r="BS8" i="31"/>
  <c r="BS22" i="31"/>
  <c r="BO8" i="31"/>
  <c r="BS28" i="31"/>
  <c r="BS18" i="31"/>
  <c r="BK7" i="31"/>
  <c r="BK31" i="31"/>
  <c r="BK17" i="31"/>
  <c r="BS42" i="31"/>
  <c r="BS35" i="31"/>
  <c r="BK24" i="31"/>
  <c r="BK16" i="31"/>
  <c r="BK45" i="31"/>
  <c r="BK15" i="31"/>
  <c r="BK40" i="31"/>
  <c r="BS37" i="31"/>
  <c r="BK54" i="31"/>
  <c r="BK51" i="31"/>
  <c r="BK36" i="31"/>
  <c r="BO12" i="31"/>
  <c r="BK20" i="31"/>
  <c r="BK11" i="31"/>
  <c r="BS47" i="31"/>
  <c r="BK46" i="31"/>
  <c r="BK35" i="31"/>
  <c r="BK55" i="31"/>
  <c r="BK29" i="31"/>
  <c r="BO10" i="31"/>
  <c r="BK21" i="31"/>
  <c r="BK34" i="31"/>
  <c r="BK50" i="31"/>
  <c r="BK52" i="31"/>
  <c r="BK12" i="31"/>
  <c r="BK57" i="31"/>
  <c r="BS21" i="31"/>
  <c r="BO13" i="31"/>
  <c r="BK42" i="31"/>
  <c r="BS46" i="31"/>
  <c r="BK23" i="31"/>
  <c r="BK41" i="31"/>
  <c r="BO11" i="31"/>
  <c r="BS17" i="31"/>
  <c r="BK9" i="31"/>
  <c r="H37" i="31"/>
  <c r="BS44" i="31"/>
  <c r="BS27" i="31"/>
  <c r="BS45" i="31"/>
  <c r="BK26" i="31"/>
  <c r="BK25" i="31"/>
  <c r="BS36" i="31"/>
  <c r="BK27" i="31"/>
  <c r="BS29" i="31"/>
  <c r="BK8" i="31"/>
  <c r="BS13" i="31"/>
  <c r="BK18" i="31"/>
  <c r="BK33" i="31"/>
  <c r="BO9" i="31"/>
  <c r="BS38" i="31"/>
  <c r="BK39" i="31"/>
  <c r="BK6" i="31"/>
  <c r="BS30" i="31"/>
  <c r="BK38" i="31"/>
  <c r="BK19" i="31"/>
  <c r="BO7" i="31"/>
  <c r="BK32" i="31"/>
  <c r="B38" i="31" l="1"/>
  <c r="B36" i="31"/>
  <c r="B37" i="31"/>
  <c r="Q15" i="10" l="1"/>
  <c r="P15" i="10"/>
  <c r="N1" i="10" l="1"/>
  <c r="N7" i="10" s="1"/>
  <c r="AA15" i="10"/>
  <c r="W12" i="10"/>
  <c r="V12" i="10"/>
  <c r="W10" i="10"/>
  <c r="V10" i="10"/>
  <c r="W7" i="10"/>
  <c r="V7" i="10"/>
  <c r="W6" i="10"/>
  <c r="V6" i="10"/>
  <c r="W15" i="10"/>
  <c r="V15" i="10"/>
  <c r="W14" i="10"/>
  <c r="V14" i="10"/>
  <c r="W13" i="10"/>
  <c r="V13" i="10"/>
  <c r="W9" i="10"/>
  <c r="V9" i="10"/>
  <c r="W8" i="10"/>
  <c r="V8" i="10"/>
  <c r="W5" i="10"/>
  <c r="V5" i="10"/>
  <c r="W4" i="10"/>
  <c r="V4" i="10"/>
  <c r="Q14" i="10"/>
  <c r="P14" i="10"/>
  <c r="Q13" i="10"/>
  <c r="P13" i="10"/>
  <c r="Q12" i="10"/>
  <c r="P12" i="10"/>
  <c r="Q11" i="10"/>
  <c r="P11" i="10"/>
  <c r="V11" i="10" s="1"/>
  <c r="Q9" i="10"/>
  <c r="P9" i="10"/>
  <c r="Q8" i="10"/>
  <c r="P8" i="10"/>
  <c r="Q7" i="10"/>
  <c r="P7" i="10"/>
  <c r="Q6" i="10"/>
  <c r="P6" i="10"/>
  <c r="Q5" i="10"/>
  <c r="P5" i="10"/>
  <c r="Q4" i="10"/>
  <c r="P4" i="10"/>
  <c r="BF48" i="10"/>
  <c r="BF47" i="10"/>
  <c r="BE45" i="10"/>
  <c r="BF46" i="10" s="1"/>
  <c r="BE44" i="10"/>
  <c r="BD44" i="10"/>
  <c r="BE43" i="10"/>
  <c r="BD43" i="10"/>
  <c r="BC43" i="10"/>
  <c r="BE42" i="10"/>
  <c r="BD42" i="10"/>
  <c r="BC42" i="10"/>
  <c r="BF41" i="10"/>
  <c r="BE41" i="10"/>
  <c r="BD41" i="10"/>
  <c r="BC41" i="10"/>
  <c r="BF40" i="10"/>
  <c r="BE40" i="10"/>
  <c r="BD40" i="10"/>
  <c r="BC40" i="10"/>
  <c r="BC39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BF34" i="10"/>
  <c r="BF33" i="10"/>
  <c r="C33" i="10"/>
  <c r="B33" i="10"/>
  <c r="C32" i="10"/>
  <c r="B32" i="10"/>
  <c r="BE31" i="10"/>
  <c r="BF32" i="10" s="1"/>
  <c r="BI30" i="10"/>
  <c r="BI37" i="10" s="1"/>
  <c r="BI43" i="10" s="1"/>
  <c r="BI48" i="10" s="1"/>
  <c r="BI53" i="10" s="1"/>
  <c r="BI56" i="10" s="1"/>
  <c r="BI58" i="10" s="1"/>
  <c r="BI59" i="10" s="1"/>
  <c r="BE30" i="10"/>
  <c r="BD30" i="10"/>
  <c r="E30" i="10"/>
  <c r="D30" i="10"/>
  <c r="BI29" i="10"/>
  <c r="BI36" i="10" s="1"/>
  <c r="BI42" i="10" s="1"/>
  <c r="BI47" i="10" s="1"/>
  <c r="BI52" i="10" s="1"/>
  <c r="BI55" i="10" s="1"/>
  <c r="BI57" i="10" s="1"/>
  <c r="BM13" i="10" s="1"/>
  <c r="BE29" i="10"/>
  <c r="BD29" i="10"/>
  <c r="BC29" i="10"/>
  <c r="C29" i="10"/>
  <c r="B29" i="10"/>
  <c r="BI28" i="10"/>
  <c r="BI35" i="10" s="1"/>
  <c r="BI41" i="10" s="1"/>
  <c r="BI46" i="10" s="1"/>
  <c r="BI51" i="10" s="1"/>
  <c r="BI54" i="10" s="1"/>
  <c r="BM12" i="10" s="1"/>
  <c r="BQ47" i="10" s="1"/>
  <c r="BE28" i="10"/>
  <c r="BD28" i="10"/>
  <c r="BC28" i="10"/>
  <c r="BI27" i="10"/>
  <c r="BI34" i="10" s="1"/>
  <c r="BI40" i="10" s="1"/>
  <c r="BI45" i="10" s="1"/>
  <c r="BI50" i="10" s="1"/>
  <c r="BM11" i="10" s="1"/>
  <c r="BQ38" i="10" s="1"/>
  <c r="BQ46" i="10" s="1"/>
  <c r="BF27" i="10"/>
  <c r="BE27" i="10"/>
  <c r="BD27" i="10"/>
  <c r="BC27" i="10"/>
  <c r="C27" i="10"/>
  <c r="B27" i="10"/>
  <c r="BI26" i="10"/>
  <c r="BI33" i="10" s="1"/>
  <c r="BI39" i="10" s="1"/>
  <c r="BI44" i="10" s="1"/>
  <c r="BM10" i="10" s="1"/>
  <c r="BQ30" i="10" s="1"/>
  <c r="BQ37" i="10" s="1"/>
  <c r="BQ45" i="10" s="1"/>
  <c r="BF26" i="10"/>
  <c r="BE26" i="10"/>
  <c r="BD26" i="10"/>
  <c r="BC26" i="10"/>
  <c r="E26" i="10"/>
  <c r="E27" i="10" s="1"/>
  <c r="D26" i="10"/>
  <c r="D27" i="10" s="1"/>
  <c r="C26" i="10"/>
  <c r="B26" i="10"/>
  <c r="BI25" i="10"/>
  <c r="BI32" i="10" s="1"/>
  <c r="BI38" i="10" s="1"/>
  <c r="BM9" i="10" s="1"/>
  <c r="BQ23" i="10" s="1"/>
  <c r="BQ29" i="10" s="1"/>
  <c r="BQ36" i="10" s="1"/>
  <c r="BQ44" i="10" s="1"/>
  <c r="BC25" i="10"/>
  <c r="E25" i="10"/>
  <c r="D25" i="10"/>
  <c r="C25" i="10"/>
  <c r="B25" i="10"/>
  <c r="BI24" i="10"/>
  <c r="BI31" i="10" s="1"/>
  <c r="BM8" i="10" s="1"/>
  <c r="BQ18" i="10" s="1"/>
  <c r="BQ22" i="10" s="1"/>
  <c r="BQ28" i="10" s="1"/>
  <c r="BQ35" i="10" s="1"/>
  <c r="BQ43" i="10" s="1"/>
  <c r="BI23" i="10"/>
  <c r="BM7" i="10" s="1"/>
  <c r="BQ13" i="10" s="1"/>
  <c r="BQ17" i="10" s="1"/>
  <c r="BQ21" i="10" s="1"/>
  <c r="BQ27" i="10" s="1"/>
  <c r="BQ34" i="10" s="1"/>
  <c r="BQ42" i="10" s="1"/>
  <c r="B22" i="10"/>
  <c r="C22" i="10" s="1"/>
  <c r="G14" i="10" s="1"/>
  <c r="B20" i="10"/>
  <c r="B21" i="10" s="1"/>
  <c r="BQ6" i="10"/>
  <c r="BQ8" i="10" s="1"/>
  <c r="BQ11" i="10" s="1"/>
  <c r="BQ15" i="10" s="1"/>
  <c r="BQ19" i="10" s="1"/>
  <c r="BQ25" i="10" s="1"/>
  <c r="BQ32" i="10" s="1"/>
  <c r="BQ40" i="10" s="1"/>
  <c r="BM6" i="10"/>
  <c r="BQ9" i="10" s="1"/>
  <c r="BQ12" i="10" s="1"/>
  <c r="BQ16" i="10" s="1"/>
  <c r="BQ20" i="10" s="1"/>
  <c r="BQ26" i="10" s="1"/>
  <c r="BQ33" i="10" s="1"/>
  <c r="BQ41" i="10" s="1"/>
  <c r="BQ5" i="10"/>
  <c r="BQ7" i="10" s="1"/>
  <c r="BQ10" i="10" s="1"/>
  <c r="BQ14" i="10" s="1"/>
  <c r="BI49" i="10" s="1"/>
  <c r="BQ24" i="10" s="1"/>
  <c r="BQ31" i="10" s="1"/>
  <c r="BQ39" i="10" s="1"/>
  <c r="BM14" i="10" s="1"/>
  <c r="D3" i="10"/>
  <c r="BF42" i="10" l="1"/>
  <c r="W11" i="10"/>
  <c r="N11" i="10"/>
  <c r="N14" i="10"/>
  <c r="N6" i="10"/>
  <c r="N13" i="10"/>
  <c r="R13" i="10" s="1"/>
  <c r="N5" i="10"/>
  <c r="N12" i="10"/>
  <c r="N10" i="10"/>
  <c r="R10" i="10" s="1"/>
  <c r="N4" i="10"/>
  <c r="N8" i="10"/>
  <c r="N9" i="10"/>
  <c r="R9" i="10" s="1"/>
  <c r="N15" i="10"/>
  <c r="BF44" i="10"/>
  <c r="BF29" i="10"/>
  <c r="R7" i="10"/>
  <c r="R15" i="10"/>
  <c r="BF30" i="10"/>
  <c r="BF45" i="10"/>
  <c r="R5" i="10"/>
  <c r="G13" i="10"/>
  <c r="AB15" i="10"/>
  <c r="R12" i="10"/>
  <c r="D23" i="10"/>
  <c r="R6" i="10"/>
  <c r="R4" i="10"/>
  <c r="B31" i="10"/>
  <c r="W25" i="10" s="1"/>
  <c r="BF43" i="10"/>
  <c r="C31" i="10"/>
  <c r="W39" i="10" s="1"/>
  <c r="E23" i="10"/>
  <c r="BF28" i="10"/>
  <c r="BF31" i="10"/>
  <c r="B23" i="10"/>
  <c r="BF48" i="8"/>
  <c r="BF47" i="8"/>
  <c r="BE45" i="8"/>
  <c r="BF46" i="8" s="1"/>
  <c r="BE44" i="8"/>
  <c r="BF45" i="8" s="1"/>
  <c r="BD44" i="8"/>
  <c r="BE43" i="8"/>
  <c r="BF44" i="8" s="1"/>
  <c r="BD43" i="8"/>
  <c r="BC43" i="8"/>
  <c r="BE42" i="8"/>
  <c r="BD42" i="8"/>
  <c r="BC42" i="8"/>
  <c r="BF41" i="8"/>
  <c r="BE41" i="8"/>
  <c r="BF42" i="8" s="1"/>
  <c r="BD41" i="8"/>
  <c r="BC41" i="8"/>
  <c r="BF40" i="8"/>
  <c r="BE40" i="8"/>
  <c r="BD40" i="8"/>
  <c r="BC40" i="8"/>
  <c r="BC39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BF34" i="8"/>
  <c r="BF33" i="8"/>
  <c r="C33" i="8"/>
  <c r="B33" i="8"/>
  <c r="C32" i="8"/>
  <c r="B32" i="8"/>
  <c r="BE31" i="8"/>
  <c r="BF32" i="8" s="1"/>
  <c r="BH30" i="8"/>
  <c r="BH37" i="8" s="1"/>
  <c r="BH43" i="8" s="1"/>
  <c r="BH48" i="8" s="1"/>
  <c r="BH53" i="8" s="1"/>
  <c r="BH56" i="8" s="1"/>
  <c r="BH58" i="8" s="1"/>
  <c r="BH59" i="8" s="1"/>
  <c r="BE30" i="8"/>
  <c r="BF31" i="8" s="1"/>
  <c r="BD30" i="8"/>
  <c r="E30" i="8"/>
  <c r="D30" i="8"/>
  <c r="BH29" i="8"/>
  <c r="BH36" i="8" s="1"/>
  <c r="BH42" i="8" s="1"/>
  <c r="BH47" i="8" s="1"/>
  <c r="BH52" i="8" s="1"/>
  <c r="BH55" i="8" s="1"/>
  <c r="BH57" i="8" s="1"/>
  <c r="BL13" i="8" s="1"/>
  <c r="BE29" i="8"/>
  <c r="BF30" i="8" s="1"/>
  <c r="BD29" i="8"/>
  <c r="BC29" i="8"/>
  <c r="C29" i="8"/>
  <c r="B29" i="8"/>
  <c r="BH28" i="8"/>
  <c r="BH35" i="8" s="1"/>
  <c r="BH41" i="8" s="1"/>
  <c r="BH46" i="8" s="1"/>
  <c r="BH51" i="8" s="1"/>
  <c r="BH54" i="8" s="1"/>
  <c r="BL12" i="8" s="1"/>
  <c r="BP47" i="8" s="1"/>
  <c r="BE28" i="8"/>
  <c r="BD28" i="8"/>
  <c r="BC28" i="8"/>
  <c r="BH27" i="8"/>
  <c r="BH34" i="8" s="1"/>
  <c r="BH40" i="8" s="1"/>
  <c r="BH45" i="8" s="1"/>
  <c r="BH50" i="8" s="1"/>
  <c r="BL11" i="8" s="1"/>
  <c r="BP38" i="8" s="1"/>
  <c r="BP46" i="8" s="1"/>
  <c r="BF27" i="8"/>
  <c r="BE27" i="8"/>
  <c r="BD27" i="8"/>
  <c r="BC27" i="8"/>
  <c r="C27" i="8"/>
  <c r="B27" i="8"/>
  <c r="BH26" i="8"/>
  <c r="BH33" i="8" s="1"/>
  <c r="BH39" i="8" s="1"/>
  <c r="BH44" i="8" s="1"/>
  <c r="BL10" i="8" s="1"/>
  <c r="BP30" i="8" s="1"/>
  <c r="BP37" i="8" s="1"/>
  <c r="BP45" i="8" s="1"/>
  <c r="BF26" i="8"/>
  <c r="BE26" i="8"/>
  <c r="BD26" i="8"/>
  <c r="BC26" i="8"/>
  <c r="E26" i="8"/>
  <c r="E27" i="8" s="1"/>
  <c r="E23" i="8" s="1"/>
  <c r="D26" i="8"/>
  <c r="D27" i="8" s="1"/>
  <c r="C26" i="8"/>
  <c r="B26" i="8"/>
  <c r="BH25" i="8"/>
  <c r="BH32" i="8" s="1"/>
  <c r="BH38" i="8" s="1"/>
  <c r="BC25" i="8"/>
  <c r="E25" i="8"/>
  <c r="D25" i="8"/>
  <c r="D23" i="8" s="1"/>
  <c r="C25" i="8"/>
  <c r="C31" i="8" s="1"/>
  <c r="W38" i="8" s="1"/>
  <c r="B25" i="8"/>
  <c r="BH24" i="8"/>
  <c r="BH31" i="8" s="1"/>
  <c r="BH23" i="8"/>
  <c r="C22" i="8"/>
  <c r="B22" i="8"/>
  <c r="B20" i="8"/>
  <c r="B21" i="8" s="1"/>
  <c r="Z19" i="8"/>
  <c r="Y19" i="8"/>
  <c r="P19" i="8"/>
  <c r="O19" i="8"/>
  <c r="Q19" i="8" s="1"/>
  <c r="AA18" i="8"/>
  <c r="Q18" i="8"/>
  <c r="Z17" i="8"/>
  <c r="Y17" i="8"/>
  <c r="P17" i="8"/>
  <c r="O17" i="8"/>
  <c r="Q17" i="8" s="1"/>
  <c r="Y16" i="8"/>
  <c r="AA16" i="8" s="1"/>
  <c r="O16" i="8"/>
  <c r="Q16" i="8" s="1"/>
  <c r="C16" i="8"/>
  <c r="B16" i="8"/>
  <c r="AA15" i="8"/>
  <c r="Q15" i="8"/>
  <c r="Y14" i="8"/>
  <c r="AA14" i="8" s="1"/>
  <c r="O14" i="8"/>
  <c r="Q14" i="8" s="1"/>
  <c r="Z13" i="8"/>
  <c r="AA13" i="8" s="1"/>
  <c r="P13" i="8"/>
  <c r="Q13" i="8" s="1"/>
  <c r="AA12" i="8"/>
  <c r="Q12" i="8"/>
  <c r="AA11" i="8"/>
  <c r="Z11" i="8"/>
  <c r="Y11" i="8"/>
  <c r="P11" i="8"/>
  <c r="O11" i="8"/>
  <c r="Z10" i="8"/>
  <c r="AA10" i="8" s="1"/>
  <c r="Y10" i="8"/>
  <c r="P10" i="8"/>
  <c r="O10" i="8"/>
  <c r="BL9" i="8"/>
  <c r="BP23" i="8" s="1"/>
  <c r="BP29" i="8" s="1"/>
  <c r="BP36" i="8" s="1"/>
  <c r="BP44" i="8" s="1"/>
  <c r="AA9" i="8"/>
  <c r="Y9" i="8"/>
  <c r="O9" i="8"/>
  <c r="Q9" i="8" s="1"/>
  <c r="BL8" i="8"/>
  <c r="BP18" i="8" s="1"/>
  <c r="BP22" i="8" s="1"/>
  <c r="BP28" i="8" s="1"/>
  <c r="BP35" i="8" s="1"/>
  <c r="BP43" i="8" s="1"/>
  <c r="Z8" i="8"/>
  <c r="AA8" i="8" s="1"/>
  <c r="Y8" i="8"/>
  <c r="P8" i="8"/>
  <c r="O8" i="8"/>
  <c r="BL7" i="8"/>
  <c r="BP13" i="8" s="1"/>
  <c r="BP17" i="8" s="1"/>
  <c r="BP21" i="8" s="1"/>
  <c r="BP27" i="8" s="1"/>
  <c r="BP34" i="8" s="1"/>
  <c r="BP42" i="8" s="1"/>
  <c r="AA7" i="8"/>
  <c r="Q7" i="8"/>
  <c r="BP6" i="8"/>
  <c r="BP8" i="8" s="1"/>
  <c r="BP11" i="8" s="1"/>
  <c r="BP15" i="8" s="1"/>
  <c r="BP19" i="8" s="1"/>
  <c r="BP25" i="8" s="1"/>
  <c r="BP32" i="8" s="1"/>
  <c r="BP40" i="8" s="1"/>
  <c r="BL6" i="8"/>
  <c r="BP9" i="8" s="1"/>
  <c r="BP12" i="8" s="1"/>
  <c r="BP16" i="8" s="1"/>
  <c r="BP20" i="8" s="1"/>
  <c r="BP26" i="8" s="1"/>
  <c r="BP33" i="8" s="1"/>
  <c r="BP41" i="8" s="1"/>
  <c r="Z6" i="8"/>
  <c r="Y6" i="8"/>
  <c r="AA6" i="8" s="1"/>
  <c r="P6" i="8"/>
  <c r="O6" i="8"/>
  <c r="BP5" i="8"/>
  <c r="BP7" i="8" s="1"/>
  <c r="BP10" i="8" s="1"/>
  <c r="BP14" i="8" s="1"/>
  <c r="BH49" i="8" s="1"/>
  <c r="BP24" i="8" s="1"/>
  <c r="BP31" i="8" s="1"/>
  <c r="BP39" i="8" s="1"/>
  <c r="BL14" i="8" s="1"/>
  <c r="Z5" i="8"/>
  <c r="AA5" i="8" s="1"/>
  <c r="Y5" i="8"/>
  <c r="P5" i="8"/>
  <c r="O5" i="8"/>
  <c r="D3" i="8"/>
  <c r="K3" i="8" s="1"/>
  <c r="S2" i="8"/>
  <c r="G2" i="8"/>
  <c r="AF1" i="8"/>
  <c r="S1" i="8"/>
  <c r="K2" i="8" l="1"/>
  <c r="AA17" i="8"/>
  <c r="Q6" i="8"/>
  <c r="Q8" i="8"/>
  <c r="BF43" i="8"/>
  <c r="AA19" i="8"/>
  <c r="G1" i="8"/>
  <c r="Q10" i="8"/>
  <c r="B31" i="8"/>
  <c r="W24" i="8" s="1"/>
  <c r="BF28" i="8"/>
  <c r="T45" i="10"/>
  <c r="T46" i="10"/>
  <c r="T40" i="10"/>
  <c r="B34" i="10"/>
  <c r="B24" i="10"/>
  <c r="T43" i="10"/>
  <c r="T41" i="10"/>
  <c r="C23" i="10"/>
  <c r="T42" i="10"/>
  <c r="T49" i="10"/>
  <c r="T39" i="10"/>
  <c r="T44" i="10"/>
  <c r="T48" i="10"/>
  <c r="T47" i="10"/>
  <c r="K1" i="8"/>
  <c r="L1" i="8" s="1"/>
  <c r="Q5" i="8"/>
  <c r="Q11" i="8"/>
  <c r="B23" i="8"/>
  <c r="T43" i="8" s="1"/>
  <c r="G3" i="8"/>
  <c r="H1" i="8" s="1"/>
  <c r="BF29" i="8"/>
  <c r="T46" i="8" l="1"/>
  <c r="T39" i="8"/>
  <c r="T42" i="8"/>
  <c r="T37" i="10"/>
  <c r="N25" i="10"/>
  <c r="N30" i="10"/>
  <c r="P30" i="10" s="1"/>
  <c r="R35" i="10" s="1"/>
  <c r="N29" i="10"/>
  <c r="P29" i="10" s="1"/>
  <c r="N26" i="10"/>
  <c r="N28" i="10"/>
  <c r="P28" i="10" s="1"/>
  <c r="N27" i="10"/>
  <c r="P27" i="10" s="1"/>
  <c r="C34" i="10"/>
  <c r="T27" i="10"/>
  <c r="C24" i="10"/>
  <c r="T25" i="10"/>
  <c r="T32" i="10"/>
  <c r="T31" i="10"/>
  <c r="T33" i="10"/>
  <c r="T34" i="10"/>
  <c r="T30" i="10"/>
  <c r="T28" i="10"/>
  <c r="T35" i="10"/>
  <c r="T26" i="10"/>
  <c r="T29" i="10"/>
  <c r="T40" i="8"/>
  <c r="T48" i="8"/>
  <c r="T44" i="8"/>
  <c r="T41" i="8"/>
  <c r="T38" i="8"/>
  <c r="T36" i="8" s="1"/>
  <c r="M1" i="8"/>
  <c r="M2" i="8" s="1"/>
  <c r="T45" i="8"/>
  <c r="T47" i="8"/>
  <c r="B34" i="8"/>
  <c r="B24" i="8"/>
  <c r="C23" i="8"/>
  <c r="R34" i="10" l="1"/>
  <c r="R32" i="10"/>
  <c r="R33" i="10"/>
  <c r="T23" i="10"/>
  <c r="P25" i="10"/>
  <c r="N23" i="10"/>
  <c r="N43" i="10"/>
  <c r="P43" i="10" s="1"/>
  <c r="N41" i="10"/>
  <c r="P41" i="10" s="1"/>
  <c r="N44" i="10"/>
  <c r="P44" i="10" s="1"/>
  <c r="N40" i="10"/>
  <c r="P40" i="10" s="1"/>
  <c r="N39" i="10"/>
  <c r="N42" i="10"/>
  <c r="P42" i="10" s="1"/>
  <c r="P26" i="10"/>
  <c r="R31" i="10" s="1"/>
  <c r="N24" i="8"/>
  <c r="N26" i="8"/>
  <c r="P26" i="8" s="1"/>
  <c r="N27" i="8"/>
  <c r="P27" i="8" s="1"/>
  <c r="R32" i="8" s="1"/>
  <c r="N25" i="8"/>
  <c r="N29" i="8"/>
  <c r="P29" i="8" s="1"/>
  <c r="R34" i="8" s="1"/>
  <c r="N28" i="8"/>
  <c r="P28" i="8" s="1"/>
  <c r="R33" i="8" s="1"/>
  <c r="AB10" i="8"/>
  <c r="AB5" i="8"/>
  <c r="R17" i="8"/>
  <c r="R16" i="8"/>
  <c r="R15" i="8"/>
  <c r="R14" i="8"/>
  <c r="R18" i="8"/>
  <c r="AB17" i="8"/>
  <c r="R13" i="8"/>
  <c r="R12" i="8"/>
  <c r="R19" i="8"/>
  <c r="AB16" i="8"/>
  <c r="AB14" i="8"/>
  <c r="AB15" i="8"/>
  <c r="AB13" i="8"/>
  <c r="AB11" i="8"/>
  <c r="AB19" i="8"/>
  <c r="AB18" i="8"/>
  <c r="R8" i="8"/>
  <c r="R7" i="8"/>
  <c r="R6" i="8"/>
  <c r="R11" i="8"/>
  <c r="AB6" i="8"/>
  <c r="R5" i="8"/>
  <c r="R9" i="8"/>
  <c r="AB12" i="8"/>
  <c r="R10" i="8"/>
  <c r="AB9" i="8"/>
  <c r="AB7" i="8"/>
  <c r="AB8" i="8"/>
  <c r="C34" i="8"/>
  <c r="C24" i="8"/>
  <c r="T24" i="8"/>
  <c r="T22" i="8" s="1"/>
  <c r="T25" i="8"/>
  <c r="T30" i="8"/>
  <c r="T29" i="8"/>
  <c r="T27" i="8"/>
  <c r="T31" i="8"/>
  <c r="T32" i="8"/>
  <c r="T34" i="8"/>
  <c r="T33" i="8"/>
  <c r="T26" i="8"/>
  <c r="T28" i="8"/>
  <c r="P39" i="10" l="1"/>
  <c r="R40" i="10" s="1"/>
  <c r="N37" i="10"/>
  <c r="R25" i="10"/>
  <c r="P23" i="10"/>
  <c r="R30" i="10"/>
  <c r="R29" i="10"/>
  <c r="R28" i="10"/>
  <c r="R27" i="10"/>
  <c r="R43" i="10"/>
  <c r="R26" i="10"/>
  <c r="R47" i="10"/>
  <c r="R49" i="10"/>
  <c r="R48" i="10"/>
  <c r="R46" i="10"/>
  <c r="R45" i="10"/>
  <c r="S6" i="8"/>
  <c r="S9" i="8"/>
  <c r="S13" i="8"/>
  <c r="AC8" i="8"/>
  <c r="S11" i="8"/>
  <c r="AC15" i="8"/>
  <c r="S14" i="8"/>
  <c r="S7" i="8"/>
  <c r="S10" i="8"/>
  <c r="S8" i="8"/>
  <c r="S19" i="8"/>
  <c r="S17" i="8"/>
  <c r="AC14" i="8"/>
  <c r="AD13" i="8" s="1"/>
  <c r="AC9" i="8"/>
  <c r="AC16" i="8"/>
  <c r="S16" i="8"/>
  <c r="AC12" i="8"/>
  <c r="AE11" i="8" s="1"/>
  <c r="AD18" i="8"/>
  <c r="AC18" i="8"/>
  <c r="S12" i="8"/>
  <c r="U11" i="8" s="1"/>
  <c r="AC5" i="8"/>
  <c r="AC20" i="8" s="1"/>
  <c r="P25" i="8"/>
  <c r="R30" i="8" s="1"/>
  <c r="AD7" i="8"/>
  <c r="AC7" i="8"/>
  <c r="T5" i="8"/>
  <c r="T20" i="8" s="1"/>
  <c r="L25" i="8" s="1"/>
  <c r="S5" i="8"/>
  <c r="S20" i="8" s="1"/>
  <c r="AC11" i="8"/>
  <c r="AD10" i="8" s="1"/>
  <c r="AC17" i="8"/>
  <c r="AE16" i="8" s="1"/>
  <c r="AD17" i="8"/>
  <c r="R31" i="8"/>
  <c r="S15" i="8"/>
  <c r="AD19" i="8"/>
  <c r="AC19" i="8"/>
  <c r="AE17" i="8" s="1"/>
  <c r="AC10" i="8"/>
  <c r="N42" i="8"/>
  <c r="P42" i="8" s="1"/>
  <c r="N40" i="8"/>
  <c r="P40" i="8" s="1"/>
  <c r="N38" i="8"/>
  <c r="N43" i="8"/>
  <c r="P43" i="8" s="1"/>
  <c r="N41" i="8"/>
  <c r="P41" i="8" s="1"/>
  <c r="N39" i="8"/>
  <c r="P39" i="8" s="1"/>
  <c r="AC6" i="8"/>
  <c r="AD5" i="8" s="1"/>
  <c r="AD20" i="8" s="1"/>
  <c r="L39" i="8" s="1"/>
  <c r="AC13" i="8"/>
  <c r="U18" i="8"/>
  <c r="S18" i="8"/>
  <c r="P24" i="8"/>
  <c r="R25" i="8" s="1"/>
  <c r="N22" i="8"/>
  <c r="AE10" i="8" l="1"/>
  <c r="AD11" i="8"/>
  <c r="AE12" i="8"/>
  <c r="AD14" i="8"/>
  <c r="T17" i="8"/>
  <c r="AE15" i="8"/>
  <c r="U17" i="8"/>
  <c r="U13" i="8"/>
  <c r="U14" i="8"/>
  <c r="AD16" i="8"/>
  <c r="U10" i="8"/>
  <c r="AE7" i="8"/>
  <c r="T15" i="8"/>
  <c r="AE5" i="8"/>
  <c r="AE20" i="8" s="1"/>
  <c r="L40" i="8" s="1"/>
  <c r="T12" i="8"/>
  <c r="AD9" i="8"/>
  <c r="T10" i="8"/>
  <c r="AD8" i="8"/>
  <c r="U12" i="8"/>
  <c r="T13" i="8"/>
  <c r="V26" i="10"/>
  <c r="AA25" i="10" s="1"/>
  <c r="R42" i="10"/>
  <c r="V27" i="10"/>
  <c r="R41" i="10"/>
  <c r="R23" i="10"/>
  <c r="V25" i="10"/>
  <c r="V30" i="10"/>
  <c r="V34" i="10"/>
  <c r="V32" i="10"/>
  <c r="V33" i="10"/>
  <c r="V31" i="10"/>
  <c r="V29" i="10"/>
  <c r="R44" i="10"/>
  <c r="V28" i="10"/>
  <c r="R39" i="10"/>
  <c r="P37" i="10"/>
  <c r="N36" i="8"/>
  <c r="P38" i="8"/>
  <c r="R40" i="8"/>
  <c r="L24" i="8"/>
  <c r="V20" i="8"/>
  <c r="L27" i="8" s="1"/>
  <c r="AE13" i="8"/>
  <c r="U5" i="8"/>
  <c r="U20" i="8" s="1"/>
  <c r="L26" i="8" s="1"/>
  <c r="AE9" i="8"/>
  <c r="T9" i="8"/>
  <c r="U16" i="8"/>
  <c r="T8" i="8"/>
  <c r="T7" i="8"/>
  <c r="U9" i="8"/>
  <c r="R24" i="8"/>
  <c r="R26" i="8"/>
  <c r="P22" i="8"/>
  <c r="R27" i="8"/>
  <c r="V27" i="8" s="1"/>
  <c r="R29" i="8"/>
  <c r="R28" i="8"/>
  <c r="AD6" i="8"/>
  <c r="R39" i="8"/>
  <c r="L38" i="8"/>
  <c r="AE18" i="8"/>
  <c r="T16" i="8"/>
  <c r="U8" i="8"/>
  <c r="AE8" i="8"/>
  <c r="U6" i="8"/>
  <c r="T14" i="8"/>
  <c r="T18" i="8"/>
  <c r="AE6" i="8"/>
  <c r="R41" i="8"/>
  <c r="AD12" i="8"/>
  <c r="AD15" i="8"/>
  <c r="R47" i="8"/>
  <c r="R43" i="8"/>
  <c r="R48" i="8"/>
  <c r="R45" i="8"/>
  <c r="R46" i="8"/>
  <c r="R44" i="8"/>
  <c r="U15" i="8"/>
  <c r="AE14" i="8"/>
  <c r="T6" i="8"/>
  <c r="R42" i="8"/>
  <c r="T19" i="8"/>
  <c r="U7" i="8"/>
  <c r="T11" i="8"/>
  <c r="AF20" i="8" l="1"/>
  <c r="L41" i="8" s="1"/>
  <c r="AA26" i="10"/>
  <c r="AA23" i="10" s="1"/>
  <c r="AE26" i="10"/>
  <c r="AE28" i="10"/>
  <c r="AE27" i="10"/>
  <c r="AE25" i="10"/>
  <c r="AK25" i="10"/>
  <c r="AK31" i="10"/>
  <c r="AK26" i="10"/>
  <c r="AK30" i="10"/>
  <c r="AK29" i="10"/>
  <c r="AK28" i="10"/>
  <c r="AK27" i="10"/>
  <c r="V41" i="10"/>
  <c r="AG29" i="10"/>
  <c r="AG28" i="10"/>
  <c r="AG27" i="10"/>
  <c r="AG26" i="10"/>
  <c r="AG25" i="10"/>
  <c r="AO31" i="10"/>
  <c r="AO29" i="10"/>
  <c r="AO28" i="10"/>
  <c r="AO26" i="10"/>
  <c r="AO27" i="10"/>
  <c r="AO25" i="10"/>
  <c r="AO33" i="10"/>
  <c r="AO30" i="10"/>
  <c r="AO32" i="10"/>
  <c r="AC26" i="10"/>
  <c r="AC27" i="10"/>
  <c r="AC25" i="10"/>
  <c r="R37" i="10"/>
  <c r="V39" i="10"/>
  <c r="V45" i="10"/>
  <c r="V43" i="10"/>
  <c r="V46" i="10"/>
  <c r="V47" i="10"/>
  <c r="V48" i="10"/>
  <c r="V44" i="10"/>
  <c r="AM28" i="10"/>
  <c r="AM31" i="10"/>
  <c r="AM27" i="10"/>
  <c r="AM32" i="10"/>
  <c r="AM29" i="10"/>
  <c r="AM25" i="10"/>
  <c r="AM30" i="10"/>
  <c r="AM26" i="10"/>
  <c r="AQ25" i="10"/>
  <c r="AQ31" i="10"/>
  <c r="AQ34" i="10"/>
  <c r="AQ30" i="10"/>
  <c r="AQ26" i="10"/>
  <c r="AQ29" i="10"/>
  <c r="AQ33" i="10"/>
  <c r="AQ28" i="10"/>
  <c r="AQ32" i="10"/>
  <c r="AQ27" i="10"/>
  <c r="AI30" i="10"/>
  <c r="AI27" i="10"/>
  <c r="AI25" i="10"/>
  <c r="AI26" i="10"/>
  <c r="AI29" i="10"/>
  <c r="AI28" i="10"/>
  <c r="V40" i="10"/>
  <c r="Y25" i="10"/>
  <c r="V23" i="10"/>
  <c r="V35" i="10" s="1"/>
  <c r="V42" i="10"/>
  <c r="R22" i="8"/>
  <c r="V24" i="8"/>
  <c r="V31" i="8"/>
  <c r="V29" i="8"/>
  <c r="V30" i="8"/>
  <c r="V32" i="8"/>
  <c r="V28" i="8"/>
  <c r="V33" i="8"/>
  <c r="AE24" i="8"/>
  <c r="AE22" i="8" s="1"/>
  <c r="AE26" i="8"/>
  <c r="AE25" i="8"/>
  <c r="AE27" i="8"/>
  <c r="V26" i="8"/>
  <c r="L22" i="8"/>
  <c r="L36" i="8"/>
  <c r="V25" i="8"/>
  <c r="P36" i="8"/>
  <c r="R38" i="8"/>
  <c r="V40" i="8" s="1"/>
  <c r="V39" i="8" l="1"/>
  <c r="V41" i="8"/>
  <c r="AI23" i="10"/>
  <c r="Y23" i="10"/>
  <c r="AM23" i="10"/>
  <c r="AO23" i="10"/>
  <c r="AS26" i="10"/>
  <c r="J26" i="10" s="1"/>
  <c r="AS31" i="10"/>
  <c r="J31" i="10" s="1"/>
  <c r="AS29" i="10"/>
  <c r="J29" i="10" s="1"/>
  <c r="AS25" i="10"/>
  <c r="J25" i="10" s="1"/>
  <c r="AS28" i="10"/>
  <c r="J28" i="10" s="1"/>
  <c r="AS30" i="10"/>
  <c r="J30" i="10" s="1"/>
  <c r="AS35" i="10"/>
  <c r="J35" i="10" s="1"/>
  <c r="AS27" i="10"/>
  <c r="J27" i="10" s="1"/>
  <c r="AS32" i="10"/>
  <c r="J32" i="10" s="1"/>
  <c r="AS33" i="10"/>
  <c r="J33" i="10" s="1"/>
  <c r="AS34" i="10"/>
  <c r="J34" i="10" s="1"/>
  <c r="AA40" i="10"/>
  <c r="AA39" i="10"/>
  <c r="AI40" i="10"/>
  <c r="AI39" i="10"/>
  <c r="AI41" i="10"/>
  <c r="AI43" i="10"/>
  <c r="AI42" i="10"/>
  <c r="AI44" i="10"/>
  <c r="AC23" i="10"/>
  <c r="AQ41" i="10"/>
  <c r="AQ48" i="10"/>
  <c r="AQ46" i="10"/>
  <c r="AQ40" i="10"/>
  <c r="AQ45" i="10"/>
  <c r="AQ39" i="10"/>
  <c r="AQ44" i="10"/>
  <c r="AQ47" i="10"/>
  <c r="AQ43" i="10"/>
  <c r="AQ42" i="10"/>
  <c r="AO42" i="10"/>
  <c r="AO41" i="10"/>
  <c r="AO40" i="10"/>
  <c r="AO46" i="10"/>
  <c r="AO45" i="10"/>
  <c r="AO44" i="10"/>
  <c r="AO39" i="10"/>
  <c r="AO47" i="10"/>
  <c r="AO43" i="10"/>
  <c r="AC41" i="10"/>
  <c r="AC40" i="10"/>
  <c r="AC39" i="10"/>
  <c r="AM41" i="10"/>
  <c r="AM40" i="10"/>
  <c r="AM42" i="10"/>
  <c r="AM39" i="10"/>
  <c r="AM45" i="10"/>
  <c r="AM46" i="10"/>
  <c r="AM43" i="10"/>
  <c r="AM44" i="10"/>
  <c r="AE23" i="10"/>
  <c r="AK23" i="10"/>
  <c r="AE39" i="10"/>
  <c r="AE41" i="10"/>
  <c r="AE40" i="10"/>
  <c r="AE42" i="10"/>
  <c r="AQ23" i="10"/>
  <c r="AG40" i="10"/>
  <c r="AG39" i="10"/>
  <c r="AG42" i="10"/>
  <c r="AG43" i="10"/>
  <c r="AG41" i="10"/>
  <c r="V22" i="10"/>
  <c r="AK40" i="10"/>
  <c r="AK39" i="10"/>
  <c r="AK45" i="10"/>
  <c r="AK43" i="10"/>
  <c r="AK44" i="10"/>
  <c r="AK42" i="10"/>
  <c r="AK41" i="10"/>
  <c r="AG23" i="10"/>
  <c r="V37" i="10"/>
  <c r="V49" i="10" s="1"/>
  <c r="V36" i="10" s="1"/>
  <c r="Y39" i="10"/>
  <c r="AC39" i="8"/>
  <c r="AC40" i="8"/>
  <c r="AC38" i="8"/>
  <c r="AC36" i="8" s="1"/>
  <c r="AA25" i="8"/>
  <c r="AA24" i="8"/>
  <c r="AA22" i="8" s="1"/>
  <c r="AK25" i="8"/>
  <c r="AK26" i="8"/>
  <c r="AK28" i="8"/>
  <c r="AK30" i="8"/>
  <c r="AK27" i="8"/>
  <c r="AK29" i="8"/>
  <c r="AK24" i="8"/>
  <c r="AK22" i="8" s="1"/>
  <c r="AM25" i="8"/>
  <c r="AM24" i="8"/>
  <c r="AM22" i="8" s="1"/>
  <c r="AM30" i="8"/>
  <c r="AM29" i="8"/>
  <c r="AM28" i="8"/>
  <c r="AM31" i="8"/>
  <c r="AM27" i="8"/>
  <c r="AM26" i="8"/>
  <c r="Y24" i="8"/>
  <c r="V21" i="8"/>
  <c r="V22" i="8"/>
  <c r="V34" i="8" s="1"/>
  <c r="AE41" i="8"/>
  <c r="AE40" i="8"/>
  <c r="AE39" i="8"/>
  <c r="AE38" i="8"/>
  <c r="AE36" i="8" s="1"/>
  <c r="AA38" i="8"/>
  <c r="AA36" i="8" s="1"/>
  <c r="AA39" i="8"/>
  <c r="AQ31" i="8"/>
  <c r="AQ25" i="8"/>
  <c r="AQ24" i="8"/>
  <c r="AQ22" i="8" s="1"/>
  <c r="AQ29" i="8"/>
  <c r="AQ28" i="8"/>
  <c r="AQ33" i="8"/>
  <c r="AQ30" i="8"/>
  <c r="AQ26" i="8"/>
  <c r="AQ27" i="8"/>
  <c r="AQ32" i="8"/>
  <c r="AG27" i="8"/>
  <c r="AG25" i="8"/>
  <c r="AG24" i="8"/>
  <c r="AG22" i="8" s="1"/>
  <c r="AG28" i="8"/>
  <c r="AG26" i="8"/>
  <c r="AI27" i="8"/>
  <c r="AI28" i="8"/>
  <c r="AI29" i="8"/>
  <c r="AI26" i="8"/>
  <c r="AI25" i="8"/>
  <c r="AI24" i="8"/>
  <c r="AI22" i="8" s="1"/>
  <c r="R36" i="8"/>
  <c r="V38" i="8"/>
  <c r="V43" i="8"/>
  <c r="V42" i="8"/>
  <c r="V46" i="8"/>
  <c r="V47" i="8"/>
  <c r="V45" i="8"/>
  <c r="V44" i="8"/>
  <c r="AC24" i="8"/>
  <c r="AC22" i="8" s="1"/>
  <c r="AC26" i="8"/>
  <c r="AC25" i="8"/>
  <c r="AO26" i="8"/>
  <c r="AO32" i="8"/>
  <c r="AO24" i="8"/>
  <c r="AO22" i="8" s="1"/>
  <c r="AO31" i="8"/>
  <c r="AO25" i="8"/>
  <c r="AO28" i="8"/>
  <c r="AO29" i="8"/>
  <c r="AO30" i="8"/>
  <c r="AO27" i="8"/>
  <c r="AA37" i="10" l="1"/>
  <c r="AC37" i="10"/>
  <c r="AG37" i="10"/>
  <c r="AE37" i="10"/>
  <c r="Y37" i="10"/>
  <c r="J23" i="10"/>
  <c r="AS41" i="10"/>
  <c r="J41" i="10" s="1"/>
  <c r="AS40" i="10"/>
  <c r="J40" i="10" s="1"/>
  <c r="AS42" i="10"/>
  <c r="J42" i="10" s="1"/>
  <c r="AS46" i="10"/>
  <c r="J46" i="10" s="1"/>
  <c r="AS47" i="10"/>
  <c r="J47" i="10" s="1"/>
  <c r="AS39" i="10"/>
  <c r="J39" i="10" s="1"/>
  <c r="AS48" i="10"/>
  <c r="J48" i="10" s="1"/>
  <c r="AS44" i="10"/>
  <c r="J44" i="10" s="1"/>
  <c r="AS45" i="10"/>
  <c r="J45" i="10" s="1"/>
  <c r="AS49" i="10"/>
  <c r="J49" i="10" s="1"/>
  <c r="AS43" i="10"/>
  <c r="J43" i="10" s="1"/>
  <c r="AQ37" i="10"/>
  <c r="AI37" i="10"/>
  <c r="AK37" i="10"/>
  <c r="AM37" i="10"/>
  <c r="AO37" i="10"/>
  <c r="AS23" i="10"/>
  <c r="AS22" i="10" s="1"/>
  <c r="AM39" i="8"/>
  <c r="AM42" i="8"/>
  <c r="AM45" i="8"/>
  <c r="AM44" i="8"/>
  <c r="AM38" i="8"/>
  <c r="AM36" i="8" s="1"/>
  <c r="AM41" i="8"/>
  <c r="AM43" i="8"/>
  <c r="AM40" i="8"/>
  <c r="AO44" i="8"/>
  <c r="AO39" i="8"/>
  <c r="AO42" i="8"/>
  <c r="AO38" i="8"/>
  <c r="AO36" i="8" s="1"/>
  <c r="AO41" i="8"/>
  <c r="AO43" i="8"/>
  <c r="AO40" i="8"/>
  <c r="AO45" i="8"/>
  <c r="AO46" i="8"/>
  <c r="Y22" i="8"/>
  <c r="V36" i="8"/>
  <c r="V48" i="8" s="1"/>
  <c r="Y38" i="8"/>
  <c r="V35" i="8"/>
  <c r="AI38" i="8"/>
  <c r="AI36" i="8" s="1"/>
  <c r="AI41" i="8"/>
  <c r="AI43" i="8"/>
  <c r="AI40" i="8"/>
  <c r="AI39" i="8"/>
  <c r="AI42" i="8"/>
  <c r="AK38" i="8"/>
  <c r="AK36" i="8" s="1"/>
  <c r="AK41" i="8"/>
  <c r="AK40" i="8"/>
  <c r="AK42" i="8"/>
  <c r="AK44" i="8"/>
  <c r="AK43" i="8"/>
  <c r="AK39" i="8"/>
  <c r="J30" i="8"/>
  <c r="AS33" i="8"/>
  <c r="J33" i="8" s="1"/>
  <c r="AS27" i="8"/>
  <c r="J27" i="8" s="1"/>
  <c r="AS32" i="8"/>
  <c r="J32" i="8" s="1"/>
  <c r="AS31" i="8"/>
  <c r="J31" i="8" s="1"/>
  <c r="AS30" i="8"/>
  <c r="AS24" i="8"/>
  <c r="AS22" i="8" s="1"/>
  <c r="AS29" i="8"/>
  <c r="J29" i="8" s="1"/>
  <c r="AS34" i="8"/>
  <c r="J34" i="8" s="1"/>
  <c r="AS26" i="8"/>
  <c r="J26" i="8" s="1"/>
  <c r="AS25" i="8"/>
  <c r="J25" i="8" s="1"/>
  <c r="AS28" i="8"/>
  <c r="J28" i="8" s="1"/>
  <c r="AG39" i="8"/>
  <c r="AG41" i="8"/>
  <c r="AG42" i="8"/>
  <c r="AG40" i="8"/>
  <c r="AG38" i="8"/>
  <c r="AG36" i="8" s="1"/>
  <c r="AQ45" i="8"/>
  <c r="AQ46" i="8"/>
  <c r="AQ44" i="8"/>
  <c r="AQ38" i="8"/>
  <c r="AQ36" i="8" s="1"/>
  <c r="AQ39" i="8"/>
  <c r="AQ47" i="8"/>
  <c r="AQ42" i="8"/>
  <c r="AQ43" i="8"/>
  <c r="AQ41" i="8"/>
  <c r="AQ40" i="8"/>
  <c r="J37" i="10" l="1"/>
  <c r="AS37" i="10"/>
  <c r="AS36" i="10" s="1"/>
  <c r="H29" i="8"/>
  <c r="H28" i="8"/>
  <c r="H32" i="8"/>
  <c r="H33" i="8"/>
  <c r="H31" i="8"/>
  <c r="H34" i="8"/>
  <c r="Y36" i="8"/>
  <c r="J24" i="8"/>
  <c r="H25" i="8" s="1"/>
  <c r="AS48" i="8"/>
  <c r="J48" i="8" s="1"/>
  <c r="AS39" i="8"/>
  <c r="J39" i="8" s="1"/>
  <c r="AS40" i="8"/>
  <c r="J40" i="8" s="1"/>
  <c r="AS43" i="8"/>
  <c r="J43" i="8" s="1"/>
  <c r="AS45" i="8"/>
  <c r="J45" i="8" s="1"/>
  <c r="AS44" i="8"/>
  <c r="J44" i="8" s="1"/>
  <c r="AS47" i="8"/>
  <c r="AS46" i="8"/>
  <c r="J46" i="8" s="1"/>
  <c r="AS38" i="8"/>
  <c r="AS36" i="8" s="1"/>
  <c r="AS41" i="8"/>
  <c r="J41" i="8" s="1"/>
  <c r="AS42" i="8"/>
  <c r="J42" i="8" s="1"/>
  <c r="J47" i="8"/>
  <c r="H30" i="8"/>
  <c r="AS21" i="8"/>
  <c r="H44" i="8" l="1"/>
  <c r="BJ18" i="8"/>
  <c r="BJ19" i="8"/>
  <c r="H45" i="8"/>
  <c r="H43" i="8"/>
  <c r="BR36" i="8" s="1"/>
  <c r="H46" i="8"/>
  <c r="BJ20" i="8" s="1"/>
  <c r="BR38" i="8"/>
  <c r="BR37" i="8"/>
  <c r="BR30" i="8"/>
  <c r="BN11" i="8"/>
  <c r="BJ50" i="8"/>
  <c r="BN10" i="8"/>
  <c r="AS35" i="8"/>
  <c r="H26" i="8"/>
  <c r="H48" i="8"/>
  <c r="BJ58" i="8" s="1"/>
  <c r="H27" i="8"/>
  <c r="J38" i="8"/>
  <c r="H39" i="8" s="1"/>
  <c r="H42" i="8"/>
  <c r="BJ16" i="8" s="1"/>
  <c r="J22" i="8"/>
  <c r="H24" i="8"/>
  <c r="BJ44" i="8"/>
  <c r="BR18" i="8"/>
  <c r="BJ45" i="8"/>
  <c r="BJ48" i="8"/>
  <c r="H47" i="8"/>
  <c r="BJ47" i="8" s="1"/>
  <c r="BJ40" i="8"/>
  <c r="BJ39" i="8"/>
  <c r="BN8" i="8"/>
  <c r="BJ59" i="8"/>
  <c r="BR45" i="8"/>
  <c r="BR43" i="8"/>
  <c r="BR46" i="8"/>
  <c r="BR44" i="8" l="1"/>
  <c r="BJ52" i="8"/>
  <c r="BJ17" i="8"/>
  <c r="BR47" i="8"/>
  <c r="BN9" i="8"/>
  <c r="BR29" i="8"/>
  <c r="BJ42" i="8"/>
  <c r="BR23" i="8"/>
  <c r="BJ57" i="8"/>
  <c r="BJ22" i="8"/>
  <c r="BJ55" i="8"/>
  <c r="BR35" i="8"/>
  <c r="H41" i="8"/>
  <c r="BJ38" i="8"/>
  <c r="BN14" i="8"/>
  <c r="BR15" i="8"/>
  <c r="BR32" i="8"/>
  <c r="BR40" i="8"/>
  <c r="BR25" i="8"/>
  <c r="BR11" i="8"/>
  <c r="BN5" i="8"/>
  <c r="BR19" i="8"/>
  <c r="BR17" i="8"/>
  <c r="BR22" i="8"/>
  <c r="BR28" i="8"/>
  <c r="BN12" i="8"/>
  <c r="BJ21" i="8"/>
  <c r="BJ26" i="8"/>
  <c r="BJ24" i="8"/>
  <c r="BN6" i="8"/>
  <c r="BJ23" i="8"/>
  <c r="BJ30" i="8"/>
  <c r="BJ27" i="8"/>
  <c r="BJ25" i="8"/>
  <c r="BJ28" i="8"/>
  <c r="BJ29" i="8"/>
  <c r="BR6" i="8"/>
  <c r="BR5" i="8"/>
  <c r="BJ51" i="8"/>
  <c r="BJ41" i="8"/>
  <c r="BJ46" i="8"/>
  <c r="BJ53" i="8"/>
  <c r="BJ43" i="8"/>
  <c r="BJ54" i="8"/>
  <c r="BJ15" i="8"/>
  <c r="J36" i="8"/>
  <c r="H38" i="8"/>
  <c r="BN4" i="8" s="1"/>
  <c r="B37" i="8" s="1"/>
  <c r="B36" i="8" s="1"/>
  <c r="BJ56" i="8"/>
  <c r="BJ8" i="8"/>
  <c r="BJ12" i="8"/>
  <c r="H22" i="8"/>
  <c r="BJ4" i="8"/>
  <c r="B38" i="8" s="1"/>
  <c r="BJ7" i="8"/>
  <c r="BJ13" i="8"/>
  <c r="BJ10" i="8"/>
  <c r="BJ6" i="8"/>
  <c r="BJ11" i="8"/>
  <c r="BJ9" i="8"/>
  <c r="BN13" i="8"/>
  <c r="BR13" i="8"/>
  <c r="BJ34" i="8"/>
  <c r="BJ36" i="8"/>
  <c r="BJ35" i="8"/>
  <c r="BJ31" i="8"/>
  <c r="BJ32" i="8"/>
  <c r="BJ33" i="8"/>
  <c r="BJ37" i="8"/>
  <c r="BR8" i="8"/>
  <c r="BN7" i="8"/>
  <c r="BR7" i="8"/>
  <c r="H40" i="8"/>
  <c r="BR21" i="8" l="1"/>
  <c r="BR42" i="8"/>
  <c r="BR27" i="8"/>
  <c r="BR34" i="8"/>
  <c r="BR26" i="8"/>
  <c r="BR16" i="8"/>
  <c r="BJ14" i="8"/>
  <c r="BR33" i="8"/>
  <c r="BR12" i="8"/>
  <c r="BR20" i="8"/>
  <c r="BR41" i="8"/>
  <c r="BR9" i="8"/>
  <c r="BJ5" i="8"/>
  <c r="H36" i="8"/>
  <c r="BR24" i="8"/>
  <c r="BJ49" i="8"/>
  <c r="BR14" i="8"/>
  <c r="BR4" i="8"/>
  <c r="B39" i="8" s="1"/>
  <c r="BR39" i="8"/>
  <c r="BR10" i="8"/>
  <c r="BR31" i="8"/>
  <c r="R11" i="10" l="1"/>
  <c r="R14" i="10"/>
  <c r="R8" i="10"/>
  <c r="N2" i="10"/>
  <c r="R2" i="10" l="1"/>
  <c r="S5" i="10" s="1"/>
  <c r="S14" i="10" l="1"/>
  <c r="U14" i="10" s="1"/>
  <c r="Y14" i="10" s="1"/>
  <c r="AG14" i="10" s="1"/>
  <c r="S6" i="10"/>
  <c r="T6" i="10" s="1"/>
  <c r="X6" i="10" s="1"/>
  <c r="AA5" i="10" s="1"/>
  <c r="S4" i="10"/>
  <c r="S8" i="10"/>
  <c r="S10" i="10"/>
  <c r="T10" i="10" s="1"/>
  <c r="X10" i="10" s="1"/>
  <c r="AA9" i="10" s="1"/>
  <c r="S7" i="10"/>
  <c r="T7" i="10" s="1"/>
  <c r="X7" i="10" s="1"/>
  <c r="AA6" i="10" s="1"/>
  <c r="S13" i="10"/>
  <c r="S12" i="10"/>
  <c r="T12" i="10" s="1"/>
  <c r="X12" i="10" s="1"/>
  <c r="AA11" i="10" s="1"/>
  <c r="S11" i="10"/>
  <c r="S9" i="10"/>
  <c r="T9" i="10" s="1"/>
  <c r="X9" i="10" s="1"/>
  <c r="AA8" i="10" s="1"/>
  <c r="S15" i="10"/>
  <c r="U5" i="10"/>
  <c r="Y5" i="10" s="1"/>
  <c r="AG5" i="10" s="1"/>
  <c r="AH5" i="10" s="1"/>
  <c r="T5" i="10"/>
  <c r="X5" i="10" s="1"/>
  <c r="AA4" i="10" s="1"/>
  <c r="AB4" i="10" s="1"/>
  <c r="T8" i="10"/>
  <c r="X8" i="10" s="1"/>
  <c r="AA7" i="10" s="1"/>
  <c r="U8" i="10"/>
  <c r="Y8" i="10" s="1"/>
  <c r="AG8" i="10" s="1"/>
  <c r="T15" i="10" l="1"/>
  <c r="X15" i="10" s="1"/>
  <c r="AA14" i="10" s="1"/>
  <c r="AB14" i="10" s="1"/>
  <c r="U15" i="10"/>
  <c r="Y15" i="10" s="1"/>
  <c r="AG15" i="10" s="1"/>
  <c r="AH15" i="10" s="1"/>
  <c r="T13" i="10"/>
  <c r="X13" i="10" s="1"/>
  <c r="AA12" i="10" s="1"/>
  <c r="AB12" i="10" s="1"/>
  <c r="U13" i="10"/>
  <c r="U6" i="10"/>
  <c r="Y6" i="10" s="1"/>
  <c r="AG6" i="10" s="1"/>
  <c r="AH6" i="10" s="1"/>
  <c r="Y13" i="10"/>
  <c r="AG13" i="10" s="1"/>
  <c r="AH13" i="10" s="1"/>
  <c r="U7" i="10"/>
  <c r="Y7" i="10" s="1"/>
  <c r="AG7" i="10" s="1"/>
  <c r="AH7" i="10" s="1"/>
  <c r="U10" i="10"/>
  <c r="Y10" i="10" s="1"/>
  <c r="AG10" i="10" s="1"/>
  <c r="S2" i="10"/>
  <c r="T14" i="10"/>
  <c r="X14" i="10" s="1"/>
  <c r="AA13" i="10" s="1"/>
  <c r="AB13" i="10" s="1"/>
  <c r="U12" i="10"/>
  <c r="Y12" i="10" s="1"/>
  <c r="AG12" i="10" s="1"/>
  <c r="AH12" i="10" s="1"/>
  <c r="U11" i="10"/>
  <c r="T11" i="10"/>
  <c r="X11" i="10" s="1"/>
  <c r="AA10" i="10" s="1"/>
  <c r="AB10" i="10" s="1"/>
  <c r="T4" i="10"/>
  <c r="X4" i="10" s="1"/>
  <c r="U4" i="10"/>
  <c r="Y4" i="10" s="1"/>
  <c r="U9" i="10"/>
  <c r="Y9" i="10" s="1"/>
  <c r="AG9" i="10" s="1"/>
  <c r="AH9" i="10" s="1"/>
  <c r="AH10" i="10"/>
  <c r="AB9" i="10"/>
  <c r="AB6" i="10"/>
  <c r="AH14" i="10"/>
  <c r="AB11" i="10"/>
  <c r="AH8" i="10"/>
  <c r="AB8" i="10"/>
  <c r="AB5" i="10"/>
  <c r="AB7" i="10"/>
  <c r="U2" i="10" l="1"/>
  <c r="Y11" i="10"/>
  <c r="AG11" i="10" s="1"/>
  <c r="AH11" i="10" s="1"/>
  <c r="X2" i="10"/>
  <c r="T2" i="10"/>
  <c r="AC14" i="10"/>
  <c r="AD5" i="10"/>
  <c r="AD15" i="10"/>
  <c r="AD7" i="10"/>
  <c r="AC4" i="10"/>
  <c r="AD4" i="10"/>
  <c r="AC5" i="10"/>
  <c r="AC11" i="10"/>
  <c r="AB18" i="10"/>
  <c r="AD14" i="10"/>
  <c r="AC9" i="10"/>
  <c r="AC10" i="10"/>
  <c r="AC6" i="10"/>
  <c r="AD9" i="10"/>
  <c r="AG4" i="10"/>
  <c r="AC15" i="10"/>
  <c r="AD6" i="10"/>
  <c r="AC12" i="10"/>
  <c r="AC8" i="10"/>
  <c r="AC13" i="10"/>
  <c r="AD11" i="10"/>
  <c r="AD12" i="10"/>
  <c r="AC7" i="10"/>
  <c r="AD8" i="10"/>
  <c r="AD10" i="10"/>
  <c r="AD13" i="10"/>
  <c r="Y2" i="10" l="1"/>
  <c r="AD18" i="10"/>
  <c r="L27" i="10" s="1"/>
  <c r="AC18" i="10"/>
  <c r="L26" i="10" s="1"/>
  <c r="L25" i="10"/>
  <c r="AH4" i="10"/>
  <c r="AI4" i="10"/>
  <c r="AJ4" i="10"/>
  <c r="AE18" i="10" l="1"/>
  <c r="L28" i="10" s="1"/>
  <c r="H31" i="10" s="1"/>
  <c r="AH18" i="10"/>
  <c r="AI5" i="10"/>
  <c r="AI11" i="10"/>
  <c r="AJ11" i="10"/>
  <c r="AJ15" i="10"/>
  <c r="AJ14" i="10"/>
  <c r="AJ13" i="10"/>
  <c r="AI14" i="10"/>
  <c r="AI7" i="10"/>
  <c r="AI15" i="10"/>
  <c r="AI13" i="10"/>
  <c r="AJ7" i="10"/>
  <c r="AI9" i="10"/>
  <c r="AI6" i="10"/>
  <c r="AJ10" i="10"/>
  <c r="AJ12" i="10"/>
  <c r="AI10" i="10"/>
  <c r="AI8" i="10"/>
  <c r="AJ6" i="10"/>
  <c r="AJ9" i="10"/>
  <c r="AI12" i="10"/>
  <c r="AJ8" i="10"/>
  <c r="AJ5" i="10"/>
  <c r="H32" i="10"/>
  <c r="H26" i="10"/>
  <c r="H27" i="10"/>
  <c r="H25" i="10"/>
  <c r="H29" i="10" l="1"/>
  <c r="L23" i="10"/>
  <c r="H30" i="10"/>
  <c r="AJ18" i="10"/>
  <c r="L41" i="10" s="1"/>
  <c r="H33" i="10"/>
  <c r="H35" i="10"/>
  <c r="H28" i="10"/>
  <c r="H34" i="10"/>
  <c r="AI18" i="10"/>
  <c r="L40" i="10" s="1"/>
  <c r="L39" i="10"/>
  <c r="H23" i="10" l="1"/>
  <c r="AK18" i="10"/>
  <c r="L42" i="10" s="1"/>
  <c r="H42" i="10" s="1"/>
  <c r="H41" i="10"/>
  <c r="H39" i="10"/>
  <c r="H40" i="10"/>
  <c r="H48" i="10" l="1"/>
  <c r="BK55" i="10" s="1"/>
  <c r="H45" i="10"/>
  <c r="BS45" i="10" s="1"/>
  <c r="H43" i="10"/>
  <c r="BK31" i="10" s="1"/>
  <c r="H46" i="10"/>
  <c r="BS46" i="10" s="1"/>
  <c r="H44" i="10"/>
  <c r="BS23" i="10" s="1"/>
  <c r="L37" i="10"/>
  <c r="H47" i="10"/>
  <c r="BK41" i="10" s="1"/>
  <c r="H49" i="10"/>
  <c r="BK43" i="10" s="1"/>
  <c r="BS20" i="10"/>
  <c r="BK5" i="10"/>
  <c r="BS26" i="10"/>
  <c r="BS33" i="10"/>
  <c r="BS9" i="10"/>
  <c r="BS16" i="10"/>
  <c r="BK14" i="10"/>
  <c r="BS12" i="10"/>
  <c r="BS41" i="10"/>
  <c r="BO6" i="10"/>
  <c r="BS7" i="10"/>
  <c r="BS24" i="10"/>
  <c r="BO4" i="10"/>
  <c r="BS5" i="10"/>
  <c r="BS39" i="10"/>
  <c r="BS4" i="10"/>
  <c r="BS14" i="10"/>
  <c r="BK49" i="10"/>
  <c r="BS10" i="10"/>
  <c r="BS31" i="10"/>
  <c r="BK19" i="10"/>
  <c r="BK4" i="10"/>
  <c r="BS25" i="10"/>
  <c r="BS8" i="10"/>
  <c r="BS15" i="10"/>
  <c r="BS40" i="10"/>
  <c r="BS19" i="10"/>
  <c r="BO5" i="10"/>
  <c r="BS11" i="10"/>
  <c r="BS6" i="10"/>
  <c r="BS32" i="10"/>
  <c r="BS13" i="10"/>
  <c r="BS42" i="10"/>
  <c r="BS21" i="10"/>
  <c r="BO7" i="10"/>
  <c r="BK23" i="10"/>
  <c r="BK15" i="10"/>
  <c r="BS34" i="10"/>
  <c r="BS27" i="10"/>
  <c r="BK6" i="10"/>
  <c r="BS17" i="10"/>
  <c r="BS37" i="10"/>
  <c r="BK9" i="10" l="1"/>
  <c r="BK26" i="10"/>
  <c r="BK33" i="10"/>
  <c r="BK39" i="10"/>
  <c r="BO10" i="10"/>
  <c r="BK38" i="10"/>
  <c r="BK29" i="10"/>
  <c r="BS18" i="10"/>
  <c r="BK54" i="10"/>
  <c r="BK18" i="10"/>
  <c r="BK45" i="10"/>
  <c r="BS30" i="10"/>
  <c r="BK44" i="10"/>
  <c r="BO9" i="10"/>
  <c r="BK47" i="10"/>
  <c r="BS29" i="10"/>
  <c r="BK57" i="10"/>
  <c r="BK42" i="10"/>
  <c r="BS44" i="10"/>
  <c r="BK12" i="10"/>
  <c r="BO13" i="10"/>
  <c r="BS36" i="10"/>
  <c r="BK21" i="10"/>
  <c r="BK25" i="10"/>
  <c r="BK52" i="10"/>
  <c r="BK36" i="10"/>
  <c r="BK32" i="10"/>
  <c r="BK13" i="10"/>
  <c r="BK17" i="10"/>
  <c r="BK8" i="10"/>
  <c r="BK51" i="10"/>
  <c r="BK22" i="10"/>
  <c r="BK40" i="10"/>
  <c r="BK34" i="10"/>
  <c r="BK30" i="10"/>
  <c r="BS38" i="10"/>
  <c r="BK50" i="10"/>
  <c r="BO14" i="10"/>
  <c r="BO11" i="10"/>
  <c r="BK48" i="10"/>
  <c r="BK27" i="10"/>
  <c r="BK53" i="10"/>
  <c r="BK10" i="10"/>
  <c r="BK59" i="10"/>
  <c r="BK28" i="10"/>
  <c r="BK56" i="10"/>
  <c r="BK58" i="10"/>
  <c r="BK37" i="10"/>
  <c r="BK46" i="10"/>
  <c r="BO8" i="10"/>
  <c r="BS47" i="10"/>
  <c r="BO12" i="10"/>
  <c r="BS35" i="10"/>
  <c r="BK16" i="10"/>
  <c r="BK35" i="10"/>
  <c r="BS22" i="10"/>
  <c r="BK11" i="10"/>
  <c r="BK24" i="10"/>
  <c r="BS43" i="10"/>
  <c r="BK20" i="10"/>
  <c r="H37" i="10"/>
  <c r="BS28" i="10"/>
  <c r="BK7" i="10"/>
  <c r="B37" i="10" l="1"/>
  <c r="B38" i="10"/>
  <c r="B3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A0493624-B89C-4C05-9476-F70D4AB8F65B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5DDC9CA2-173C-4F4A-A913-112F46E8FAF7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A1D2F82B-A754-4DD6-ACE2-E2C36818886D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95B3582B-BAEB-47E6-B504-A7E2C7B40EB5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79E57ACC-0F53-415A-A34C-4C1122E1EB88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8F140FF8-4B9C-4752-8BE7-8B9960DBAD01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13874C8C-DEE2-4F80-B3BD-A651A4258C3A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5655F45-7EBA-4297-A86F-FE1DA1E27C1F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2CDFF9C2-0B5C-435B-B3D5-5E0B39CE1BCD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90DF0246-748E-4E84-903E-CA49F2FCD978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2BA751D3-46B9-4B0E-AC9D-AE275F18B444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931AC4AD-D71C-43BC-85E1-E340FBB7CDB9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1FAADDFD-CA4A-4487-B5B5-F5399B57F85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872102A0-5B27-4AE0-B097-6E470389C5CA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1B70D938-67AC-4814-9F2B-F6B8489FC0B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AF88B8D8-5D57-4B9F-8091-8CFB1BA5C451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F82734F4-8556-44A4-9E0F-A572401969E3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64977297-33DE-4613-B689-5A79CAA35E17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874BA54D-ECF6-40B1-AA2A-C50BAEEF5FCC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AB223E4C-00DB-485B-AFE2-9AC5C795A40F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C362B160-CEE8-40B6-A529-88EFE08512E2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4FF6C15B-E2B4-46C8-AE71-3C6BE02FB6FA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65F9A33F-C775-4C7E-A5B9-91972BC249EB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23634931-A2B4-465A-A31D-D1D186535113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A8A45AB6-E08E-4557-B8DF-356C53E3DA88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9F34E7E4-63EA-4BBF-8304-15B2AA9BE3B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24A5C94A-5ACA-4275-AEC4-E910244311A2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1BE02061-1F29-4878-9091-2D7CCEC142E3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D5036193-BFD7-45C1-88B7-884A37CB7BA9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58AF56D7-5F22-4F0C-B997-3D6B89921CF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B91A18E4-591F-44B5-BA99-170E7AB9084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83A4C843-781A-4DAD-8B27-1B3504E9D83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9DAE3D21-3C9C-4320-AD92-A6645CC33A9E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AC9149F0-F0F4-4354-B903-D109BB37025E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4F06009D-10C7-4A32-8600-C0A77CAA408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7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7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7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7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7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7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7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7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7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7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7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7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7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7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7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7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700-000011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7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7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7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 xr:uid="{00000000-0006-0000-07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8" authorId="0" shapeId="0" xr:uid="{00000000-0006-0000-07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<sst xmlns="http://schemas.openxmlformats.org/spreadsheetml/2006/main" count="1625" uniqueCount="194">
  <si>
    <t>NEU</t>
  </si>
  <si>
    <t>RAP</t>
  </si>
  <si>
    <t>TEC</t>
  </si>
  <si>
    <t>All</t>
  </si>
  <si>
    <t>Clima</t>
  </si>
  <si>
    <t>Sol</t>
  </si>
  <si>
    <t>POT</t>
  </si>
  <si>
    <t>Ext+Del</t>
  </si>
  <si>
    <t>Del</t>
  </si>
  <si>
    <t>LOC</t>
  </si>
  <si>
    <t>VIS</t>
  </si>
  <si>
    <t>Loc</t>
  </si>
  <si>
    <t>HPrin</t>
  </si>
  <si>
    <t>Exp</t>
  </si>
  <si>
    <t>An</t>
  </si>
  <si>
    <t>Vis</t>
  </si>
  <si>
    <t>Pcrear</t>
  </si>
  <si>
    <t>Pconv</t>
  </si>
  <si>
    <t>p</t>
  </si>
  <si>
    <t>pLoc</t>
  </si>
  <si>
    <t>p(0)</t>
  </si>
  <si>
    <t>p(1)</t>
  </si>
  <si>
    <t>p(2)</t>
  </si>
  <si>
    <t>Ev</t>
  </si>
  <si>
    <t>pVis</t>
  </si>
  <si>
    <t>pbase</t>
  </si>
  <si>
    <t>FORMACION</t>
  </si>
  <si>
    <t>POR</t>
  </si>
  <si>
    <t>no</t>
  </si>
  <si>
    <t>Pase largo de imprevisible</t>
  </si>
  <si>
    <t>05</t>
  </si>
  <si>
    <t>Mediocampo</t>
  </si>
  <si>
    <t>LAT</t>
  </si>
  <si>
    <t>IMP</t>
  </si>
  <si>
    <t>Imprevisible recupera balón</t>
  </si>
  <si>
    <t>06</t>
  </si>
  <si>
    <t>Defensa derecha</t>
  </si>
  <si>
    <t>DC</t>
  </si>
  <si>
    <t>IMP Propia</t>
  </si>
  <si>
    <t>Defensa central</t>
  </si>
  <si>
    <t>Imprevisible crea ocasión</t>
  </si>
  <si>
    <t>08</t>
  </si>
  <si>
    <t>Defensa izquierda</t>
  </si>
  <si>
    <t>Pérdida de balón Imprev.</t>
  </si>
  <si>
    <t>09</t>
  </si>
  <si>
    <t>Ataque derecho</t>
  </si>
  <si>
    <t>Rápido dispara a gol</t>
  </si>
  <si>
    <t>15</t>
  </si>
  <si>
    <t>Ataque central</t>
  </si>
  <si>
    <t>MD</t>
  </si>
  <si>
    <t>Pase de un jugador rápido</t>
  </si>
  <si>
    <t>16</t>
  </si>
  <si>
    <t>Ataque izquierdo</t>
  </si>
  <si>
    <t>Cansancio</t>
  </si>
  <si>
    <t>17</t>
  </si>
  <si>
    <t>Faltas indirectas Def</t>
  </si>
  <si>
    <t>Córner</t>
  </si>
  <si>
    <t>18</t>
  </si>
  <si>
    <t>Faltas indirectas At</t>
  </si>
  <si>
    <t>EXT</t>
  </si>
  <si>
    <t>Córner + cabeceador</t>
  </si>
  <si>
    <t>19</t>
  </si>
  <si>
    <t>Experiencia Equipo</t>
  </si>
  <si>
    <t>Experiencia</t>
  </si>
  <si>
    <t>35</t>
  </si>
  <si>
    <t xml:space="preserve">Nivel medio HabPri </t>
  </si>
  <si>
    <t>DV</t>
  </si>
  <si>
    <t>Inexperiencia</t>
  </si>
  <si>
    <t>36</t>
  </si>
  <si>
    <t>Tactica</t>
  </si>
  <si>
    <t>Normal</t>
  </si>
  <si>
    <t>Extremo + anotación</t>
  </si>
  <si>
    <t>37</t>
  </si>
  <si>
    <t>Nivel Tactica</t>
  </si>
  <si>
    <t>Extremo + cabeceador</t>
  </si>
  <si>
    <t>38</t>
  </si>
  <si>
    <t>3 o más</t>
  </si>
  <si>
    <t>Técnivo vs. Cabeceador</t>
  </si>
  <si>
    <t>39</t>
  </si>
  <si>
    <t>Oca Destruidas Pression</t>
  </si>
  <si>
    <t>Ocasiones Compartidas</t>
  </si>
  <si>
    <t>Posesión HT</t>
  </si>
  <si>
    <t>Ocasiones Gol</t>
  </si>
  <si>
    <t>Posesión Real</t>
  </si>
  <si>
    <t>Local</t>
  </si>
  <si>
    <t>Visitante</t>
  </si>
  <si>
    <t>G</t>
  </si>
  <si>
    <t>GT</t>
  </si>
  <si>
    <t>p(x)</t>
  </si>
  <si>
    <t>EE(x)</t>
  </si>
  <si>
    <t>OcaS</t>
  </si>
  <si>
    <t>P</t>
  </si>
  <si>
    <t>O_CA</t>
  </si>
  <si>
    <t>TotalN</t>
  </si>
  <si>
    <t>OcaCA</t>
  </si>
  <si>
    <t>Total</t>
  </si>
  <si>
    <t>E(x)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</si>
  <si>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</si>
  <si>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</si>
  <si>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</si>
  <si>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</si>
  <si>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</si>
  <si>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</si>
  <si>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</si>
  <si>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</si>
  <si>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</si>
  <si>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</si>
  <si>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</si>
  <si>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at-central</t>
  </si>
  <si>
    <t>at-derecha</t>
  </si>
  <si>
    <t>at-izquierda</t>
  </si>
  <si>
    <t>at-bp-d</t>
  </si>
  <si>
    <t>at-bp-i</t>
  </si>
  <si>
    <t>Tiro Lejano</t>
  </si>
  <si>
    <t>Efectividad</t>
  </si>
  <si>
    <t>Probabilidad de TL</t>
  </si>
  <si>
    <t>Probabilidad de CA</t>
  </si>
  <si>
    <t>Ocasiones Total Gol</t>
  </si>
  <si>
    <t>EMPATE</t>
  </si>
  <si>
    <t>VISITANT</t>
  </si>
  <si>
    <t>LOCAL</t>
  </si>
  <si>
    <t>Esp</t>
  </si>
  <si>
    <t>+/-</t>
  </si>
  <si>
    <t>Hab</t>
  </si>
  <si>
    <t>Tiempo</t>
  </si>
  <si>
    <t>Lluvia</t>
  </si>
  <si>
    <t>-</t>
  </si>
  <si>
    <t>-JUG-ANO</t>
  </si>
  <si>
    <t>1º+2º</t>
  </si>
  <si>
    <t>+</t>
  </si>
  <si>
    <t>+JUG+ANO</t>
  </si>
  <si>
    <t xml:space="preserve">POT </t>
  </si>
  <si>
    <t>+DF+JG+AN</t>
  </si>
  <si>
    <t>-ANO-RES</t>
  </si>
  <si>
    <t>2º</t>
  </si>
  <si>
    <t>-DEF-ANO</t>
  </si>
  <si>
    <t>-DEF</t>
  </si>
  <si>
    <t>Vader</t>
  </si>
  <si>
    <t>CAB</t>
  </si>
  <si>
    <t>Obiwan</t>
  </si>
  <si>
    <t>0,6</t>
  </si>
  <si>
    <t>0,72</t>
  </si>
  <si>
    <t>Tiro lejano</t>
  </si>
  <si>
    <t>07</t>
  </si>
  <si>
    <t>Ev.Clima</t>
  </si>
  <si>
    <t>&lt;debil</t>
  </si>
  <si>
    <t>Constantes Clima</t>
  </si>
  <si>
    <t>pLocal50</t>
  </si>
  <si>
    <t>pVis50</t>
  </si>
  <si>
    <t>FORM</t>
  </si>
  <si>
    <t>Nublado</t>
  </si>
  <si>
    <t>No</t>
  </si>
  <si>
    <t>Pos1</t>
  </si>
  <si>
    <t>Pos2</t>
  </si>
  <si>
    <t>E+D</t>
  </si>
  <si>
    <t>Evento</t>
  </si>
  <si>
    <t>Slots</t>
  </si>
  <si>
    <t>Descripcion</t>
  </si>
  <si>
    <t>Slots1</t>
  </si>
  <si>
    <t>Slots2</t>
  </si>
  <si>
    <t>pOK</t>
  </si>
  <si>
    <t>a1</t>
  </si>
  <si>
    <t>a2</t>
  </si>
  <si>
    <t>pConv1</t>
  </si>
  <si>
    <t>pConv2</t>
  </si>
  <si>
    <t>g1</t>
  </si>
  <si>
    <t>g2</t>
  </si>
  <si>
    <t>IMP+Pase</t>
  </si>
  <si>
    <t>IMP+Ano</t>
  </si>
  <si>
    <t>IMP Fallo</t>
  </si>
  <si>
    <t>RAP+Ano</t>
  </si>
  <si>
    <t>RAP+Pase</t>
  </si>
  <si>
    <t>pos</t>
  </si>
  <si>
    <t>Corner + Ano</t>
  </si>
  <si>
    <t>Corner + CAB</t>
  </si>
  <si>
    <t>Lat+CAB</t>
  </si>
  <si>
    <t>Lat+ANO</t>
  </si>
  <si>
    <t>TEC vs CAB</t>
  </si>
  <si>
    <t>p_por_slot</t>
  </si>
  <si>
    <t>WB</t>
  </si>
  <si>
    <t>CD</t>
  </si>
  <si>
    <t>INN</t>
  </si>
  <si>
    <t>DAV</t>
  </si>
  <si>
    <t>Lokomotiv</t>
  </si>
  <si>
    <t>AIM</t>
  </si>
  <si>
    <t>Del POT</t>
  </si>
  <si>
    <t>Luke</t>
  </si>
  <si>
    <t>handorratrick</t>
  </si>
  <si>
    <t>Romeo</t>
  </si>
  <si>
    <t>ç</t>
  </si>
  <si>
    <t>Zenit</t>
  </si>
  <si>
    <t>LUKE</t>
  </si>
  <si>
    <t>TL</t>
  </si>
  <si>
    <t>Sisc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</si>
</sst>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%"/>
    <numFmt numFmtId="166" formatCode="0.0000"/>
    <numFmt numFmtId="167" formatCode="_-* #,##0.000\ _€_-;\-* #,##0.000\ _€_-;_-* &quot;-&quot;??\ _€_-;_-@_-"/>
    <numFmt numFmtId="168" formatCode="0.000"/>
    <numFmt numFmtId="169" formatCode="0.0"/>
  </numFmts>
  <fonts count="27" x14ac:knownFonts="1"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B050"/>
      <name val="Calibri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sz val="11"/>
      <color rgb="FFFFFFFF"/>
      <name val="Calibri"/>
      <family val="2"/>
    </font>
    <font>
      <sz val="8"/>
      <color rgb="FF000000"/>
      <name val="Verdana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rgb="FF000000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CCC0DA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96">
    <xf numFmtId="0" fontId="0" fillId="0" borderId="0" xfId="0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right"/>
    </xf>
    <xf numFmtId="2" fontId="3" fillId="0" borderId="2" xfId="0" applyNumberFormat="1" applyFont="1" applyBorder="1"/>
    <xf numFmtId="2" fontId="4" fillId="0" borderId="2" xfId="0" applyNumberFormat="1" applyFont="1" applyBorder="1"/>
    <xf numFmtId="0" fontId="5" fillId="3" borderId="3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49" fontId="0" fillId="0" borderId="2" xfId="0" applyNumberForma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0" fontId="0" fillId="0" borderId="0" xfId="0"/>
    <xf numFmtId="49" fontId="4" fillId="0" borderId="2" xfId="0" applyNumberFormat="1" applyFont="1" applyBorder="1" applyAlignment="1">
      <alignment horizontal="center"/>
    </xf>
    <xf numFmtId="49" fontId="4" fillId="7" borderId="8" xfId="0" applyNumberFormat="1" applyFont="1" applyFill="1" applyBorder="1" applyAlignment="1">
      <alignment horizontal="center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2" fillId="7" borderId="8" xfId="0" applyFont="1" applyFill="1" applyBorder="1" applyAlignment="1">
      <alignment horizontal="right"/>
    </xf>
    <xf numFmtId="0" fontId="2" fillId="0" borderId="2" xfId="0" applyFont="1" applyBorder="1" applyAlignment="1">
      <alignment horizontal="right" wrapText="1"/>
    </xf>
    <xf numFmtId="0" fontId="2" fillId="5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0" xfId="0" applyNumberFormat="1" applyFont="1"/>
    <xf numFmtId="0" fontId="2" fillId="4" borderId="4" xfId="0" applyFont="1" applyFill="1" applyBorder="1" applyAlignment="1">
      <alignment horizontal="center"/>
    </xf>
    <xf numFmtId="0" fontId="0" fillId="0" borderId="0" xfId="0"/>
    <xf numFmtId="165" fontId="0" fillId="0" borderId="0" xfId="2" applyNumberFormat="1" applyFont="1"/>
    <xf numFmtId="0" fontId="2" fillId="0" borderId="0" xfId="0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164" fontId="0" fillId="0" borderId="0" xfId="1" applyFont="1"/>
    <xf numFmtId="165" fontId="0" fillId="0" borderId="2" xfId="2" applyNumberFormat="1" applyFont="1" applyBorder="1" applyAlignment="1">
      <alignment horizontal="center"/>
    </xf>
    <xf numFmtId="0" fontId="2" fillId="8" borderId="9" xfId="0" applyFont="1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6" fontId="0" fillId="7" borderId="8" xfId="0" applyNumberFormat="1" applyFill="1" applyBorder="1"/>
    <xf numFmtId="166" fontId="0" fillId="7" borderId="8" xfId="0" applyNumberFormat="1" applyFill="1" applyBorder="1"/>
    <xf numFmtId="166" fontId="0" fillId="8" borderId="9" xfId="0" applyNumberFormat="1" applyFill="1" applyBorder="1"/>
    <xf numFmtId="166" fontId="0" fillId="8" borderId="9" xfId="0" applyNumberFormat="1" applyFill="1" applyBorder="1"/>
    <xf numFmtId="165" fontId="3" fillId="7" borderId="8" xfId="2" applyNumberFormat="1" applyFont="1" applyFill="1" applyBorder="1"/>
    <xf numFmtId="165" fontId="2" fillId="7" borderId="8" xfId="2" applyNumberFormat="1" applyFont="1" applyFill="1" applyBorder="1"/>
    <xf numFmtId="165" fontId="4" fillId="7" borderId="8" xfId="2" applyNumberFormat="1" applyFont="1" applyFill="1" applyBorder="1"/>
    <xf numFmtId="0" fontId="8" fillId="7" borderId="8" xfId="0" applyFont="1" applyFill="1" applyBorder="1"/>
    <xf numFmtId="0" fontId="9" fillId="7" borderId="8" xfId="0" applyFont="1" applyFill="1" applyBorder="1"/>
    <xf numFmtId="0" fontId="2" fillId="7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right" wrapText="1"/>
    </xf>
    <xf numFmtId="2" fontId="3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right"/>
    </xf>
    <xf numFmtId="2" fontId="4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right"/>
    </xf>
    <xf numFmtId="168" fontId="2" fillId="5" borderId="5" xfId="0" applyNumberFormat="1" applyFont="1" applyFill="1" applyBorder="1"/>
    <xf numFmtId="168" fontId="2" fillId="6" borderId="6" xfId="0" applyNumberFormat="1" applyFont="1" applyFill="1" applyBorder="1"/>
    <xf numFmtId="167" fontId="0" fillId="6" borderId="6" xfId="1" applyNumberFormat="1" applyFont="1" applyFill="1" applyBorder="1"/>
    <xf numFmtId="167" fontId="0" fillId="0" borderId="0" xfId="1" applyNumberFormat="1" applyFont="1"/>
    <xf numFmtId="165" fontId="2" fillId="5" borderId="5" xfId="2" applyNumberFormat="1" applyFont="1" applyFill="1" applyBorder="1"/>
    <xf numFmtId="165" fontId="2" fillId="6" borderId="6" xfId="2" applyNumberFormat="1" applyFont="1" applyFill="1" applyBorder="1"/>
    <xf numFmtId="9" fontId="0" fillId="5" borderId="5" xfId="2" applyFont="1" applyFill="1" applyBorder="1"/>
    <xf numFmtId="9" fontId="0" fillId="6" borderId="6" xfId="2" applyFont="1" applyFill="1" applyBorder="1"/>
    <xf numFmtId="9" fontId="2" fillId="5" borderId="5" xfId="2" applyFont="1" applyFill="1" applyBorder="1"/>
    <xf numFmtId="9" fontId="2" fillId="9" borderId="10" xfId="2" applyFont="1" applyFill="1" applyBorder="1"/>
    <xf numFmtId="168" fontId="3" fillId="7" borderId="8" xfId="0" applyNumberFormat="1" applyFont="1" applyFill="1" applyBorder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68" fontId="4" fillId="7" borderId="8" xfId="0" applyNumberFormat="1" applyFont="1" applyFill="1" applyBorder="1" applyAlignment="1">
      <alignment horizontal="center"/>
    </xf>
    <xf numFmtId="168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5" borderId="5" xfId="1" applyNumberFormat="1" applyFont="1" applyFill="1" applyBorder="1"/>
    <xf numFmtId="165" fontId="0" fillId="0" borderId="0" xfId="2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0" xfId="1" applyFont="1"/>
    <xf numFmtId="164" fontId="0" fillId="0" borderId="0" xfId="0" applyNumberFormat="1"/>
    <xf numFmtId="167" fontId="0" fillId="0" borderId="0" xfId="0" applyNumberFormat="1"/>
    <xf numFmtId="0" fontId="2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/>
    </xf>
    <xf numFmtId="165" fontId="2" fillId="0" borderId="13" xfId="2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5" fontId="2" fillId="0" borderId="16" xfId="2" applyNumberFormat="1" applyFont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5" fontId="2" fillId="0" borderId="20" xfId="2" applyNumberFormat="1" applyFont="1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4" borderId="23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2" fillId="16" borderId="26" xfId="0" applyFont="1" applyFill="1" applyBorder="1" applyAlignment="1">
      <alignment horizontal="center"/>
    </xf>
    <xf numFmtId="0" fontId="2" fillId="17" borderId="27" xfId="0" applyFont="1" applyFill="1" applyBorder="1" applyAlignment="1">
      <alignment horizontal="center"/>
    </xf>
    <xf numFmtId="0" fontId="2" fillId="18" borderId="28" xfId="0" applyFont="1" applyFill="1" applyBorder="1" applyAlignment="1">
      <alignment horizontal="center"/>
    </xf>
    <xf numFmtId="165" fontId="0" fillId="0" borderId="0" xfId="0" applyNumberFormat="1"/>
    <xf numFmtId="165" fontId="10" fillId="19" borderId="29" xfId="0" applyNumberFormat="1" applyFont="1" applyFill="1" applyBorder="1"/>
    <xf numFmtId="0" fontId="0" fillId="20" borderId="30" xfId="0" applyFill="1" applyBorder="1" applyAlignment="1">
      <alignment horizontal="right"/>
    </xf>
    <xf numFmtId="0" fontId="0" fillId="21" borderId="31" xfId="0" applyFill="1" applyBorder="1" applyAlignment="1">
      <alignment horizontal="right"/>
    </xf>
    <xf numFmtId="0" fontId="0" fillId="22" borderId="32" xfId="0" applyFill="1" applyBorder="1" applyAlignment="1">
      <alignment horizontal="right"/>
    </xf>
    <xf numFmtId="0" fontId="11" fillId="23" borderId="33" xfId="0" applyFont="1" applyFill="1" applyBorder="1" applyAlignment="1">
      <alignment horizontal="left" vertical="top" wrapText="1"/>
    </xf>
    <xf numFmtId="0" fontId="11" fillId="24" borderId="34" xfId="0" applyFont="1" applyFill="1" applyBorder="1" applyAlignment="1">
      <alignment horizontal="left" vertical="top" wrapText="1"/>
    </xf>
    <xf numFmtId="0" fontId="11" fillId="25" borderId="35" xfId="0" applyFont="1" applyFill="1" applyBorder="1" applyAlignment="1">
      <alignment horizontal="left" vertical="top" wrapText="1"/>
    </xf>
    <xf numFmtId="49" fontId="11" fillId="25" borderId="35" xfId="0" applyNumberFormat="1" applyFont="1" applyFill="1" applyBorder="1" applyAlignment="1">
      <alignment horizontal="left" vertical="top" wrapText="1"/>
    </xf>
    <xf numFmtId="0" fontId="11" fillId="26" borderId="36" xfId="0" applyFont="1" applyFill="1" applyBorder="1" applyAlignment="1">
      <alignment horizontal="left" vertical="top" wrapText="1"/>
    </xf>
    <xf numFmtId="9" fontId="0" fillId="27" borderId="37" xfId="2" applyFont="1" applyFill="1" applyBorder="1"/>
    <xf numFmtId="9" fontId="0" fillId="6" borderId="6" xfId="2" applyFont="1" applyFill="1" applyBorder="1"/>
    <xf numFmtId="9" fontId="0" fillId="5" borderId="5" xfId="2" applyFont="1" applyFill="1" applyBorder="1"/>
    <xf numFmtId="9" fontId="3" fillId="0" borderId="2" xfId="2" applyFont="1" applyBorder="1"/>
    <xf numFmtId="9" fontId="4" fillId="0" borderId="2" xfId="2" applyFont="1" applyBorder="1"/>
    <xf numFmtId="0" fontId="12" fillId="0" borderId="7" xfId="0" applyFont="1" applyBorder="1" applyAlignment="1">
      <alignment horizontal="right"/>
    </xf>
    <xf numFmtId="0" fontId="0" fillId="0" borderId="0" xfId="0" applyAlignment="1">
      <alignment horizontal="center"/>
    </xf>
    <xf numFmtId="0" fontId="3" fillId="0" borderId="38" xfId="0" applyFont="1" applyBorder="1" applyAlignment="1">
      <alignment horizontal="center"/>
    </xf>
    <xf numFmtId="165" fontId="3" fillId="0" borderId="39" xfId="2" applyNumberFormat="1" applyFont="1" applyBorder="1" applyAlignment="1">
      <alignment horizontal="center"/>
    </xf>
    <xf numFmtId="165" fontId="3" fillId="0" borderId="13" xfId="2" applyNumberFormat="1" applyFont="1" applyBorder="1" applyAlignment="1">
      <alignment horizontal="center"/>
    </xf>
    <xf numFmtId="165" fontId="3" fillId="0" borderId="16" xfId="2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165" fontId="4" fillId="0" borderId="39" xfId="2" applyNumberFormat="1" applyFont="1" applyBorder="1" applyAlignment="1">
      <alignment horizontal="center"/>
    </xf>
    <xf numFmtId="165" fontId="4" fillId="0" borderId="13" xfId="2" applyNumberFormat="1" applyFont="1" applyBorder="1" applyAlignment="1">
      <alignment horizontal="center"/>
    </xf>
    <xf numFmtId="165" fontId="4" fillId="0" borderId="16" xfId="2" applyNumberFormat="1" applyFont="1" applyBorder="1" applyAlignment="1">
      <alignment horizontal="center"/>
    </xf>
    <xf numFmtId="0" fontId="2" fillId="28" borderId="40" xfId="0" applyFont="1" applyFill="1" applyBorder="1" applyAlignment="1">
      <alignment horizontal="center"/>
    </xf>
    <xf numFmtId="167" fontId="0" fillId="0" borderId="41" xfId="1" applyNumberFormat="1" applyFont="1" applyBorder="1" applyAlignment="1">
      <alignment horizontal="center"/>
    </xf>
    <xf numFmtId="165" fontId="2" fillId="29" borderId="42" xfId="2" applyNumberFormat="1" applyFont="1" applyFill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0" fontId="2" fillId="30" borderId="43" xfId="0" applyFont="1" applyFill="1" applyBorder="1" applyAlignment="1">
      <alignment horizontal="center"/>
    </xf>
    <xf numFmtId="0" fontId="2" fillId="31" borderId="4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32" borderId="45" xfId="0" applyFont="1" applyFill="1" applyBorder="1" applyAlignment="1">
      <alignment horizontal="center"/>
    </xf>
    <xf numFmtId="0" fontId="2" fillId="33" borderId="46" xfId="0" applyFont="1" applyFill="1" applyBorder="1" applyAlignment="1">
      <alignment horizontal="center"/>
    </xf>
    <xf numFmtId="0" fontId="2" fillId="34" borderId="4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2" fillId="20" borderId="30" xfId="0" applyFont="1" applyFill="1" applyBorder="1" applyAlignment="1">
      <alignment horizontal="right"/>
    </xf>
    <xf numFmtId="0" fontId="0" fillId="20" borderId="30" xfId="0" applyFill="1" applyBorder="1" applyAlignment="1">
      <alignment horizontal="center"/>
    </xf>
    <xf numFmtId="0" fontId="0" fillId="0" borderId="2" xfId="0" applyBorder="1"/>
    <xf numFmtId="167" fontId="0" fillId="0" borderId="0" xfId="0" applyNumberFormat="1" applyAlignment="1">
      <alignment horizontal="right"/>
    </xf>
    <xf numFmtId="10" fontId="0" fillId="35" borderId="48" xfId="2" applyNumberFormat="1" applyFont="1" applyFill="1" applyBorder="1"/>
    <xf numFmtId="165" fontId="0" fillId="0" borderId="0" xfId="2" applyNumberFormat="1" applyFont="1"/>
    <xf numFmtId="0" fontId="3" fillId="36" borderId="4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165" fontId="0" fillId="37" borderId="50" xfId="2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65" fontId="3" fillId="0" borderId="2" xfId="2" applyNumberFormat="1" applyFont="1" applyBorder="1"/>
    <xf numFmtId="165" fontId="2" fillId="0" borderId="2" xfId="2" applyNumberFormat="1" applyFont="1" applyBorder="1"/>
    <xf numFmtId="165" fontId="4" fillId="0" borderId="2" xfId="2" applyNumberFormat="1" applyFont="1" applyBorder="1"/>
    <xf numFmtId="0" fontId="2" fillId="37" borderId="50" xfId="0" applyFont="1" applyFill="1" applyBorder="1" applyAlignment="1">
      <alignment horizontal="right"/>
    </xf>
    <xf numFmtId="0" fontId="2" fillId="37" borderId="50" xfId="0" applyFont="1" applyFill="1" applyBorder="1" applyAlignment="1">
      <alignment horizontal="right" wrapText="1"/>
    </xf>
    <xf numFmtId="0" fontId="2" fillId="38" borderId="52" xfId="0" applyFont="1" applyFill="1" applyBorder="1" applyAlignment="1">
      <alignment horizontal="right"/>
    </xf>
    <xf numFmtId="0" fontId="0" fillId="38" borderId="52" xfId="0" applyFill="1" applyBorder="1" applyAlignment="1">
      <alignment horizontal="right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165" fontId="0" fillId="0" borderId="0" xfId="2" applyNumberFormat="1" applyFont="1"/>
    <xf numFmtId="164" fontId="0" fillId="0" borderId="0" xfId="1" applyFont="1"/>
    <xf numFmtId="9" fontId="0" fillId="5" borderId="5" xfId="2" applyFont="1" applyFill="1" applyBorder="1"/>
    <xf numFmtId="9" fontId="0" fillId="6" borderId="6" xfId="2" applyFont="1" applyFill="1" applyBorder="1"/>
    <xf numFmtId="167" fontId="0" fillId="0" borderId="0" xfId="1" applyNumberFormat="1" applyFont="1"/>
    <xf numFmtId="9" fontId="0" fillId="27" borderId="37" xfId="2" applyFont="1" applyFill="1" applyBorder="1"/>
    <xf numFmtId="167" fontId="0" fillId="0" borderId="2" xfId="1" applyNumberFormat="1" applyFont="1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7" fontId="0" fillId="0" borderId="41" xfId="1" applyNumberFormat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167" fontId="0" fillId="5" borderId="5" xfId="1" applyNumberFormat="1" applyFont="1" applyFill="1" applyBorder="1"/>
    <xf numFmtId="167" fontId="0" fillId="6" borderId="6" xfId="1" applyNumberFormat="1" applyFont="1" applyFill="1" applyBorder="1"/>
    <xf numFmtId="165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12" fillId="0" borderId="0" xfId="0" applyNumberFormat="1" applyFont="1"/>
    <xf numFmtId="0" fontId="0" fillId="0" borderId="48" xfId="0" applyFill="1" applyBorder="1"/>
    <xf numFmtId="0" fontId="0" fillId="0" borderId="48" xfId="0" applyFill="1" applyBorder="1" applyAlignment="1">
      <alignment horizontal="center"/>
    </xf>
    <xf numFmtId="0" fontId="7" fillId="0" borderId="48" xfId="0" applyFont="1" applyFill="1" applyBorder="1" applyAlignment="1">
      <alignment horizontal="center"/>
    </xf>
    <xf numFmtId="165" fontId="0" fillId="0" borderId="48" xfId="2" applyNumberFormat="1" applyFont="1" applyFill="1" applyBorder="1"/>
    <xf numFmtId="0" fontId="2" fillId="0" borderId="48" xfId="0" applyFont="1" applyFill="1" applyBorder="1" applyAlignment="1">
      <alignment horizontal="right"/>
    </xf>
    <xf numFmtId="166" fontId="0" fillId="0" borderId="48" xfId="0" applyNumberForma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48" xfId="0" applyFont="1" applyFill="1" applyBorder="1"/>
    <xf numFmtId="168" fontId="3" fillId="0" borderId="48" xfId="0" applyNumberFormat="1" applyFont="1" applyFill="1" applyBorder="1" applyAlignment="1">
      <alignment horizontal="center"/>
    </xf>
    <xf numFmtId="168" fontId="3" fillId="0" borderId="48" xfId="1" applyNumberFormat="1" applyFont="1" applyFill="1" applyBorder="1" applyAlignment="1">
      <alignment horizontal="center"/>
    </xf>
    <xf numFmtId="166" fontId="3" fillId="0" borderId="48" xfId="0" applyNumberFormat="1" applyFont="1" applyFill="1" applyBorder="1" applyAlignment="1">
      <alignment horizontal="center"/>
    </xf>
    <xf numFmtId="165" fontId="0" fillId="0" borderId="48" xfId="2" applyNumberFormat="1" applyFont="1" applyFill="1" applyBorder="1" applyAlignment="1">
      <alignment horizontal="center"/>
    </xf>
    <xf numFmtId="166" fontId="0" fillId="0" borderId="48" xfId="0" applyNumberFormat="1" applyFill="1" applyBorder="1"/>
    <xf numFmtId="49" fontId="0" fillId="0" borderId="48" xfId="0" applyNumberFormat="1" applyFill="1" applyBorder="1" applyAlignment="1">
      <alignment horizontal="center"/>
    </xf>
    <xf numFmtId="168" fontId="4" fillId="0" borderId="48" xfId="0" applyNumberFormat="1" applyFont="1" applyFill="1" applyBorder="1" applyAlignment="1">
      <alignment horizontal="center"/>
    </xf>
    <xf numFmtId="168" fontId="0" fillId="0" borderId="48" xfId="0" applyNumberFormat="1" applyFill="1" applyBorder="1" applyAlignment="1">
      <alignment horizontal="center"/>
    </xf>
    <xf numFmtId="168" fontId="2" fillId="0" borderId="48" xfId="0" applyNumberFormat="1" applyFont="1" applyFill="1" applyBorder="1" applyAlignment="1">
      <alignment horizontal="center"/>
    </xf>
    <xf numFmtId="168" fontId="0" fillId="0" borderId="48" xfId="0" applyNumberFormat="1" applyFill="1" applyBorder="1"/>
    <xf numFmtId="0" fontId="0" fillId="0" borderId="48" xfId="0" applyFill="1" applyBorder="1" applyAlignment="1">
      <alignment horizontal="right"/>
    </xf>
    <xf numFmtId="49" fontId="0" fillId="0" borderId="48" xfId="0" applyNumberFormat="1" applyFill="1" applyBorder="1"/>
    <xf numFmtId="165" fontId="3" fillId="0" borderId="48" xfId="2" applyNumberFormat="1" applyFont="1" applyFill="1" applyBorder="1"/>
    <xf numFmtId="165" fontId="2" fillId="0" borderId="48" xfId="2" applyNumberFormat="1" applyFont="1" applyFill="1" applyBorder="1"/>
    <xf numFmtId="165" fontId="4" fillId="0" borderId="48" xfId="2" applyNumberFormat="1" applyFont="1" applyFill="1" applyBorder="1"/>
    <xf numFmtId="0" fontId="0" fillId="0" borderId="48" xfId="0" applyBorder="1"/>
    <xf numFmtId="0" fontId="0" fillId="0" borderId="48" xfId="0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8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9" fontId="7" fillId="0" borderId="48" xfId="0" applyNumberFormat="1" applyFont="1" applyBorder="1" applyAlignment="1">
      <alignment horizontal="center"/>
    </xf>
    <xf numFmtId="2" fontId="7" fillId="0" borderId="48" xfId="0" applyNumberFormat="1" applyFont="1" applyBorder="1" applyAlignment="1">
      <alignment horizontal="center"/>
    </xf>
    <xf numFmtId="9" fontId="1" fillId="0" borderId="48" xfId="0" applyNumberFormat="1" applyFont="1" applyBorder="1" applyAlignment="1">
      <alignment horizontal="center"/>
    </xf>
    <xf numFmtId="2" fontId="1" fillId="0" borderId="4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48" xfId="0" applyFont="1" applyBorder="1" applyAlignment="1">
      <alignment horizontal="center" vertical="center" wrapText="1"/>
    </xf>
    <xf numFmtId="168" fontId="0" fillId="0" borderId="48" xfId="0" applyNumberFormat="1" applyBorder="1"/>
    <xf numFmtId="168" fontId="0" fillId="0" borderId="48" xfId="0" applyNumberFormat="1" applyBorder="1" applyAlignment="1">
      <alignment horizontal="center" vertical="center" wrapText="1"/>
    </xf>
    <xf numFmtId="165" fontId="0" fillId="0" borderId="48" xfId="2" applyNumberFormat="1" applyFont="1" applyBorder="1" applyAlignment="1">
      <alignment horizontal="center" vertical="center" wrapText="1"/>
    </xf>
    <xf numFmtId="168" fontId="0" fillId="0" borderId="48" xfId="0" applyNumberFormat="1" applyBorder="1" applyAlignment="1">
      <alignment horizontal="center"/>
    </xf>
    <xf numFmtId="0" fontId="20" fillId="0" borderId="48" xfId="0" applyFont="1" applyBorder="1" applyAlignment="1">
      <alignment horizontal="center" vertical="center" wrapText="1"/>
    </xf>
    <xf numFmtId="165" fontId="1" fillId="0" borderId="48" xfId="2" applyNumberFormat="1" applyFont="1" applyBorder="1" applyAlignment="1">
      <alignment horizontal="center"/>
    </xf>
    <xf numFmtId="0" fontId="21" fillId="0" borderId="48" xfId="0" applyFont="1" applyBorder="1" applyAlignment="1">
      <alignment horizontal="center" vertical="center" wrapText="1"/>
    </xf>
    <xf numFmtId="165" fontId="7" fillId="0" borderId="48" xfId="2" applyNumberFormat="1" applyFont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2" fontId="3" fillId="40" borderId="51" xfId="0" applyNumberFormat="1" applyFont="1" applyFill="1" applyBorder="1"/>
    <xf numFmtId="2" fontId="4" fillId="40" borderId="51" xfId="0" applyNumberFormat="1" applyFont="1" applyFill="1" applyBorder="1"/>
    <xf numFmtId="2" fontId="3" fillId="40" borderId="51" xfId="0" applyNumberFormat="1" applyFont="1" applyFill="1" applyBorder="1" applyAlignment="1">
      <alignment wrapText="1"/>
    </xf>
    <xf numFmtId="2" fontId="4" fillId="40" borderId="51" xfId="0" applyNumberFormat="1" applyFont="1" applyFill="1" applyBorder="1" applyAlignment="1">
      <alignment wrapText="1"/>
    </xf>
    <xf numFmtId="0" fontId="1" fillId="40" borderId="51" xfId="0" applyFont="1" applyFill="1" applyBorder="1" applyAlignment="1">
      <alignment horizontal="right"/>
    </xf>
    <xf numFmtId="0" fontId="7" fillId="40" borderId="51" xfId="0" applyFont="1" applyFill="1" applyBorder="1" applyAlignment="1">
      <alignment horizontal="right"/>
    </xf>
    <xf numFmtId="9" fontId="3" fillId="40" borderId="51" xfId="2" applyFont="1" applyFill="1" applyBorder="1"/>
    <xf numFmtId="9" fontId="4" fillId="40" borderId="51" xfId="2" applyFont="1" applyFill="1" applyBorder="1"/>
    <xf numFmtId="2" fontId="1" fillId="41" borderId="48" xfId="0" applyNumberFormat="1" applyFont="1" applyFill="1" applyBorder="1" applyAlignment="1">
      <alignment horizontal="center"/>
    </xf>
    <xf numFmtId="2" fontId="7" fillId="41" borderId="48" xfId="0" applyNumberFormat="1" applyFont="1" applyFill="1" applyBorder="1" applyAlignment="1">
      <alignment horizontal="center"/>
    </xf>
    <xf numFmtId="0" fontId="1" fillId="41" borderId="48" xfId="0" applyFont="1" applyFill="1" applyBorder="1" applyAlignment="1">
      <alignment horizontal="center"/>
    </xf>
    <xf numFmtId="0" fontId="7" fillId="41" borderId="48" xfId="0" applyFont="1" applyFill="1" applyBorder="1" applyAlignment="1">
      <alignment horizontal="center"/>
    </xf>
    <xf numFmtId="165" fontId="1" fillId="0" borderId="48" xfId="2" applyNumberFormat="1" applyFont="1" applyFill="1" applyBorder="1" applyAlignment="1">
      <alignment horizontal="center"/>
    </xf>
    <xf numFmtId="2" fontId="1" fillId="0" borderId="48" xfId="0" applyNumberFormat="1" applyFont="1" applyFill="1" applyBorder="1"/>
    <xf numFmtId="165" fontId="7" fillId="0" borderId="48" xfId="2" applyNumberFormat="1" applyFont="1" applyFill="1" applyBorder="1" applyAlignment="1">
      <alignment horizontal="center"/>
    </xf>
    <xf numFmtId="2" fontId="7" fillId="0" borderId="48" xfId="0" applyNumberFormat="1" applyFont="1" applyFill="1" applyBorder="1" applyAlignment="1">
      <alignment horizontal="center"/>
    </xf>
    <xf numFmtId="0" fontId="19" fillId="0" borderId="48" xfId="0" applyFont="1" applyFill="1" applyBorder="1" applyAlignment="1">
      <alignment horizontal="center"/>
    </xf>
    <xf numFmtId="0" fontId="24" fillId="0" borderId="48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165" fontId="22" fillId="0" borderId="48" xfId="2" applyNumberFormat="1" applyFont="1" applyBorder="1" applyAlignment="1">
      <alignment horizontal="center"/>
    </xf>
    <xf numFmtId="165" fontId="23" fillId="0" borderId="48" xfId="2" applyNumberFormat="1" applyFont="1" applyBorder="1" applyAlignment="1">
      <alignment horizontal="center"/>
    </xf>
    <xf numFmtId="164" fontId="22" fillId="0" borderId="0" xfId="1" applyFont="1" applyAlignment="1">
      <alignment horizontal="center"/>
    </xf>
    <xf numFmtId="164" fontId="23" fillId="0" borderId="0" xfId="1" applyFont="1" applyAlignment="1">
      <alignment horizontal="center"/>
    </xf>
    <xf numFmtId="167" fontId="0" fillId="42" borderId="5" xfId="1" applyNumberFormat="1" applyFont="1" applyFill="1" applyBorder="1"/>
    <xf numFmtId="167" fontId="0" fillId="42" borderId="6" xfId="1" applyNumberFormat="1" applyFont="1" applyFill="1" applyBorder="1"/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8" fillId="0" borderId="48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2" fillId="0" borderId="48" xfId="0" applyFont="1" applyFill="1" applyBorder="1" applyAlignment="1"/>
    <xf numFmtId="0" fontId="0" fillId="0" borderId="48" xfId="0" applyFont="1" applyFill="1" applyBorder="1" applyAlignment="1">
      <alignment horizontal="center"/>
    </xf>
    <xf numFmtId="169" fontId="0" fillId="0" borderId="0" xfId="0" applyNumberFormat="1"/>
    <xf numFmtId="2" fontId="26" fillId="43" borderId="0" xfId="0" applyNumberFormat="1" applyFont="1" applyFill="1" applyAlignment="1">
      <alignment horizontal="center"/>
    </xf>
    <xf numFmtId="2" fontId="26" fillId="44" borderId="0" xfId="0" applyNumberFormat="1" applyFont="1" applyFill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3" fillId="29" borderId="51" xfId="0" applyNumberFormat="1" applyFont="1" applyFill="1" applyBorder="1"/>
    <xf numFmtId="2" fontId="4" fillId="29" borderId="51" xfId="0" applyNumberFormat="1" applyFont="1" applyFill="1" applyBorder="1"/>
    <xf numFmtId="2" fontId="3" fillId="29" borderId="51" xfId="0" applyNumberFormat="1" applyFont="1" applyFill="1" applyBorder="1" applyAlignment="1">
      <alignment wrapText="1"/>
    </xf>
    <xf numFmtId="2" fontId="4" fillId="29" borderId="51" xfId="0" applyNumberFormat="1" applyFont="1" applyFill="1" applyBorder="1" applyAlignment="1">
      <alignment wrapText="1"/>
    </xf>
    <xf numFmtId="0" fontId="1" fillId="29" borderId="51" xfId="0" applyFont="1" applyFill="1" applyBorder="1" applyAlignment="1">
      <alignment horizontal="right"/>
    </xf>
    <xf numFmtId="0" fontId="7" fillId="29" borderId="51" xfId="0" applyFont="1" applyFill="1" applyBorder="1" applyAlignment="1">
      <alignment horizontal="right"/>
    </xf>
    <xf numFmtId="9" fontId="3" fillId="29" borderId="51" xfId="2" applyFont="1" applyFill="1" applyBorder="1"/>
    <xf numFmtId="9" fontId="4" fillId="29" borderId="51" xfId="2" applyFont="1" applyFill="1" applyBorder="1"/>
    <xf numFmtId="167" fontId="0" fillId="29" borderId="5" xfId="1" applyNumberFormat="1" applyFont="1" applyFill="1" applyBorder="1"/>
    <xf numFmtId="167" fontId="0" fillId="29" borderId="6" xfId="1" applyNumberFormat="1" applyFont="1" applyFill="1" applyBorder="1"/>
    <xf numFmtId="2" fontId="1" fillId="45" borderId="48" xfId="0" applyNumberFormat="1" applyFont="1" applyFill="1" applyBorder="1" applyAlignment="1">
      <alignment horizontal="center"/>
    </xf>
    <xf numFmtId="2" fontId="7" fillId="45" borderId="48" xfId="0" applyNumberFormat="1" applyFont="1" applyFill="1" applyBorder="1" applyAlignment="1">
      <alignment horizontal="center"/>
    </xf>
    <xf numFmtId="0" fontId="1" fillId="45" borderId="48" xfId="0" applyFont="1" applyFill="1" applyBorder="1" applyAlignment="1">
      <alignment horizontal="center"/>
    </xf>
    <xf numFmtId="0" fontId="7" fillId="45" borderId="48" xfId="0" applyFont="1" applyFill="1" applyBorder="1" applyAlignment="1">
      <alignment horizontal="center"/>
    </xf>
    <xf numFmtId="0" fontId="0" fillId="46" borderId="30" xfId="0" applyFill="1" applyBorder="1" applyAlignment="1">
      <alignment horizontal="right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9" borderId="53" xfId="0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54" xfId="0" applyBorder="1" applyAlignment="1">
      <alignment horizontal="center"/>
    </xf>
  </cellXfs>
  <cellStyles count="3">
    <cellStyle name="Millares" xfId="1" builtinId="3" customBuiltin="1"/>
    <cellStyle name="Normal" xfId="0" builtinId="0" customBuiltin="1"/>
    <cellStyle name="Porcentaje" xfId="2" builtinId="5" customBuiltin="1"/>
  </cellStyles>
  <dxfs count="112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253380" count="1">
        <pm:charStyle name="Normal" fontId="0" Id="1"/>
      </pm:charStyles>
      <pm:colors xmlns:pm="smNativeData" id="1595253380" count="16">
        <pm:color name="Color 24" rgb="00B050"/>
        <pm:color name="Color 25" rgb="E6B8B7"/>
        <pm:color name="Color 26" rgb="D7E3BB"/>
        <pm:color name="Color 27" rgb="CCC0DA"/>
        <pm:color name="Color 28" rgb="FCD5B4"/>
        <pm:color name="Color 29" rgb="C2D69A"/>
        <pm:color name="Color 30" rgb="D8D8D8"/>
        <pm:color name="Color 31" rgb="FDE9D9"/>
        <pm:color name="Color 32" rgb="DAEEF3"/>
        <pm:color name="Color 33" rgb="C4BD97"/>
        <pm:color name="Color 34" rgb="DCE6F1"/>
        <pm:color name="Color 35" rgb="B7DEE8"/>
        <pm:color name="Color 36" rgb="006100"/>
        <pm:color name="Color 37" rgb="C6EFCE"/>
        <pm:color name="Color 38" rgb="E26B0A"/>
        <pm:color name="Color 39" rgb="585858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'Loko-LUKE'!$G$25:$G$35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'Loko-LUKE'!$H$25:$H$35</c:f>
              <c:numCache>
                <c:formatCode>0.0%</c:formatCode>
                <c:ptCount val="11"/>
                <c:pt idx="0">
                  <c:v>1.2363331905303388E-2</c:v>
                </c:pt>
                <c:pt idx="1">
                  <c:v>6.7182219122412956E-2</c:v>
                </c:pt>
                <c:pt idx="2">
                  <c:v>0.16527183683226751</c:v>
                </c:pt>
                <c:pt idx="3">
                  <c:v>0.24291328265791853</c:v>
                </c:pt>
                <c:pt idx="4">
                  <c:v>0.23702387623359883</c:v>
                </c:pt>
                <c:pt idx="5">
                  <c:v>0.16133345015840159</c:v>
                </c:pt>
                <c:pt idx="6">
                  <c:v>7.8353021347844207E-2</c:v>
                </c:pt>
                <c:pt idx="7">
                  <c:v>2.7330036662270019E-2</c:v>
                </c:pt>
                <c:pt idx="8">
                  <c:v>6.8290881442715397E-3</c:v>
                </c:pt>
                <c:pt idx="9">
                  <c:v>1.2214267246410961E-3</c:v>
                </c:pt>
                <c:pt idx="10">
                  <c:v>1.6033148056883347E-4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D-483D-B02D-0BD0BE1BBE1B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'Loko-LUKE'!$G$25:$G$35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'Loko-LUKE'!$H$39:$H$49</c:f>
              <c:numCache>
                <c:formatCode>0.0%</c:formatCode>
                <c:ptCount val="11"/>
                <c:pt idx="0">
                  <c:v>6.0104559291194723E-2</c:v>
                </c:pt>
                <c:pt idx="1">
                  <c:v>0.18790099234103674</c:v>
                </c:pt>
                <c:pt idx="2">
                  <c:v>0.27189956628735679</c:v>
                </c:pt>
                <c:pt idx="3">
                  <c:v>0.24132876119890631</c:v>
                </c:pt>
                <c:pt idx="4">
                  <c:v>0.14669923708477739</c:v>
                </c:pt>
                <c:pt idx="5">
                  <c:v>6.4543615867823215E-2</c:v>
                </c:pt>
                <c:pt idx="6">
                  <c:v>2.1158976489501713E-2</c:v>
                </c:pt>
                <c:pt idx="7">
                  <c:v>5.2353822070371264E-3</c:v>
                </c:pt>
                <c:pt idx="8">
                  <c:v>9.7795874685751238E-4</c:v>
                </c:pt>
                <c:pt idx="9">
                  <c:v>1.3621155540375913E-4</c:v>
                </c:pt>
                <c:pt idx="10">
                  <c:v>1.3746271240537216E-5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D-483D-B02D-0BD0BE1BB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'Luke-handorratrick'!$G$25:$G$35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'Luke-handorratrick'!$H$25:$H$35</c:f>
              <c:numCache>
                <c:formatCode>0.0%</c:formatCode>
                <c:ptCount val="11"/>
                <c:pt idx="0">
                  <c:v>9.4131602063800252E-2</c:v>
                </c:pt>
                <c:pt idx="1">
                  <c:v>0.24607691593433095</c:v>
                </c:pt>
                <c:pt idx="2">
                  <c:v>0.29368516567870495</c:v>
                </c:pt>
                <c:pt idx="3">
                  <c:v>0.21277929200640597</c:v>
                </c:pt>
                <c:pt idx="4">
                  <c:v>0.10463163857987159</c:v>
                </c:pt>
                <c:pt idx="5">
                  <c:v>3.6909073977471021E-2</c:v>
                </c:pt>
                <c:pt idx="6">
                  <c:v>9.6115875593222426E-3</c:v>
                </c:pt>
                <c:pt idx="7">
                  <c:v>1.8709068303628552E-3</c:v>
                </c:pt>
                <c:pt idx="8">
                  <c:v>2.7220263986240138E-4</c:v>
                </c:pt>
                <c:pt idx="9">
                  <c:v>2.923827745920918E-5</c:v>
                </c:pt>
                <c:pt idx="10">
                  <c:v>2.2543747620017132E-6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D-4991-ABA6-54B10F1E33F3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'Luke-handorratrick'!$G$25:$G$35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'Luke-handorratrick'!$H$39:$H$49</c:f>
              <c:numCache>
                <c:formatCode>0.0%</c:formatCode>
                <c:ptCount val="11"/>
                <c:pt idx="0">
                  <c:v>2.1170003790391047E-3</c:v>
                </c:pt>
                <c:pt idx="1">
                  <c:v>1.7599583572250936E-2</c:v>
                </c:pt>
                <c:pt idx="2">
                  <c:v>6.5603054256469936E-2</c:v>
                </c:pt>
                <c:pt idx="3">
                  <c:v>0.14574089120456177</c:v>
                </c:pt>
                <c:pt idx="4">
                  <c:v>0.21603163645427509</c:v>
                </c:pt>
                <c:pt idx="5">
                  <c:v>0.22628250177965134</c:v>
                </c:pt>
                <c:pt idx="6">
                  <c:v>0.17272685777242217</c:v>
                </c:pt>
                <c:pt idx="7">
                  <c:v>9.7482384652308213E-2</c:v>
                </c:pt>
                <c:pt idx="8">
                  <c:v>4.0752308735787855E-2</c:v>
                </c:pt>
                <c:pt idx="9">
                  <c:v>1.2487208688733653E-2</c:v>
                </c:pt>
                <c:pt idx="10">
                  <c:v>2.732426061128947E-3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D-4991-ABA6-54B10F1E3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'LUKE-Romeo'!$G$25:$G$35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'LUKE-Romeo'!$H$25:$H$35</c:f>
              <c:numCache>
                <c:formatCode>0.0%</c:formatCode>
                <c:ptCount val="11"/>
                <c:pt idx="0">
                  <c:v>1.5376370488305606E-3</c:v>
                </c:pt>
                <c:pt idx="1">
                  <c:v>1.3667637118354413E-2</c:v>
                </c:pt>
                <c:pt idx="2">
                  <c:v>5.5015292782970085E-2</c:v>
                </c:pt>
                <c:pt idx="3">
                  <c:v>0.13234495868872562</c:v>
                </c:pt>
                <c:pt idx="4">
                  <c:v>0.21140136837563503</c:v>
                </c:pt>
                <c:pt idx="5">
                  <c:v>0.23552872799358729</c:v>
                </c:pt>
                <c:pt idx="6">
                  <c:v>0.18702486929200177</c:v>
                </c:pt>
                <c:pt idx="7">
                  <c:v>0.10625404634992618</c:v>
                </c:pt>
                <c:pt idx="8">
                  <c:v>4.2753263480469962E-2</c:v>
                </c:pt>
                <c:pt idx="9">
                  <c:v>1.1920850975455964E-2</c:v>
                </c:pt>
                <c:pt idx="10">
                  <c:v>2.242979928518643E-3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3-42DF-9C9A-19CE4815B203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'LUKE-Romeo'!$G$25:$G$35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'LUKE-Romeo'!$H$39:$H$49</c:f>
              <c:numCache>
                <c:formatCode>0.0%</c:formatCode>
                <c:ptCount val="11"/>
                <c:pt idx="0">
                  <c:v>7.9137852551322496E-2</c:v>
                </c:pt>
                <c:pt idx="1">
                  <c:v>0.21215777456175333</c:v>
                </c:pt>
                <c:pt idx="2">
                  <c:v>0.26305565424402777</c:v>
                </c:pt>
                <c:pt idx="3">
                  <c:v>0.21275314234342924</c:v>
                </c:pt>
                <c:pt idx="4">
                  <c:v>0.13136173136734697</c:v>
                </c:pt>
                <c:pt idx="5">
                  <c:v>6.5431818877510151E-2</c:v>
                </c:pt>
                <c:pt idx="6">
                  <c:v>2.5973357522592444E-2</c:v>
                </c:pt>
                <c:pt idx="7">
                  <c:v>7.9540970297178066E-3</c:v>
                </c:pt>
                <c:pt idx="8">
                  <c:v>1.8272007966335742E-3</c:v>
                </c:pt>
                <c:pt idx="9">
                  <c:v>3.0740708959003569E-4</c:v>
                </c:pt>
                <c:pt idx="10">
                  <c:v>3.680744123449288E-5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3-42DF-9C9A-19CE4815B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'Zenit-LUKE'!$G$25:$G$35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'Zenit-LUKE'!$H$25:$H$35</c:f>
              <c:numCache>
                <c:formatCode>0.0%</c:formatCode>
                <c:ptCount val="11"/>
                <c:pt idx="0">
                  <c:v>0.40406064707300243</c:v>
                </c:pt>
                <c:pt idx="1">
                  <c:v>0.37777126923493193</c:v>
                </c:pt>
                <c:pt idx="2">
                  <c:v>0.16445723397411957</c:v>
                </c:pt>
                <c:pt idx="3">
                  <c:v>4.4245080998199932E-2</c:v>
                </c:pt>
                <c:pt idx="4">
                  <c:v>8.2246875385702176E-3</c:v>
                </c:pt>
                <c:pt idx="5">
                  <c:v>1.1173551349535353E-3</c:v>
                </c:pt>
                <c:pt idx="6">
                  <c:v>1.1426061483750209E-4</c:v>
                </c:pt>
                <c:pt idx="7">
                  <c:v>8.9106678642962163E-6</c:v>
                </c:pt>
                <c:pt idx="8">
                  <c:v>5.3017468335331045E-7</c:v>
                </c:pt>
                <c:pt idx="9">
                  <c:v>2.378687617653642E-8</c:v>
                </c:pt>
                <c:pt idx="10">
                  <c:v>7.8366528866093464E-10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E-4AE7-B129-04AB364D4A2B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'Zenit-LUKE'!$G$25:$G$35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'Zenit-LUKE'!$H$39:$H$49</c:f>
              <c:numCache>
                <c:formatCode>0.0%</c:formatCode>
                <c:ptCount val="11"/>
                <c:pt idx="0">
                  <c:v>0.12794500812389001</c:v>
                </c:pt>
                <c:pt idx="1">
                  <c:v>0.27913995792492108</c:v>
                </c:pt>
                <c:pt idx="2">
                  <c:v>0.28510645851900251</c:v>
                </c:pt>
                <c:pt idx="3">
                  <c:v>0.18457006948999363</c:v>
                </c:pt>
                <c:pt idx="4">
                  <c:v>8.4916015977923115E-2</c:v>
                </c:pt>
                <c:pt idx="5">
                  <c:v>2.9084069401332652E-2</c:v>
                </c:pt>
                <c:pt idx="6">
                  <c:v>7.5267456579507334E-3</c:v>
                </c:pt>
                <c:pt idx="7">
                  <c:v>1.4713528351362024E-3</c:v>
                </c:pt>
                <c:pt idx="8">
                  <c:v>2.152884514797189E-4</c:v>
                </c:pt>
                <c:pt idx="9">
                  <c:v>2.3162249757632842E-5</c:v>
                </c:pt>
                <c:pt idx="10">
                  <c:v>1.7765119468129898E-6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E-4AE7-B129-04AB364D4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'VADER-SISC'!$G$25:$G$35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'VADER-SISC'!$H$25:$H$35</c:f>
              <c:numCache>
                <c:formatCode>0.0%</c:formatCode>
                <c:ptCount val="11"/>
                <c:pt idx="0">
                  <c:v>0.17242583065024941</c:v>
                </c:pt>
                <c:pt idx="1">
                  <c:v>0.32495746222963007</c:v>
                </c:pt>
                <c:pt idx="2">
                  <c:v>0.26001464695765603</c:v>
                </c:pt>
                <c:pt idx="3">
                  <c:v>0.14963082680308437</c:v>
                </c:pt>
                <c:pt idx="4">
                  <c:v>6.6088215506001094E-2</c:v>
                </c:pt>
                <c:pt idx="5">
                  <c:v>2.1192347059329576E-2</c:v>
                </c:pt>
                <c:pt idx="6">
                  <c:v>4.8161176029182916E-3</c:v>
                </c:pt>
                <c:pt idx="7">
                  <c:v>7.7728006827827202E-4</c:v>
                </c:pt>
                <c:pt idx="8">
                  <c:v>8.9512410352326818E-5</c:v>
                </c:pt>
                <c:pt idx="9">
                  <c:v>7.3264686074782427E-6</c:v>
                </c:pt>
                <c:pt idx="10">
                  <c:v>4.1798799320934634E-7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F-4CC9-8760-903F921DF030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'VADER-SISC'!$G$25:$G$35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'VADER-SISC'!$H$39:$H$49</c:f>
              <c:numCache>
                <c:formatCode>0.0%</c:formatCode>
                <c:ptCount val="11"/>
                <c:pt idx="0">
                  <c:v>4.5876628548594652E-2</c:v>
                </c:pt>
                <c:pt idx="1">
                  <c:v>0.16146785842472208</c:v>
                </c:pt>
                <c:pt idx="2">
                  <c:v>0.25989626400651161</c:v>
                </c:pt>
                <c:pt idx="3">
                  <c:v>0.25316574261598468</c:v>
                </c:pt>
                <c:pt idx="4">
                  <c:v>0.16644514079529074</c:v>
                </c:pt>
                <c:pt idx="5">
                  <c:v>7.7985539728102959E-2</c:v>
                </c:pt>
                <c:pt idx="6">
                  <c:v>2.6801570284416817E-2</c:v>
                </c:pt>
                <c:pt idx="7">
                  <c:v>6.8503958952271689E-3</c:v>
                </c:pt>
                <c:pt idx="8">
                  <c:v>1.3060898111988462E-3</c:v>
                </c:pt>
                <c:pt idx="9">
                  <c:v>1.8444256497263906E-4</c:v>
                </c:pt>
                <c:pt idx="10">
                  <c:v>1.8914111341216322E-5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F-4CC9-8760-903F921D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SIMULADOR_v5!$G$25:$G$35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SIMULADOR_v5!$H$25:$H$35</c:f>
              <c:numCache>
                <c:formatCode>0.0%</c:formatCode>
                <c:ptCount val="11"/>
                <c:pt idx="0">
                  <c:v>9.4131602063800252E-2</c:v>
                </c:pt>
                <c:pt idx="1">
                  <c:v>0.24607691593433095</c:v>
                </c:pt>
                <c:pt idx="2">
                  <c:v>0.29368516567870495</c:v>
                </c:pt>
                <c:pt idx="3">
                  <c:v>0.21277929200640597</c:v>
                </c:pt>
                <c:pt idx="4">
                  <c:v>0.10463163857987159</c:v>
                </c:pt>
                <c:pt idx="5">
                  <c:v>3.6909073977471021E-2</c:v>
                </c:pt>
                <c:pt idx="6">
                  <c:v>9.6115875593222426E-3</c:v>
                </c:pt>
                <c:pt idx="7">
                  <c:v>1.8709068303628552E-3</c:v>
                </c:pt>
                <c:pt idx="8">
                  <c:v>2.7220263986240138E-4</c:v>
                </c:pt>
                <c:pt idx="9">
                  <c:v>2.923827745920918E-5</c:v>
                </c:pt>
                <c:pt idx="10">
                  <c:v>2.2543747620017132E-6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D-48A9-A509-63D9D82858DD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SIMULADOR_v5!$G$25:$G$35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SIMULADOR_v5!$H$39:$H$49</c:f>
              <c:numCache>
                <c:formatCode>0.0%</c:formatCode>
                <c:ptCount val="11"/>
                <c:pt idx="0">
                  <c:v>2.1170003790391047E-3</c:v>
                </c:pt>
                <c:pt idx="1">
                  <c:v>1.7599583572250936E-2</c:v>
                </c:pt>
                <c:pt idx="2">
                  <c:v>6.5603054256469936E-2</c:v>
                </c:pt>
                <c:pt idx="3">
                  <c:v>0.14574089120456177</c:v>
                </c:pt>
                <c:pt idx="4">
                  <c:v>0.21603163645427509</c:v>
                </c:pt>
                <c:pt idx="5">
                  <c:v>0.22628250177965134</c:v>
                </c:pt>
                <c:pt idx="6">
                  <c:v>0.17272685777242217</c:v>
                </c:pt>
                <c:pt idx="7">
                  <c:v>9.7482384652308213E-2</c:v>
                </c:pt>
                <c:pt idx="8">
                  <c:v>4.0752308735787855E-2</c:v>
                </c:pt>
                <c:pt idx="9">
                  <c:v>1.2487208688733653E-2</c:v>
                </c:pt>
                <c:pt idx="10">
                  <c:v>2.732426061128947E-3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D-48A9-A509-63D9D828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SIMULADOR_v4!$H$25:$H$35</c:f>
              <c:numCache>
                <c:formatCode>0.0%</c:formatCode>
                <c:ptCount val="11"/>
                <c:pt idx="0">
                  <c:v>0.10351394127375854</c:v>
                </c:pt>
                <c:pt idx="1">
                  <c:v>0.26009886536504917</c:v>
                </c:pt>
                <c:pt idx="2">
                  <c:v>0.29625795730228921</c:v>
                </c:pt>
                <c:pt idx="3">
                  <c:v>0.20421060603863439</c:v>
                </c:pt>
                <c:pt idx="4">
                  <c:v>9.5106856760593855E-2</c:v>
                </c:pt>
                <c:pt idx="5">
                  <c:v>3.1560913233370999E-2</c:v>
                </c:pt>
                <c:pt idx="6">
                  <c:v>7.6676469160447845E-3</c:v>
                </c:pt>
                <c:pt idx="7">
                  <c:v>1.3799579664449944E-3</c:v>
                </c:pt>
                <c:pt idx="8">
                  <c:v>1.8398564152972876E-4</c:v>
                </c:pt>
                <c:pt idx="9">
                  <c:v>1.7959909194790075E-5</c:v>
                </c:pt>
                <c:pt idx="10">
                  <c:v>1.2491590594339113E-6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E-40AD-9530-5FE04617192B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SIMULADOR_v4!$H$39:$H$49</c:f>
              <c:numCache>
                <c:formatCode>0.0%</c:formatCode>
                <c:ptCount val="11"/>
                <c:pt idx="0">
                  <c:v>4.7351678982142141E-3</c:v>
                </c:pt>
                <c:pt idx="1">
                  <c:v>3.2004544504349974E-2</c:v>
                </c:pt>
                <c:pt idx="2">
                  <c:v>9.8933001168284379E-2</c:v>
                </c:pt>
                <c:pt idx="3">
                  <c:v>0.18504320155338355</c:v>
                </c:pt>
                <c:pt idx="4">
                  <c:v>0.23343814068609911</c:v>
                </c:pt>
                <c:pt idx="5">
                  <c:v>0.20956275213503461</c:v>
                </c:pt>
                <c:pt idx="6">
                  <c:v>0.13761978385310691</c:v>
                </c:pt>
                <c:pt idx="7">
                  <c:v>6.6898981139408897E-2</c:v>
                </c:pt>
                <c:pt idx="8">
                  <c:v>2.4072025495097484E-2</c:v>
                </c:pt>
                <c:pt idx="9">
                  <c:v>6.3383510841440172E-3</c:v>
                </c:pt>
                <c:pt idx="10">
                  <c:v>1.1901022597017457E-3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E-40AD-9530-5FE04617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E4D6-47EE-BF97-A9D6F6D96B40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E4D6-47EE-BF97-A9D6F6D9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rPr lang="es-ES"/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AAF-4476-90AE-74C5EE96A59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AAF-4476-90AE-74C5EE96A5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AAF-4476-90AE-74C5EE96A591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2AAF-4476-90AE-74C5EE96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21169</xdr:colOff>
      <xdr:row>16</xdr:row>
      <xdr:rowOff>52916</xdr:rowOff>
    </xdr:from>
    <xdr:to>
      <xdr:col>24</xdr:col>
      <xdr:colOff>518586</xdr:colOff>
      <xdr:row>35</xdr:row>
      <xdr:rowOff>201082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D9F422-D342-473A-9260-990F962D8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237868-3F80-443C-9452-9641E545C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E5B648-4820-4A63-B3C2-DD40C5A1B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5C01B1-0C61-4C8E-B161-EA25F3204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8F47D4-BE5B-401F-92D2-277B4C9C0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1D9513-FA69-43F1-9C6A-2A9B3565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946EE4-FA25-4566-9000-EB1409B44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21</xdr:row>
      <xdr:rowOff>24130</xdr:rowOff>
    </xdr:from>
    <xdr:to>
      <xdr:col>31</xdr:col>
      <xdr:colOff>535940</xdr:colOff>
      <xdr:row>47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CDCB-ACF9-4DDF-91A2-3A41B09DEE00}">
  <sheetPr>
    <tabColor rgb="FF92D050"/>
  </sheetPr>
  <dimension ref="A1:BS59"/>
  <sheetViews>
    <sheetView zoomScale="90" zoomScaleNormal="90" workbookViewId="0">
      <selection activeCell="B42" sqref="B42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68" t="s">
        <v>183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1</v>
      </c>
      <c r="Q1" s="263">
        <f>COUNTIF(F10:H10,"CAB")+COUNTIF(E9:I9,"CAB")</f>
        <v>1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68" t="s">
        <v>186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3.6700000000000004</v>
      </c>
      <c r="S2" s="166">
        <f>SUM(S4:S15)</f>
        <v>3.6700000000000004</v>
      </c>
      <c r="T2" s="219">
        <f>SUM(T4:T16)</f>
        <v>0.26458263860498787</v>
      </c>
      <c r="U2" s="219">
        <f>SUM(U4:U16)</f>
        <v>0.83850365428213236</v>
      </c>
      <c r="V2" s="157"/>
      <c r="W2" s="157"/>
      <c r="X2" s="253">
        <f>SUM(X4:X16)</f>
        <v>0.14327351177348929</v>
      </c>
      <c r="Y2" s="254">
        <f>SUM(Y4:Y16)</f>
        <v>0.43853110231770759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67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2" t="s">
        <v>5</v>
      </c>
      <c r="C3" s="292"/>
      <c r="D3" s="31" t="str">
        <f>IF(B3="Sol","SI",IF(B3="Lluvia","SI","NO"))</f>
        <v>SI</v>
      </c>
      <c r="E3" s="211"/>
      <c r="F3" s="212"/>
      <c r="G3" s="281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1" t="s">
        <v>151</v>
      </c>
      <c r="F4" s="281" t="s">
        <v>151</v>
      </c>
      <c r="G4" s="281" t="s">
        <v>33</v>
      </c>
      <c r="H4" s="281" t="s">
        <v>151</v>
      </c>
      <c r="I4" s="281" t="s">
        <v>151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1</v>
      </c>
      <c r="Q4" s="214">
        <f>COUNTIF(E8:I9,"IMP")</f>
        <v>1</v>
      </c>
      <c r="R4" s="221">
        <f t="shared" ref="R4:R14" si="0">IF(P4+Q4=0,0,N4)</f>
        <v>0.45</v>
      </c>
      <c r="S4" s="221">
        <f t="shared" ref="S4:S16" si="1">R4*$N$2/$R$2</f>
        <v>0.45</v>
      </c>
      <c r="T4" s="226">
        <f>IF(S4=0,0,S4*(P4^2.7/(P4^2.7+Q4^2.7))*P4/L4)</f>
        <v>3.7499999999999999E-2</v>
      </c>
      <c r="U4" s="228">
        <f>IF(S4=0,0,S4*Q4^2.7/(P4^2.7+Q4^2.7)*Q4/L4)</f>
        <v>3.7499999999999999E-2</v>
      </c>
      <c r="V4" s="218">
        <f>$G$17</f>
        <v>0.56999999999999995</v>
      </c>
      <c r="W4" s="216">
        <v>0.1</v>
      </c>
      <c r="X4" s="251">
        <f>V4*T4</f>
        <v>2.1374999999999998E-2</v>
      </c>
      <c r="Y4" s="252">
        <f>W4*U4</f>
        <v>3.7499999999999999E-3</v>
      </c>
      <c r="Z4" s="190"/>
      <c r="AA4" s="244">
        <f>X4</f>
        <v>2.1374999999999998E-2</v>
      </c>
      <c r="AB4" s="245">
        <f>1-AA4</f>
        <v>0.97862499999999997</v>
      </c>
      <c r="AC4" s="245">
        <f>PRODUCT(AB5:AB16)*AA4</f>
        <v>1.8877584516529287E-2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3.7499999999999999E-3</v>
      </c>
      <c r="AH4" s="247">
        <f t="shared" ref="AH4:AH16" si="2">(1-AG4)</f>
        <v>0.99624999999999997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2.3230823336481072E-3</v>
      </c>
      <c r="BM4" s="31">
        <v>0</v>
      </c>
      <c r="BN4" s="31">
        <v>0</v>
      </c>
      <c r="BO4" s="107">
        <f>H25*H39</f>
        <v>7.4309261553902686E-4</v>
      </c>
      <c r="BQ4" s="31">
        <v>1</v>
      </c>
      <c r="BR4" s="31">
        <v>0</v>
      </c>
      <c r="BS4" s="107">
        <f>$H$26*H39</f>
        <v>4.0379576725571055E-3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1" t="s">
        <v>151</v>
      </c>
      <c r="F5" s="281" t="s">
        <v>2</v>
      </c>
      <c r="G5" s="281" t="s">
        <v>138</v>
      </c>
      <c r="H5" s="281" t="s">
        <v>151</v>
      </c>
      <c r="I5" s="281" t="s">
        <v>151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1</v>
      </c>
      <c r="R5" s="221">
        <f t="shared" si="0"/>
        <v>0.35</v>
      </c>
      <c r="S5" s="221">
        <f t="shared" si="1"/>
        <v>0.35</v>
      </c>
      <c r="T5" s="226">
        <f t="shared" ref="T5:T9" si="5">IF(S5=0,0,S5*(P5^2.7/(P5^2.7+Q5^2.7))*P5/L5)</f>
        <v>0</v>
      </c>
      <c r="U5" s="228">
        <f t="shared" ref="U5:U9" si="6">IF(S5=0,0,S5*Q5^2.7/(P5^2.7+Q5^2.7)*Q5/L5)</f>
        <v>4.3749999999999997E-2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0</v>
      </c>
      <c r="Y5" s="252">
        <f t="shared" si="7"/>
        <v>2.4937499999999998E-2</v>
      </c>
      <c r="Z5" s="199"/>
      <c r="AA5" s="244">
        <f t="shared" ref="AA5:AA16" si="8">X5</f>
        <v>0</v>
      </c>
      <c r="AB5" s="245">
        <f t="shared" ref="AB5:AB16" si="9">1-AA5</f>
        <v>1</v>
      </c>
      <c r="AC5" s="245">
        <f>PRODUCT(AB6:AB16)*AA5*PRODUCT(AB4)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6" si="10">Y5</f>
        <v>2.4937499999999998E-2</v>
      </c>
      <c r="AH5" s="247">
        <f t="shared" si="2"/>
        <v>0.97506250000000005</v>
      </c>
      <c r="AI5" s="247">
        <f>AG5*PRODUCT(AH3:AH4)*PRODUCT(AH6:AH17)</f>
        <v>1.6216470645606162E-2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7.2064869171307314E-3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3.3615845829186317E-3</v>
      </c>
      <c r="BM5" s="31">
        <v>1</v>
      </c>
      <c r="BN5" s="31">
        <v>1</v>
      </c>
      <c r="BO5" s="107">
        <f>$H$26*H40</f>
        <v>1.2623605640774369E-2</v>
      </c>
      <c r="BQ5" s="31">
        <f>BQ4+1</f>
        <v>2</v>
      </c>
      <c r="BR5" s="31">
        <v>0</v>
      </c>
      <c r="BS5" s="107">
        <f>$H$27*H39</f>
        <v>9.9335909160496831E-3</v>
      </c>
    </row>
    <row r="6" spans="1:71" ht="15.75" x14ac:dyDescent="0.25">
      <c r="A6" s="2" t="s">
        <v>31</v>
      </c>
      <c r="B6" s="269">
        <v>13</v>
      </c>
      <c r="C6" s="270">
        <v>14</v>
      </c>
      <c r="E6" s="211"/>
      <c r="F6" s="281" t="s">
        <v>1</v>
      </c>
      <c r="G6" s="281" t="s">
        <v>151</v>
      </c>
      <c r="H6" s="281" t="s">
        <v>151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1</v>
      </c>
      <c r="Q6" s="214">
        <f>COUNTIF(E9:I11,"IMP")</f>
        <v>2</v>
      </c>
      <c r="R6" s="221">
        <f t="shared" si="0"/>
        <v>0.45</v>
      </c>
      <c r="S6" s="221">
        <f t="shared" si="1"/>
        <v>0.45</v>
      </c>
      <c r="T6" s="226">
        <f t="shared" si="5"/>
        <v>4.6166039091976646E-3</v>
      </c>
      <c r="U6" s="228">
        <f t="shared" si="6"/>
        <v>5.9997561412373897E-2</v>
      </c>
      <c r="V6" s="218">
        <f>$G$18</f>
        <v>0.45</v>
      </c>
      <c r="W6" s="216">
        <f>$H$18</f>
        <v>0.45</v>
      </c>
      <c r="X6" s="251">
        <f t="shared" si="7"/>
        <v>2.0774717591389492E-3</v>
      </c>
      <c r="Y6" s="252">
        <f t="shared" si="7"/>
        <v>2.6998902635568253E-2</v>
      </c>
      <c r="Z6" s="199"/>
      <c r="AA6" s="244">
        <f t="shared" si="8"/>
        <v>2.0774717591389492E-3</v>
      </c>
      <c r="AB6" s="245">
        <f t="shared" si="9"/>
        <v>0.99792252824086103</v>
      </c>
      <c r="AC6" s="245">
        <f>PRODUCT(AB7:AB16)*AA6*PRODUCT(AB4:AB5)</f>
        <v>1.7992640710592933E-3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2.2416593116510492E-4</v>
      </c>
      <c r="AE6" s="183"/>
      <c r="AF6" s="197"/>
      <c r="AG6" s="246">
        <f t="shared" si="10"/>
        <v>2.6998902635568253E-2</v>
      </c>
      <c r="AH6" s="247">
        <f t="shared" si="2"/>
        <v>0.97300109736443174</v>
      </c>
      <c r="AI6" s="247">
        <f>AG6*PRODUCT(AH3:AH5)*PRODUCT(AH7:AH17)</f>
        <v>1.7594165144015964E-2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7.3305206555346232E-3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2.9836275729977807E-3</v>
      </c>
      <c r="BM6" s="31">
        <f>BI14+1</f>
        <v>2</v>
      </c>
      <c r="BN6" s="31">
        <v>2</v>
      </c>
      <c r="BO6" s="107">
        <f>$H$27*H41</f>
        <v>4.4937340754208334E-2</v>
      </c>
      <c r="BQ6" s="31">
        <f>BM5+1</f>
        <v>2</v>
      </c>
      <c r="BR6" s="31">
        <v>1</v>
      </c>
      <c r="BS6" s="107">
        <f>$H$27*H40</f>
        <v>3.1054742146808971E-2</v>
      </c>
    </row>
    <row r="7" spans="1:71" ht="15.75" x14ac:dyDescent="0.25">
      <c r="A7" s="5" t="s">
        <v>36</v>
      </c>
      <c r="B7" s="269">
        <v>9.5</v>
      </c>
      <c r="C7" s="270">
        <v>4.75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1</v>
      </c>
      <c r="Q7" s="214">
        <f>COUNTIF(E4:I4,"IMP")+COUNTIF(F5:H5,"IMP")</f>
        <v>1</v>
      </c>
      <c r="R7" s="221">
        <f t="shared" si="0"/>
        <v>0.04</v>
      </c>
      <c r="S7" s="221">
        <f t="shared" si="1"/>
        <v>0.04</v>
      </c>
      <c r="T7" s="226">
        <f t="shared" si="5"/>
        <v>2.5000000000000001E-3</v>
      </c>
      <c r="U7" s="228">
        <f t="shared" si="6"/>
        <v>2.5000000000000001E-3</v>
      </c>
      <c r="V7" s="218">
        <f>$G$18</f>
        <v>0.45</v>
      </c>
      <c r="W7" s="216">
        <f>$H$18</f>
        <v>0.45</v>
      </c>
      <c r="X7" s="251">
        <f t="shared" si="7"/>
        <v>1.1250000000000001E-3</v>
      </c>
      <c r="Y7" s="252">
        <f t="shared" si="7"/>
        <v>1.1250000000000001E-3</v>
      </c>
      <c r="Z7" s="199"/>
      <c r="AA7" s="244">
        <f t="shared" si="8"/>
        <v>1.1250000000000001E-3</v>
      </c>
      <c r="AB7" s="245">
        <f t="shared" si="9"/>
        <v>0.99887499999999996</v>
      </c>
      <c r="AC7" s="245">
        <f>PRODUCT(AB8:AB$16)*AA7*PRODUCT(AB$4:AB6)</f>
        <v>9.7341488898634529E-4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1.2017906658977559E-4</v>
      </c>
      <c r="AE7" s="183"/>
      <c r="AF7" s="197"/>
      <c r="AG7" s="246">
        <f t="shared" si="10"/>
        <v>1.1250000000000001E-3</v>
      </c>
      <c r="AH7" s="247">
        <f t="shared" si="2"/>
        <v>0.99887499999999996</v>
      </c>
      <c r="AI7" s="247">
        <f>AG7*PRODUCT(AH3:AH6)*PRODUCT(AH8:AH17)</f>
        <v>7.1412997105418919E-4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2.9673436933253932E-4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1.8136913583338943E-3</v>
      </c>
      <c r="BM7" s="31">
        <f>BI23+1</f>
        <v>3</v>
      </c>
      <c r="BN7" s="31">
        <v>3</v>
      </c>
      <c r="BO7" s="107">
        <f>$H$28*H42</f>
        <v>5.862196158259525E-2</v>
      </c>
      <c r="BQ7" s="31">
        <f>BQ5+1</f>
        <v>3</v>
      </c>
      <c r="BR7" s="31">
        <v>0</v>
      </c>
      <c r="BS7" s="107">
        <f>$H$28*H39</f>
        <v>1.4600195800131607E-2</v>
      </c>
    </row>
    <row r="8" spans="1:71" ht="15.75" x14ac:dyDescent="0.25">
      <c r="A8" s="5" t="s">
        <v>39</v>
      </c>
      <c r="B8" s="269">
        <v>9</v>
      </c>
      <c r="C8" s="270">
        <v>7.25</v>
      </c>
      <c r="E8" s="213"/>
      <c r="F8" s="214"/>
      <c r="G8" s="282" t="s">
        <v>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1</v>
      </c>
      <c r="Q8" s="214">
        <f>COUNTIF(E10:I11,"RAP")</f>
        <v>3</v>
      </c>
      <c r="R8" s="221">
        <f t="shared" si="0"/>
        <v>0.5</v>
      </c>
      <c r="S8" s="221">
        <f t="shared" si="1"/>
        <v>0.5</v>
      </c>
      <c r="T8" s="226">
        <f t="shared" si="5"/>
        <v>3.060871149860935E-3</v>
      </c>
      <c r="U8" s="228">
        <f t="shared" si="6"/>
        <v>0.17831738655041718</v>
      </c>
      <c r="V8" s="218">
        <f>$G$17</f>
        <v>0.56999999999999995</v>
      </c>
      <c r="W8" s="216">
        <f>$H$17</f>
        <v>0.56999999999999995</v>
      </c>
      <c r="X8" s="251">
        <f t="shared" si="7"/>
        <v>1.7446965554207329E-3</v>
      </c>
      <c r="Y8" s="252">
        <f t="shared" si="7"/>
        <v>0.10164091033373779</v>
      </c>
      <c r="Z8" s="199"/>
      <c r="AA8" s="244">
        <f t="shared" si="8"/>
        <v>1.7446965554207329E-3</v>
      </c>
      <c r="AB8" s="245">
        <f t="shared" si="9"/>
        <v>0.99825530344457925</v>
      </c>
      <c r="AC8" s="245">
        <f>PRODUCT(AB9:AB$16)*AA8*PRODUCT(AB$4:AB7)</f>
        <v>1.5105492287076265E-3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1.8385431373745364E-4</v>
      </c>
      <c r="AE8" s="183"/>
      <c r="AF8" s="197"/>
      <c r="AG8" s="246">
        <f t="shared" si="10"/>
        <v>0.10164091033373779</v>
      </c>
      <c r="AH8" s="247">
        <f t="shared" si="2"/>
        <v>0.89835908966626221</v>
      </c>
      <c r="AI8" s="247">
        <f>AG8*PRODUCT(AH3:AH7)*PRODUCT(AH9:AH17)</f>
        <v>7.1738858365362757E-2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2.169225899751008E-2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7.9797414534230472E-4</v>
      </c>
      <c r="BM8" s="31">
        <f>BI31+1</f>
        <v>4</v>
      </c>
      <c r="BN8" s="31">
        <v>4</v>
      </c>
      <c r="BO8" s="107">
        <f>$H$29*H43</f>
        <v>3.4771221814345644E-2</v>
      </c>
      <c r="BQ8" s="31">
        <f>BQ6+1</f>
        <v>3</v>
      </c>
      <c r="BR8" s="31">
        <v>1</v>
      </c>
      <c r="BS8" s="107">
        <f>$H$28*H40</f>
        <v>4.5643646864241647E-2</v>
      </c>
    </row>
    <row r="9" spans="1:71" ht="15.75" x14ac:dyDescent="0.25">
      <c r="A9" s="5" t="s">
        <v>42</v>
      </c>
      <c r="B9" s="269">
        <v>8.25</v>
      </c>
      <c r="C9" s="270">
        <v>5</v>
      </c>
      <c r="E9" s="282" t="s">
        <v>151</v>
      </c>
      <c r="F9" s="282" t="s">
        <v>33</v>
      </c>
      <c r="G9" s="282" t="s">
        <v>151</v>
      </c>
      <c r="H9" s="282" t="s">
        <v>138</v>
      </c>
      <c r="I9" s="282" t="s">
        <v>151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1</v>
      </c>
      <c r="Q9" s="214">
        <f>COUNTIF(E10:I11,"RAP")</f>
        <v>3</v>
      </c>
      <c r="R9" s="221">
        <f t="shared" si="0"/>
        <v>0.5</v>
      </c>
      <c r="S9" s="221">
        <f t="shared" si="1"/>
        <v>0.5</v>
      </c>
      <c r="T9" s="226">
        <f t="shared" si="5"/>
        <v>3.060871149860935E-3</v>
      </c>
      <c r="U9" s="228">
        <f t="shared" si="6"/>
        <v>0.17831738655041718</v>
      </c>
      <c r="V9" s="218">
        <f>$G$17</f>
        <v>0.56999999999999995</v>
      </c>
      <c r="W9" s="216">
        <f>$H$17</f>
        <v>0.56999999999999995</v>
      </c>
      <c r="X9" s="251">
        <f t="shared" si="7"/>
        <v>1.7446965554207329E-3</v>
      </c>
      <c r="Y9" s="252">
        <f t="shared" si="7"/>
        <v>0.10164091033373779</v>
      </c>
      <c r="Z9" s="199"/>
      <c r="AA9" s="244">
        <f t="shared" si="8"/>
        <v>1.7446965554207329E-3</v>
      </c>
      <c r="AB9" s="245">
        <f t="shared" si="9"/>
        <v>0.99825530344457925</v>
      </c>
      <c r="AC9" s="245">
        <f>PRODUCT(AB10:AB$16)*AA9*PRODUCT(AB$4:AB8)</f>
        <v>1.5105492287076265E-3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1.8121425760449271E-4</v>
      </c>
      <c r="AE9" s="183"/>
      <c r="AF9" s="197"/>
      <c r="AG9" s="246">
        <f t="shared" si="10"/>
        <v>0.10164091033373779</v>
      </c>
      <c r="AH9" s="247">
        <f t="shared" si="2"/>
        <v>0.89835908966626221</v>
      </c>
      <c r="AI9" s="247">
        <f>AG9*PRODUCT(AH3:AH8)*PRODUCT(AH10:AH17)</f>
        <v>7.1738858365362757E-2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1.3575679609119455E-2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2.6159544911622082E-4</v>
      </c>
      <c r="BM9" s="31">
        <f>BI38+1</f>
        <v>5</v>
      </c>
      <c r="BN9" s="31">
        <v>5</v>
      </c>
      <c r="BO9" s="107">
        <f>$H$30*H44</f>
        <v>1.0413044233654474E-2</v>
      </c>
      <c r="BQ9" s="31">
        <f>BM6+1</f>
        <v>3</v>
      </c>
      <c r="BR9" s="31">
        <v>2</v>
      </c>
      <c r="BS9" s="107">
        <f>$H$28*H41</f>
        <v>6.6048016200126153E-2</v>
      </c>
    </row>
    <row r="10" spans="1:71" ht="15.75" x14ac:dyDescent="0.25">
      <c r="A10" s="6" t="s">
        <v>45</v>
      </c>
      <c r="B10" s="269">
        <v>19.75</v>
      </c>
      <c r="C10" s="270">
        <v>6.25</v>
      </c>
      <c r="E10" s="282" t="s">
        <v>2</v>
      </c>
      <c r="F10" s="282" t="s">
        <v>151</v>
      </c>
      <c r="G10" s="282" t="s">
        <v>1</v>
      </c>
      <c r="H10" s="282" t="s">
        <v>151</v>
      </c>
      <c r="I10" s="282" t="s">
        <v>2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0.19</v>
      </c>
      <c r="T10" s="226">
        <f>S10*G13</f>
        <v>9.1481481481481483E-2</v>
      </c>
      <c r="U10" s="228">
        <f>S10*G14</f>
        <v>9.8518518518518533E-2</v>
      </c>
      <c r="V10" s="218">
        <f>$G$18</f>
        <v>0.45</v>
      </c>
      <c r="W10" s="216">
        <f>$H$18</f>
        <v>0.45</v>
      </c>
      <c r="X10" s="251">
        <f t="shared" si="7"/>
        <v>4.1166666666666671E-2</v>
      </c>
      <c r="Y10" s="252">
        <f t="shared" si="7"/>
        <v>4.4333333333333343E-2</v>
      </c>
      <c r="Z10" s="199"/>
      <c r="AA10" s="244">
        <f t="shared" si="8"/>
        <v>4.1166666666666671E-2</v>
      </c>
      <c r="AB10" s="245">
        <f t="shared" si="9"/>
        <v>0.95883333333333332</v>
      </c>
      <c r="AC10" s="245">
        <f>PRODUCT(AB11:AB$16)*AA10*PRODUCT(AB$4:AB9)</f>
        <v>3.7107285461475202E-2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2.8584367588827858E-3</v>
      </c>
      <c r="AE10" s="183"/>
      <c r="AF10" s="197"/>
      <c r="AG10" s="246">
        <f t="shared" si="10"/>
        <v>4.4333333333333343E-2</v>
      </c>
      <c r="AH10" s="247">
        <f t="shared" si="2"/>
        <v>0.95566666666666666</v>
      </c>
      <c r="AI10" s="247">
        <f>AG10*PRODUCT(AH3:AH9)*PRODUCT(AH11:AH17)</f>
        <v>2.94143888550287E-2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4.2017721793428256E-3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6.4726767876719773E-5</v>
      </c>
      <c r="BM10" s="31">
        <f>BI44+1</f>
        <v>6</v>
      </c>
      <c r="BN10" s="31">
        <v>6</v>
      </c>
      <c r="BO10" s="107">
        <f>$H$31*H45</f>
        <v>1.6578697365804613E-3</v>
      </c>
      <c r="BQ10" s="31">
        <f>BQ7+1</f>
        <v>4</v>
      </c>
      <c r="BR10" s="31">
        <v>0</v>
      </c>
      <c r="BS10" s="107">
        <f>$H$29*H39</f>
        <v>1.4246215622511141E-2</v>
      </c>
    </row>
    <row r="11" spans="1:71" ht="15.75" x14ac:dyDescent="0.25">
      <c r="A11" s="6" t="s">
        <v>48</v>
      </c>
      <c r="B11" s="269">
        <v>11</v>
      </c>
      <c r="C11" s="270">
        <v>11.25</v>
      </c>
      <c r="E11" s="213"/>
      <c r="F11" s="282" t="s">
        <v>1</v>
      </c>
      <c r="G11" s="282" t="s">
        <v>1</v>
      </c>
      <c r="H11" s="282" t="s">
        <v>33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1</v>
      </c>
      <c r="Q11" s="214">
        <f>COUNTIF(E9:I11,"CAB")</f>
        <v>1</v>
      </c>
      <c r="R11" s="221">
        <f t="shared" si="0"/>
        <v>0.19</v>
      </c>
      <c r="S11" s="221">
        <f t="shared" si="1"/>
        <v>0.19</v>
      </c>
      <c r="T11" s="226">
        <f>IF(P11&gt;0,IF(Q11&gt;0,G13^2.7/(G14^2.7+G13^2.7),1),0)*P11/L11*S11</f>
        <v>9.5030262541823916E-3</v>
      </c>
      <c r="U11" s="228">
        <f>IF(Q11&gt;0,IF(P11&gt;0,G14^2.7/(G14^2.7+G13^2.7),1),0)*Q11/L11*S11</f>
        <v>1.1608084856928724E-2</v>
      </c>
      <c r="V11" s="218">
        <f>IF(P11-Q11&gt;3,0.9,IF(P11-Q11=3,0.83,IF(P11-Q11=2,0.75,IF(P11-Q11=1,0.65,IF(P11-Q11=0,0.44,IF(P11-Q11=-1,0.16,IF(P11-Q11&lt;-1,0.05,0.02)))))))</f>
        <v>0.44</v>
      </c>
      <c r="W11" s="216">
        <f>IF(Q11-P11&gt;3,0.9,IF(Q11-P11=3,0.83,IF(Q11-P11=2,0.75,IF(Q11-P11=1,0.65,IF(Q11-P11=0,0.44,IF(Q11-P11=-1,0.16,IF(Q11-P11&lt;-1,0.05,0.02)))))))</f>
        <v>0.44</v>
      </c>
      <c r="X11" s="251">
        <f t="shared" si="7"/>
        <v>4.1813315518402523E-3</v>
      </c>
      <c r="Y11" s="252">
        <f t="shared" si="7"/>
        <v>5.1075573370486385E-3</v>
      </c>
      <c r="Z11" s="199"/>
      <c r="AA11" s="244">
        <f t="shared" si="8"/>
        <v>4.1813315518402523E-3</v>
      </c>
      <c r="AB11" s="245">
        <f t="shared" si="9"/>
        <v>0.99581866844815969</v>
      </c>
      <c r="AC11" s="245">
        <f>PRODUCT(AB12:AB$16)*AA11*PRODUCT(AB$4:AB10)</f>
        <v>3.6290332549518628E-3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2.6431264388733435E-4</v>
      </c>
      <c r="AE11" s="183"/>
      <c r="AF11" s="197"/>
      <c r="AG11" s="246">
        <f t="shared" si="10"/>
        <v>5.1075573370486385E-3</v>
      </c>
      <c r="AH11" s="247">
        <f t="shared" si="2"/>
        <v>0.9948924426629514</v>
      </c>
      <c r="AI11" s="247">
        <f>AG11*PRODUCT(AH3:AH10)*PRODUCT(AH12:AH17)</f>
        <v>3.2551649469585715E-3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4.4828090884169142E-4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1.2090828577094002E-5</v>
      </c>
      <c r="BM11" s="31">
        <f>BI50+1</f>
        <v>7</v>
      </c>
      <c r="BN11" s="31">
        <v>7</v>
      </c>
      <c r="BO11" s="107">
        <f>$H$32*H46</f>
        <v>1.4308318765932079E-4</v>
      </c>
      <c r="BQ11" s="31">
        <f>BQ8+1</f>
        <v>4</v>
      </c>
      <c r="BR11" s="31">
        <v>1</v>
      </c>
      <c r="BS11" s="107">
        <f>$H$29*H40</f>
        <v>4.4537021552812292E-2</v>
      </c>
    </row>
    <row r="12" spans="1:71" ht="15.75" x14ac:dyDescent="0.25">
      <c r="A12" s="6" t="s">
        <v>52</v>
      </c>
      <c r="B12" s="269">
        <v>6</v>
      </c>
      <c r="C12" s="270">
        <v>6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1</v>
      </c>
      <c r="R12" s="221">
        <f t="shared" si="0"/>
        <v>0.04</v>
      </c>
      <c r="S12" s="221">
        <f t="shared" si="1"/>
        <v>0.04</v>
      </c>
      <c r="T12" s="226">
        <f t="shared" ref="T12" si="11">IF(S12=0,0,S12*(P12^2.7/(P12^2.7+Q12^2.7))*P12/L12)</f>
        <v>0</v>
      </c>
      <c r="U12" s="228">
        <f>IF(S12=0,0,S12*Q12^2.7/(P12^2.7+Q12^2.7)*Q12/L12)</f>
        <v>8.0000000000000002E-3</v>
      </c>
      <c r="V12" s="218">
        <f>$G$18</f>
        <v>0.45</v>
      </c>
      <c r="W12" s="216">
        <f>$H$18</f>
        <v>0.45</v>
      </c>
      <c r="X12" s="251">
        <f t="shared" si="7"/>
        <v>0</v>
      </c>
      <c r="Y12" s="252">
        <f t="shared" si="7"/>
        <v>3.6000000000000003E-3</v>
      </c>
      <c r="Z12" s="199"/>
      <c r="AA12" s="244">
        <f t="shared" si="8"/>
        <v>0</v>
      </c>
      <c r="AB12" s="245">
        <f t="shared" si="9"/>
        <v>1</v>
      </c>
      <c r="AC12" s="245">
        <f>PRODUCT(AB13:AB$16)*AA12*PRODUCT(AB$4:AB11)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0"/>
        <v>3.6000000000000003E-3</v>
      </c>
      <c r="AH12" s="247">
        <f t="shared" si="2"/>
        <v>0.99639999999999995</v>
      </c>
      <c r="AI12" s="247">
        <f>AG12*PRODUCT(AH3:AH11)*PRODUCT(AH13:AH17)</f>
        <v>2.2908922515833103E-3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3.0721030922426998E-4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1.6840286687942953E-6</v>
      </c>
      <c r="BM12" s="31">
        <f>BI54+1</f>
        <v>8</v>
      </c>
      <c r="BN12" s="31">
        <v>8</v>
      </c>
      <c r="BO12" s="107">
        <f>$H$33*H47</f>
        <v>6.6785664837512898E-6</v>
      </c>
      <c r="BQ12" s="31">
        <f>BQ9+1</f>
        <v>4</v>
      </c>
      <c r="BR12" s="31">
        <v>2</v>
      </c>
      <c r="BS12" s="107">
        <f>$H$29*H41</f>
        <v>6.4446689147663661E-2</v>
      </c>
    </row>
    <row r="13" spans="1:71" ht="15.75" x14ac:dyDescent="0.25">
      <c r="A13" s="7" t="s">
        <v>55</v>
      </c>
      <c r="B13" s="269">
        <v>9</v>
      </c>
      <c r="C13" s="270">
        <v>6</v>
      </c>
      <c r="E13" s="210"/>
      <c r="F13" s="210" t="s">
        <v>152</v>
      </c>
      <c r="G13" s="217">
        <f>B22</f>
        <v>0.48148148148148145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1</v>
      </c>
      <c r="Q13" s="214">
        <f>COUNTIF(E10:I11,"CAB")</f>
        <v>0</v>
      </c>
      <c r="R13" s="221">
        <f t="shared" si="0"/>
        <v>0.18</v>
      </c>
      <c r="S13" s="221">
        <f t="shared" si="1"/>
        <v>0.18</v>
      </c>
      <c r="T13" s="226">
        <f>IF((Q13+P13)=0,0,S13*P14/4*P13/L13)</f>
        <v>1.2857142857142857E-2</v>
      </c>
      <c r="U13" s="228">
        <f>IF(P13+Q13=0,0,S13*Q14/4*Q13/L13)</f>
        <v>0</v>
      </c>
      <c r="V13" s="218">
        <v>1</v>
      </c>
      <c r="W13" s="216">
        <v>1</v>
      </c>
      <c r="X13" s="251">
        <f t="shared" si="7"/>
        <v>1.2857142857142857E-2</v>
      </c>
      <c r="Y13" s="252">
        <f t="shared" si="7"/>
        <v>0</v>
      </c>
      <c r="Z13" s="199"/>
      <c r="AA13" s="244">
        <f t="shared" si="8"/>
        <v>1.2857142857142857E-2</v>
      </c>
      <c r="AB13" s="245">
        <f t="shared" si="9"/>
        <v>0.9871428571428571</v>
      </c>
      <c r="AC13" s="245">
        <f>PRODUCT(AB14:AB$16)*AA13*PRODUCT(AB$4:AB12)</f>
        <v>1.1256958578711842E-2</v>
      </c>
      <c r="AD13" s="245">
        <f>AA13*AA14*PRODUCT(AB3:AB12)*PRODUCT(AB15:AB17)+AA13*AA15*PRODUCT(AB3:AB12)*AB14*PRODUCT(AB16:AB17)+AA13*AA16*PRODUCT(AB3:AB12)*AB14*AB15*AB17+AA13*AA17*PRODUCT(AB3:AB12)*AB14*AB15*AB16</f>
        <v>6.7325837821405083E-4</v>
      </c>
      <c r="AE13" s="183"/>
      <c r="AF13" s="197"/>
      <c r="AG13" s="246">
        <f t="shared" si="10"/>
        <v>0</v>
      </c>
      <c r="AH13" s="247">
        <f t="shared" si="2"/>
        <v>1</v>
      </c>
      <c r="AI13" s="247">
        <f>AG13*PRODUCT(AH3:AH12)*PRODUCT(AH14:AH17)</f>
        <v>0</v>
      </c>
      <c r="AJ13" s="247">
        <f>AG13*AG14*PRODUCT(AH3:AH12)*PRODUCT(AH15:AH17)+AG13*AG15*PRODUCT(AH3:AH12)*AH14*PRODUCT(AH16:AH17)+AG13*AG16*PRODUCT(AH3:AH12)*AH14*AH15*AH17+AG13*AG17*PRODUCT(AH3:AH12)*AH14*AH15*AH16</f>
        <v>0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1.6994971380708814E-7</v>
      </c>
      <c r="BM13" s="31">
        <f>BI57+1</f>
        <v>9</v>
      </c>
      <c r="BN13" s="31">
        <v>9</v>
      </c>
      <c r="BO13" s="107">
        <f>$H$34*H48</f>
        <v>1.6637243397508271E-7</v>
      </c>
      <c r="BQ13" s="31">
        <f>BM7+1</f>
        <v>4</v>
      </c>
      <c r="BR13" s="31">
        <v>3</v>
      </c>
      <c r="BS13" s="107">
        <f>$H$29*H42</f>
        <v>5.7200678426017296E-2</v>
      </c>
    </row>
    <row r="14" spans="1:71" ht="15.75" x14ac:dyDescent="0.25">
      <c r="A14" s="7" t="s">
        <v>58</v>
      </c>
      <c r="B14" s="269">
        <v>8</v>
      </c>
      <c r="C14" s="270">
        <v>5.75</v>
      </c>
      <c r="E14" s="210"/>
      <c r="F14" s="210" t="s">
        <v>153</v>
      </c>
      <c r="G14" s="215">
        <f>C22</f>
        <v>0.5185185185185186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0.18</v>
      </c>
      <c r="T14" s="226">
        <f>S14*P14^2.7/(Q14^2.7+P14^2.7)</f>
        <v>0.09</v>
      </c>
      <c r="U14" s="228">
        <f>S14*Q14^2.7/(Q14^2.7+P14^2.7)</f>
        <v>0.09</v>
      </c>
      <c r="V14" s="218">
        <f>$G$17</f>
        <v>0.56999999999999995</v>
      </c>
      <c r="W14" s="216">
        <f>$H$17</f>
        <v>0.56999999999999995</v>
      </c>
      <c r="X14" s="251">
        <f t="shared" si="7"/>
        <v>5.1299999999999991E-2</v>
      </c>
      <c r="Y14" s="252">
        <f t="shared" si="7"/>
        <v>5.1299999999999991E-2</v>
      </c>
      <c r="Z14" s="199"/>
      <c r="AA14" s="244">
        <f t="shared" si="8"/>
        <v>5.1299999999999991E-2</v>
      </c>
      <c r="AB14" s="245">
        <f t="shared" si="9"/>
        <v>0.94869999999999999</v>
      </c>
      <c r="AC14" s="245">
        <f>PRODUCT(AB15:AB$16)*AA14*PRODUCT(AB$4:AB13)</f>
        <v>4.6735303841016464E-2</v>
      </c>
      <c r="AD14" s="245">
        <f>AA14*AA15*PRODUCT(AB3:AB13)*PRODUCT(AB16:AB17)+AA14*AA16*PRODUCT(AB3:AB13)*AB15*AB17+AA14*AA17*PRODUCT(AB3:AB13)*AB15*AB16</f>
        <v>2.6798955120431868E-4</v>
      </c>
      <c r="AE14" s="183"/>
      <c r="AF14" s="197"/>
      <c r="AG14" s="246">
        <f t="shared" si="10"/>
        <v>5.1299999999999991E-2</v>
      </c>
      <c r="AH14" s="247">
        <f t="shared" si="2"/>
        <v>0.94869999999999999</v>
      </c>
      <c r="AI14" s="247">
        <f>AG14*PRODUCT(AH3:AH13)*PRODUCT(AH15:AH17)</f>
        <v>3.4286594089339033E-2</v>
      </c>
      <c r="AJ14" s="247">
        <f>AG14*AG15*PRODUCT(AH3:AH13)*PRODUCT(AH16:AH17)+AG14*AG16*PRODUCT(AH3:AH13)*AH15*AH17+AG14*AG17*PRODUCT(AH3:AH13)*AH15*AH16</f>
        <v>2.7438439346469368E-3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1.8266816241606251E-2</v>
      </c>
      <c r="BM14" s="31">
        <f>BQ39+1</f>
        <v>10</v>
      </c>
      <c r="BN14" s="31">
        <v>10</v>
      </c>
      <c r="BO14" s="107">
        <f>$H$35*H49</f>
        <v>2.2039600202961071E-9</v>
      </c>
      <c r="BQ14" s="31">
        <f>BQ10+1</f>
        <v>5</v>
      </c>
      <c r="BR14" s="31">
        <v>0</v>
      </c>
      <c r="BS14" s="107">
        <f>$H$30*H39</f>
        <v>9.6968759206986568E-3</v>
      </c>
    </row>
    <row r="15" spans="1:71" ht="15.75" x14ac:dyDescent="0.25">
      <c r="A15" s="162" t="s">
        <v>62</v>
      </c>
      <c r="B15" s="271">
        <v>5</v>
      </c>
      <c r="C15" s="272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1</v>
      </c>
      <c r="Q15" s="214">
        <f>COUNTIF(E10:I11,"TEC")</f>
        <v>2</v>
      </c>
      <c r="R15" s="221">
        <f>IF(P15&lt;&gt;0,IF(Q1&lt;&gt;0,M15,IF(Q15&lt;&gt;0,IF(P1&lt;&gt;0,M15,0),0)),IF(Q15&lt;&gt;0,IF(P1&lt;&gt;0,M15,0),0))</f>
        <v>0.6</v>
      </c>
      <c r="S15" s="221">
        <f t="shared" si="1"/>
        <v>0.6</v>
      </c>
      <c r="T15" s="226">
        <f>IF(P15&lt;&gt;0,IF(Q1&lt;&gt;0,IF(Q15&lt;&gt;0,IF(P1&lt;&gt;0,S15*P15^2.7/(P15^2.7+Q15^2.7)*P15/L15,S15*P15/L15),S15*P15/L15),0),0)</f>
        <v>1.0002641803261608E-2</v>
      </c>
      <c r="U15" s="228">
        <f>IF(Q15&lt;&gt;0,IF(P1&lt;&gt;0,IF(P15&lt;&gt;0,IF(Q1&lt;&gt;0,S15*Q15^2.7/(P15^2.7+Q15^2.7)*Q15/L15,S15*Q15/L15),S15*Q15/L15),0),0)</f>
        <v>0.12999471639347679</v>
      </c>
      <c r="V15" s="218">
        <f>$G$17</f>
        <v>0.56999999999999995</v>
      </c>
      <c r="W15" s="216">
        <f>$H$17</f>
        <v>0.56999999999999995</v>
      </c>
      <c r="X15" s="251">
        <f t="shared" si="7"/>
        <v>5.7015058278591163E-3</v>
      </c>
      <c r="Y15" s="252">
        <f t="shared" si="7"/>
        <v>7.4096988344281758E-2</v>
      </c>
      <c r="Z15" s="199"/>
      <c r="AA15" s="244">
        <f t="shared" si="8"/>
        <v>5.7015058278591163E-3</v>
      </c>
      <c r="AB15" s="245">
        <f t="shared" si="9"/>
        <v>0.99429849417214089</v>
      </c>
      <c r="AC15" s="245">
        <f>PRODUCT(AB16:AB$16)*AA15*PRODUCT(AB$4:AB14)</f>
        <v>4.9559783085289903E-3</v>
      </c>
      <c r="AD15" s="245">
        <f>AA15*AA16*PRODUCT(AB3:AB14)*AB17+AA15*AA17*PRODUCT(AB3:AB14)*AB16</f>
        <v>0</v>
      </c>
      <c r="AE15" s="183"/>
      <c r="AF15" s="197"/>
      <c r="AG15" s="246">
        <f t="shared" si="10"/>
        <v>7.4096988344281758E-2</v>
      </c>
      <c r="AH15" s="247">
        <f t="shared" si="2"/>
        <v>0.9259030116557182</v>
      </c>
      <c r="AI15" s="247">
        <f>AG15*PRODUCT(AH3:AH14)*PRODUCT(AH16:AH17)</f>
        <v>5.0742392608178345E-2</v>
      </c>
      <c r="AJ15" s="247">
        <f t="shared" ref="AJ15:AJ16" si="13">(FACT(2)/(FACT($AD$1)*FACT(2-$AD$1))*AG15^$AD$1*(1-AG15)^(2-$AD$1))</f>
        <v>5.4903636816926267E-3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1.6213001715405392E-2</v>
      </c>
      <c r="BQ15" s="31">
        <f>BQ11+1</f>
        <v>5</v>
      </c>
      <c r="BR15" s="31">
        <v>1</v>
      </c>
      <c r="BS15" s="107">
        <f>$H$30*H40</f>
        <v>3.0314715382566849E-2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79">
        <v>0.7</v>
      </c>
      <c r="H16" s="280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185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4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9.8555802909203235E-3</v>
      </c>
      <c r="BQ16" s="31">
        <f>BQ12+1</f>
        <v>5</v>
      </c>
      <c r="BR16" s="31">
        <v>2</v>
      </c>
      <c r="BS16" s="107">
        <f>$H$30*H41</f>
        <v>4.3866495125712286E-2</v>
      </c>
    </row>
    <row r="17" spans="1:71" x14ac:dyDescent="0.25">
      <c r="A17" s="161" t="s">
        <v>69</v>
      </c>
      <c r="B17" s="273" t="s">
        <v>70</v>
      </c>
      <c r="C17" s="274" t="s">
        <v>184</v>
      </c>
      <c r="E17" s="210"/>
      <c r="F17" s="210" t="s">
        <v>154</v>
      </c>
      <c r="G17" s="279">
        <v>0.56999999999999995</v>
      </c>
      <c r="H17" s="280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4.3361833441849492E-3</v>
      </c>
      <c r="BQ17" s="31">
        <f>BQ13+1</f>
        <v>5</v>
      </c>
      <c r="BR17" s="31">
        <v>3</v>
      </c>
      <c r="BS17" s="107">
        <f>$H$30*H42</f>
        <v>3.8934401666672551E-2</v>
      </c>
    </row>
    <row r="18" spans="1:71" x14ac:dyDescent="0.25">
      <c r="A18" s="161" t="s">
        <v>73</v>
      </c>
      <c r="B18" s="273">
        <v>20</v>
      </c>
      <c r="C18" s="274">
        <v>20</v>
      </c>
      <c r="E18" s="210"/>
      <c r="F18" s="209" t="s">
        <v>3</v>
      </c>
      <c r="G18" s="279">
        <v>0.45</v>
      </c>
      <c r="H18" s="280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0.86428426420998694</v>
      </c>
      <c r="AC18" s="159">
        <f>SUM(AC4:AC16)</f>
        <v>0.12835592137867452</v>
      </c>
      <c r="AD18" s="159">
        <f>SUM(AD3:AD17)</f>
        <v>4.7734109012853168E-3</v>
      </c>
      <c r="AE18" s="159">
        <f>IF((1-AB18-AC18-AD18)&lt;0,(1-AB18-AC18-AD18)-1,1-AB18-AC18-AD18)</f>
        <v>2.586403510053222E-3</v>
      </c>
      <c r="AF18" s="197"/>
      <c r="AG18" s="157"/>
      <c r="AH18" s="160">
        <f>PRODUCT(AH3:AH17)</f>
        <v>0.63406806652155845</v>
      </c>
      <c r="AI18" s="159">
        <f>SUM(AI3:AI17)</f>
        <v>0.2979919152424898</v>
      </c>
      <c r="AJ18" s="159">
        <f>SUM(AJ3:AJ17)</f>
        <v>6.3293151562375791E-2</v>
      </c>
      <c r="AK18" s="159">
        <f>IF((1-AH18-AI18-AJ18)&lt;0,(1-AH18-AI18-AJ18)-1,(1-AH18-AI18-AJ18))</f>
        <v>4.6468666735759584E-3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1.421506994923688E-3</v>
      </c>
      <c r="BQ18" s="31">
        <f>BM8+1</f>
        <v>5</v>
      </c>
      <c r="BR18" s="31">
        <v>4</v>
      </c>
      <c r="BS18" s="107">
        <f>$H$30*H43</f>
        <v>2.366749405449247E-2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3.5172459462275016E-4</v>
      </c>
      <c r="BQ19" s="31">
        <f>BQ15+1</f>
        <v>6</v>
      </c>
      <c r="BR19" s="31">
        <v>1</v>
      </c>
      <c r="BS19" s="107">
        <f>$H$31*H40</f>
        <v>1.4722610464178363E-2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6.5701438824061778E-5</v>
      </c>
      <c r="BQ20" s="31">
        <f>BQ16+1</f>
        <v>6</v>
      </c>
      <c r="BR20" s="31">
        <v>2</v>
      </c>
      <c r="BS20" s="107">
        <f>$H$31*H41</f>
        <v>2.1304152521782846E-2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9.1509945621400388E-6</v>
      </c>
      <c r="BQ21" s="31">
        <f>BQ17+1</f>
        <v>6</v>
      </c>
      <c r="BR21" s="31">
        <v>3</v>
      </c>
      <c r="BS21" s="107">
        <f>$H$31*H42</f>
        <v>1.8908837578066703E-2</v>
      </c>
    </row>
    <row r="22" spans="1:71" x14ac:dyDescent="0.25">
      <c r="A22" s="26" t="s">
        <v>81</v>
      </c>
      <c r="B22" s="169">
        <f>(B6)/((B6)+(C6))</f>
        <v>0.48148148148148145</v>
      </c>
      <c r="C22" s="170">
        <f>1-B22</f>
        <v>0.5185185185185186</v>
      </c>
      <c r="V22" s="171">
        <f>SUM(V25:V35)</f>
        <v>1</v>
      </c>
      <c r="AS22" s="82">
        <f>Y23+AA23+AC23+AE23+AG23+AI23+AK23+AM23+AO23+AQ23+AS23</f>
        <v>0.99999999999999978</v>
      </c>
      <c r="BI22" s="31">
        <v>1</v>
      </c>
      <c r="BJ22" s="31">
        <v>10</v>
      </c>
      <c r="BK22" s="107">
        <f t="shared" si="12"/>
        <v>9.235050065978946E-7</v>
      </c>
      <c r="BQ22" s="31">
        <f>BQ18+1</f>
        <v>6</v>
      </c>
      <c r="BR22" s="31">
        <v>4</v>
      </c>
      <c r="BS22" s="107">
        <f>$H$31*H43</f>
        <v>1.1494328455016021E-2</v>
      </c>
    </row>
    <row r="23" spans="1:71" ht="15.75" thickBot="1" x14ac:dyDescent="0.3">
      <c r="A23" s="40" t="s">
        <v>82</v>
      </c>
      <c r="B23" s="56">
        <f>((B22^2.8)/((B22^2.8)+(C22^2.8)))*B21</f>
        <v>2.2415487817690756</v>
      </c>
      <c r="C23" s="57">
        <f>B21-B23</f>
        <v>2.7584512182309244</v>
      </c>
      <c r="D23" s="149">
        <f>SUM(D25:D30)</f>
        <v>1</v>
      </c>
      <c r="E23" s="149">
        <f>SUM(E25:E30)</f>
        <v>1</v>
      </c>
      <c r="H23" s="229">
        <f>SUM(H25:H35)</f>
        <v>0.9999819012694986</v>
      </c>
      <c r="I23" s="81"/>
      <c r="J23" s="229">
        <f>SUM(J25:J35)</f>
        <v>1</v>
      </c>
      <c r="K23" s="229"/>
      <c r="L23" s="229">
        <f>SUM(L25:L35)</f>
        <v>1</v>
      </c>
      <c r="M23" s="81"/>
      <c r="N23" s="229">
        <f>SUM(N25:N35)</f>
        <v>1</v>
      </c>
      <c r="O23" s="81"/>
      <c r="P23" s="229">
        <f>SUM(P25:P35)</f>
        <v>1</v>
      </c>
      <c r="Q23" s="81"/>
      <c r="R23" s="229">
        <f>SUM(R25:R35)</f>
        <v>0.99999999999999989</v>
      </c>
      <c r="S23" s="81"/>
      <c r="T23" s="229">
        <f>SUM(T25:T35)</f>
        <v>1</v>
      </c>
      <c r="V23" s="171">
        <f>SUM(V25:V34)</f>
        <v>0.99961015921632401</v>
      </c>
      <c r="Y23" s="168">
        <f>SUM(Y25:Y35)</f>
        <v>2.5728962843600315E-3</v>
      </c>
      <c r="Z23" s="81"/>
      <c r="AA23" s="168">
        <f>SUM(AA25:AA35)</f>
        <v>2.0946434736719307E-2</v>
      </c>
      <c r="AB23" s="81"/>
      <c r="AC23" s="168">
        <f>SUM(AC25:AC35)</f>
        <v>7.6769447975732624E-2</v>
      </c>
      <c r="AD23" s="81"/>
      <c r="AE23" s="168">
        <f>SUM(AE25:AE35)</f>
        <v>0.1668273292898475</v>
      </c>
      <c r="AF23" s="81"/>
      <c r="AG23" s="168">
        <f>SUM(AG25:AG35)</f>
        <v>0.23810220529791573</v>
      </c>
      <c r="AH23" s="81"/>
      <c r="AI23" s="168">
        <f>SUM(AI25:AI35)</f>
        <v>0.23330463824439029</v>
      </c>
      <c r="AJ23" s="81"/>
      <c r="AK23" s="168">
        <f>SUM(AK25:AK35)</f>
        <v>0.15905596307613673</v>
      </c>
      <c r="AL23" s="81"/>
      <c r="AM23" s="168">
        <f>SUM(AM25:AM35)</f>
        <v>7.4603777956219058E-2</v>
      </c>
      <c r="AN23" s="81"/>
      <c r="AO23" s="168">
        <f>SUM(AO25:AO35)</f>
        <v>2.3114820526526622E-2</v>
      </c>
      <c r="AP23" s="81"/>
      <c r="AQ23" s="168">
        <f>SUM(AQ25:AQ35)</f>
        <v>4.3126458284759948E-3</v>
      </c>
      <c r="AR23" s="81"/>
      <c r="AS23" s="168">
        <f>SUM(AS25:AS35)</f>
        <v>3.8984078367598757E-4</v>
      </c>
      <c r="BI23" s="31">
        <f t="shared" ref="BI23:BI30" si="15">BI15+1</f>
        <v>2</v>
      </c>
      <c r="BJ23" s="31">
        <v>3</v>
      </c>
      <c r="BK23" s="107">
        <f t="shared" ref="BK23:BK30" si="16">$H$27*H42</f>
        <v>3.9884847643798897E-2</v>
      </c>
      <c r="BQ23" s="31">
        <f>BM9+1</f>
        <v>6</v>
      </c>
      <c r="BR23" s="31">
        <v>5</v>
      </c>
      <c r="BS23" s="107">
        <f>$H$31*H44</f>
        <v>5.0571873119586086E-3</v>
      </c>
    </row>
    <row r="24" spans="1:71" ht="15.75" thickBot="1" x14ac:dyDescent="0.3">
      <c r="A24" s="26" t="s">
        <v>83</v>
      </c>
      <c r="B24" s="64">
        <f>B23/B21</f>
        <v>0.44830975635381509</v>
      </c>
      <c r="C24" s="65">
        <f>C23/B21</f>
        <v>0.55169024364618491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2.4245252374893455E-2</v>
      </c>
      <c r="BQ24" s="31">
        <f>BI49+1</f>
        <v>7</v>
      </c>
      <c r="BR24" s="31">
        <v>0</v>
      </c>
      <c r="BS24" s="107">
        <f t="shared" ref="BS24:BS30" si="17">$H$32*H39</f>
        <v>1.6426598089979338E-3</v>
      </c>
    </row>
    <row r="25" spans="1:71" x14ac:dyDescent="0.25">
      <c r="A25" s="26" t="s">
        <v>108</v>
      </c>
      <c r="B25" s="172">
        <f>1/(1+EXP(-3.1416*4*((B11/(B11+C8))-(3.1416/6))))</f>
        <v>0.72997612619005658</v>
      </c>
      <c r="C25" s="170">
        <f>1/(1+EXP(-3.1416*4*((C11/(C11+B8))-(3.1416/6))))</f>
        <v>0.59906392067981162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0.44</v>
      </c>
      <c r="G25" s="124">
        <v>0</v>
      </c>
      <c r="H25" s="125">
        <f>L25*J25</f>
        <v>1.2363331905303388E-2</v>
      </c>
      <c r="I25" s="97">
        <v>0</v>
      </c>
      <c r="J25" s="98">
        <f t="shared" ref="J25:J35" si="18">Y25+AA25+AC25+AE25+AG25+AI25+AK25+AM25+AO25+AQ25+AS25</f>
        <v>1.4304705543383105E-2</v>
      </c>
      <c r="K25" s="97">
        <v>0</v>
      </c>
      <c r="L25" s="98">
        <f>AB18</f>
        <v>0.86428426420998694</v>
      </c>
      <c r="M25" s="85">
        <v>0</v>
      </c>
      <c r="N25" s="173">
        <f>(1-$B$24)^$B$21</f>
        <v>5.1106544624728086E-2</v>
      </c>
      <c r="O25" s="72">
        <v>0</v>
      </c>
      <c r="P25" s="173">
        <f t="shared" ref="P25:P30" si="19">N25</f>
        <v>5.1106544624728086E-2</v>
      </c>
      <c r="Q25" s="28">
        <v>0</v>
      </c>
      <c r="R25" s="174">
        <f>P25*N25</f>
        <v>2.6118789034793232E-3</v>
      </c>
      <c r="S25" s="72">
        <v>0</v>
      </c>
      <c r="T25" s="175">
        <f>(1-$B$33)^(INT(C23*2*(1-C31)))</f>
        <v>0.98507487500000002</v>
      </c>
      <c r="U25" s="138">
        <v>0</v>
      </c>
      <c r="V25" s="86">
        <f>R25*T25</f>
        <v>2.5728962843600315E-3</v>
      </c>
      <c r="W25" s="134">
        <f>B31</f>
        <v>0.77019860466443446</v>
      </c>
      <c r="X25" s="28">
        <v>0</v>
      </c>
      <c r="Y25" s="176">
        <f>V25</f>
        <v>2.5728962843600315E-3</v>
      </c>
      <c r="Z25" s="28">
        <v>0</v>
      </c>
      <c r="AA25" s="176">
        <f>((1-W25)^Z26)*V26</f>
        <v>4.8135199298034561E-3</v>
      </c>
      <c r="AB25" s="28">
        <v>0</v>
      </c>
      <c r="AC25" s="176">
        <f>(((1-$W$25)^AB27))*V27</f>
        <v>4.0540933115871276E-3</v>
      </c>
      <c r="AD25" s="28">
        <v>0</v>
      </c>
      <c r="AE25" s="176">
        <f>(((1-$W$25)^AB28))*V28</f>
        <v>2.0245344973449314E-3</v>
      </c>
      <c r="AF25" s="28">
        <v>0</v>
      </c>
      <c r="AG25" s="176">
        <f>(((1-$W$25)^AB29))*V29</f>
        <v>6.6400914898922365E-4</v>
      </c>
      <c r="AH25" s="28">
        <v>0</v>
      </c>
      <c r="AI25" s="176">
        <f>(((1-$W$25)^AB30))*V30</f>
        <v>1.4951565913065126E-4</v>
      </c>
      <c r="AJ25" s="28">
        <v>0</v>
      </c>
      <c r="AK25" s="176">
        <f>(((1-$W$25)^AB31))*V31</f>
        <v>2.3424262367877469E-5</v>
      </c>
      <c r="AL25" s="28">
        <v>0</v>
      </c>
      <c r="AM25" s="176">
        <f>(((1-$W$25)^AB32))*V32</f>
        <v>2.5248143527153404E-6</v>
      </c>
      <c r="AN25" s="28">
        <v>0</v>
      </c>
      <c r="AO25" s="176">
        <f>(((1-$W$25)^AB33))*V33</f>
        <v>1.7976776401787456E-7</v>
      </c>
      <c r="AP25" s="28">
        <v>0</v>
      </c>
      <c r="AQ25" s="176">
        <f>(((1-$W$25)^AB34))*V34</f>
        <v>7.707574760063507E-9</v>
      </c>
      <c r="AR25" s="28">
        <v>0</v>
      </c>
      <c r="AS25" s="176">
        <f>(((1-$W$25)^AB35))*V35</f>
        <v>1.6010831428082004E-10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1.066724195027143E-2</v>
      </c>
      <c r="BQ25" s="31">
        <f>BQ19+1</f>
        <v>7</v>
      </c>
      <c r="BR25" s="31">
        <v>1</v>
      </c>
      <c r="BS25" s="107">
        <f t="shared" si="17"/>
        <v>5.1353410095574519E-3</v>
      </c>
    </row>
    <row r="26" spans="1:71" x14ac:dyDescent="0.25">
      <c r="A26" s="40" t="s">
        <v>109</v>
      </c>
      <c r="B26" s="169">
        <f>1/(1+EXP(-3.1416*4*((B10/(B10+C9))-(3.1416/6))))</f>
        <v>0.96917043325389818</v>
      </c>
      <c r="C26" s="170">
        <f>1/(1+EXP(-3.1416*4*((C10/(C10+B9))-(3.1416/6))))</f>
        <v>0.23808353651399733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0.217</v>
      </c>
      <c r="G26" s="87">
        <v>1</v>
      </c>
      <c r="H26" s="126">
        <f>L25*J26+L26*J25</f>
        <v>6.7182219122412956E-2</v>
      </c>
      <c r="I26" s="138">
        <v>1</v>
      </c>
      <c r="J26" s="86">
        <f t="shared" si="18"/>
        <v>7.5607214163585471E-2</v>
      </c>
      <c r="K26" s="138">
        <v>1</v>
      </c>
      <c r="L26" s="86">
        <f>AC18</f>
        <v>0.12835592137867452</v>
      </c>
      <c r="M26" s="85">
        <v>1</v>
      </c>
      <c r="N26" s="173">
        <f>(($B$24)^M26)*((1-($B$24))^($B$21-M26))*HLOOKUP($B$21,$AV$24:$BF$34,M26+1)</f>
        <v>0.20764879234923611</v>
      </c>
      <c r="O26" s="72">
        <v>1</v>
      </c>
      <c r="P26" s="173">
        <f t="shared" si="19"/>
        <v>0.20764879234923611</v>
      </c>
      <c r="Q26" s="28">
        <v>1</v>
      </c>
      <c r="R26" s="174">
        <f>N26*P25+P26*N25</f>
        <v>2.1224424544934263E-2</v>
      </c>
      <c r="S26" s="72">
        <v>1</v>
      </c>
      <c r="T26" s="175">
        <f t="shared" ref="T26:T35" si="20">(($B$33)^S26)*((1-($B$33))^(INT($C$23*2*(1-$C$31))-S26))*HLOOKUP(INT($C$23*2*(1-$C$31)),$AV$24:$BF$34,S26+1)</f>
        <v>1.4850375000000002E-2</v>
      </c>
      <c r="U26" s="138">
        <v>1</v>
      </c>
      <c r="V26" s="86">
        <f>R26*T25+T26*R25</f>
        <v>2.0946434736719307E-2</v>
      </c>
      <c r="W26" s="177"/>
      <c r="X26" s="28">
        <v>1</v>
      </c>
      <c r="Y26" s="174"/>
      <c r="Z26" s="28">
        <v>1</v>
      </c>
      <c r="AA26" s="176">
        <f>(1-((1-W25)^Z26))*V26</f>
        <v>1.6132914806915852E-2</v>
      </c>
      <c r="AB26" s="28">
        <v>1</v>
      </c>
      <c r="AC26" s="176">
        <f>((($W$25)^M26)*((1-($W$25))^($U$27-M26))*HLOOKUP($U$27,$AV$24:$BF$34,M26+1))*V27</f>
        <v>2.7175265904754674E-2</v>
      </c>
      <c r="AD26" s="28">
        <v>1</v>
      </c>
      <c r="AE26" s="176">
        <f>((($W$25)^M26)*((1-($W$25))^($U$28-M26))*HLOOKUP($U$28,$AV$24:$BF$34,M26+1))*V28</f>
        <v>2.0356190300843909E-2</v>
      </c>
      <c r="AF26" s="28">
        <v>1</v>
      </c>
      <c r="AG26" s="176">
        <f>((($W$25)^M26)*((1-($W$25))^($U$29-M26))*HLOOKUP($U$29,$AV$24:$BF$34,M26+1))*V29</f>
        <v>8.9019288901901299E-3</v>
      </c>
      <c r="AH26" s="28">
        <v>1</v>
      </c>
      <c r="AI26" s="176">
        <f>((($W$25)^M26)*((1-($W$25))^($U$30-M26))*HLOOKUP($U$30,$AV$24:$BF$34,M26+1))*V30</f>
        <v>2.5055712100823875E-3</v>
      </c>
      <c r="AJ26" s="28">
        <v>1</v>
      </c>
      <c r="AK26" s="176">
        <f>((($W$25)^M26)*((1-($W$25))^($U$31-M26))*HLOOKUP($U$31,$AV$24:$BF$34,M26+1))*V31</f>
        <v>4.7105025184085084E-4</v>
      </c>
      <c r="AL26" s="28">
        <v>1</v>
      </c>
      <c r="AM26" s="176">
        <f>((($W$25)^Q26)*((1-($W$25))^($U$32-Q26))*HLOOKUP($U$32,$AV$24:$BF$34,Q26+1))*V32</f>
        <v>5.923488593535065E-5</v>
      </c>
      <c r="AN26" s="28">
        <v>1</v>
      </c>
      <c r="AO26" s="176">
        <f>((($W$25)^Q26)*((1-($W$25))^($U$33-Q26))*HLOOKUP($U$33,$AV$24:$BF$34,Q26+1))*V33</f>
        <v>4.8200536226694986E-6</v>
      </c>
      <c r="AP26" s="28">
        <v>1</v>
      </c>
      <c r="AQ26" s="176">
        <f>((($W$25)^Q26)*((1-($W$25))^($U$34-Q26))*HLOOKUP($U$34,$AV$24:$BF$34,Q26+1))*V34</f>
        <v>2.3249323552588887E-7</v>
      </c>
      <c r="AR26" s="28">
        <v>1</v>
      </c>
      <c r="AS26" s="176">
        <f>((($W$25)^Q26)*((1-($W$25))^($U$35-Q26))*HLOOKUP($U$35,$AV$24:$BF$34,Q26+1))*V35</f>
        <v>5.3661641207266101E-9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3.4969829099107115E-3</v>
      </c>
      <c r="BQ26" s="31">
        <f>BQ20+1</f>
        <v>7</v>
      </c>
      <c r="BR26" s="31">
        <v>2</v>
      </c>
      <c r="BS26" s="107">
        <f t="shared" si="17"/>
        <v>7.4310251150887779E-3</v>
      </c>
    </row>
    <row r="27" spans="1:71" x14ac:dyDescent="0.25">
      <c r="A27" s="26" t="s">
        <v>110</v>
      </c>
      <c r="B27" s="169">
        <f>1/(1+EXP(-3.1416*4*((B12/(B12+C7))-(3.1416/6))))</f>
        <v>0.60683739941367965</v>
      </c>
      <c r="C27" s="170">
        <f>1/(1+EXP(-3.1416*4*((C12/(C12+B7))-(3.1416/6))))</f>
        <v>0.15247054851327255</v>
      </c>
      <c r="D27" s="167">
        <f>D26</f>
        <v>0.25700000000000001</v>
      </c>
      <c r="E27" s="167">
        <f>E26</f>
        <v>0.217</v>
      </c>
      <c r="G27" s="87">
        <v>2</v>
      </c>
      <c r="H27" s="126">
        <f>L25*J27+J26*L26+J25*L27</f>
        <v>0.16527183683226751</v>
      </c>
      <c r="I27" s="138">
        <v>2</v>
      </c>
      <c r="J27" s="86">
        <f t="shared" si="18"/>
        <v>0.17991640875260129</v>
      </c>
      <c r="K27" s="138">
        <v>2</v>
      </c>
      <c r="L27" s="86">
        <f>AD18</f>
        <v>4.7734109012853168E-3</v>
      </c>
      <c r="M27" s="85">
        <v>2</v>
      </c>
      <c r="N27" s="173">
        <f>(($B$24)^M27)*((1-($B$24))^($B$21-M27))*HLOOKUP($B$21,$AV$24:$BF$34,M27+1)</f>
        <v>0.33747553297299915</v>
      </c>
      <c r="O27" s="72">
        <v>2</v>
      </c>
      <c r="P27" s="173">
        <f t="shared" si="19"/>
        <v>0.33747553297299915</v>
      </c>
      <c r="Q27" s="28">
        <v>2</v>
      </c>
      <c r="R27" s="174">
        <f>P25*N27+P26*N26+P27*N25</f>
        <v>7.761243773537313E-2</v>
      </c>
      <c r="S27" s="72">
        <v>2</v>
      </c>
      <c r="T27" s="175">
        <f t="shared" si="20"/>
        <v>7.4625000000000011E-5</v>
      </c>
      <c r="U27" s="138">
        <v>2</v>
      </c>
      <c r="V27" s="86">
        <f>R27*T25+T26*R26+R25*T27</f>
        <v>7.6769447975732624E-2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4.554008875939082E-2</v>
      </c>
      <c r="AD27" s="28">
        <v>2</v>
      </c>
      <c r="AE27" s="176">
        <f>((($W$25)^M27)*((1-($W$25))^($U$28-M27))*HLOOKUP($U$28,$AV$24:$BF$34,M27+1))*V28</f>
        <v>6.8225475059015855E-2</v>
      </c>
      <c r="AF27" s="28">
        <v>2</v>
      </c>
      <c r="AG27" s="176">
        <f>((($W$25)^M27)*((1-($W$25))^($U$29-M27))*HLOOKUP($U$29,$AV$24:$BF$34,M27+1))*V29</f>
        <v>4.4753339291312852E-2</v>
      </c>
      <c r="AH27" s="28">
        <v>2</v>
      </c>
      <c r="AI27" s="176">
        <f>((($W$25)^M27)*((1-($W$25))^($U$30-M27))*HLOOKUP($U$30,$AV$24:$BF$34,M27+1))*V30</f>
        <v>1.6795263119050059E-2</v>
      </c>
      <c r="AJ27" s="28">
        <v>2</v>
      </c>
      <c r="AK27" s="176">
        <f>((($W$25)^M27)*((1-($W$25))^($U$31-M27))*HLOOKUP($U$31,$AV$24:$BF$34,M27+1))*V31</f>
        <v>3.9469108332096381E-3</v>
      </c>
      <c r="AL27" s="28">
        <v>2</v>
      </c>
      <c r="AM27" s="176">
        <f>((($W$25)^Q27)*((1-($W$25))^($U$32-Q27))*HLOOKUP($U$32,$AV$24:$BF$34,Q27+1))*V32</f>
        <v>5.9559202973825216E-4</v>
      </c>
      <c r="AN27" s="28">
        <v>2</v>
      </c>
      <c r="AO27" s="176">
        <f>((($W$25)^Q27)*((1-($W$25))^($U$33-Q27))*HLOOKUP($U$33,$AV$24:$BF$34,Q27+1))*V33</f>
        <v>5.6541845588377774E-5</v>
      </c>
      <c r="AP27" s="28">
        <v>2</v>
      </c>
      <c r="AQ27" s="176">
        <f>((($W$25)^Q27)*((1-($W$25))^($U$34-Q27))*HLOOKUP($U$34,$AV$24:$BF$34,Q27+1))*V34</f>
        <v>3.1168821291877665E-6</v>
      </c>
      <c r="AR27" s="28">
        <v>2</v>
      </c>
      <c r="AS27" s="176">
        <f>((($W$25)^Q27)*((1-($W$25))^($U$35-Q27))*HLOOKUP($U$35,$AV$24:$BF$34,Q27+1))*V35</f>
        <v>8.0933166244136846E-8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8.6526123387599646E-4</v>
      </c>
      <c r="BQ27" s="31">
        <f>BQ21+1</f>
        <v>7</v>
      </c>
      <c r="BR27" s="31">
        <v>3</v>
      </c>
      <c r="BS27" s="107">
        <f t="shared" si="17"/>
        <v>6.5955238912263157E-3</v>
      </c>
    </row>
    <row r="28" spans="1:71" x14ac:dyDescent="0.25">
      <c r="A28" s="26" t="s">
        <v>111</v>
      </c>
      <c r="B28" s="275">
        <v>0.9</v>
      </c>
      <c r="C28" s="276">
        <v>0.3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0.24291328265791853</v>
      </c>
      <c r="I28" s="138">
        <v>3</v>
      </c>
      <c r="J28" s="86">
        <f t="shared" si="18"/>
        <v>0.25387717130424736</v>
      </c>
      <c r="K28" s="138">
        <v>3</v>
      </c>
      <c r="L28" s="86">
        <f>AE18</f>
        <v>2.586403510053222E-3</v>
      </c>
      <c r="M28" s="85">
        <v>3</v>
      </c>
      <c r="N28" s="173">
        <f>(($B$24)^M28)*((1-($B$24))^($B$21-M28))*HLOOKUP($B$21,$AV$24:$BF$34,M28+1)</f>
        <v>0.27423645008217351</v>
      </c>
      <c r="O28" s="72">
        <v>3</v>
      </c>
      <c r="P28" s="173">
        <f t="shared" si="19"/>
        <v>0.27423645008217351</v>
      </c>
      <c r="Q28" s="28">
        <v>3</v>
      </c>
      <c r="R28" s="174">
        <f>P25*N28+P26*N27+P27*N26+P28*N25</f>
        <v>0.16818332848621942</v>
      </c>
      <c r="S28" s="72">
        <v>3</v>
      </c>
      <c r="T28" s="175">
        <f t="shared" si="20"/>
        <v>1.2500000000000002E-7</v>
      </c>
      <c r="U28" s="138">
        <v>3</v>
      </c>
      <c r="V28" s="86">
        <f>R28*T25+R27*T26+R26*T27+R25*T28</f>
        <v>0.16682732928984753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7.6221129432642823E-2</v>
      </c>
      <c r="AF28" s="28">
        <v>3</v>
      </c>
      <c r="AG28" s="176">
        <f>((($W$25)^M28)*((1-($W$25))^($U$29-M28))*HLOOKUP($U$29,$AV$24:$BF$34,M28+1))*V29</f>
        <v>9.9996374190592319E-2</v>
      </c>
      <c r="AH28" s="28">
        <v>3</v>
      </c>
      <c r="AI28" s="176">
        <f>((($W$25)^M28)*((1-($W$25))^($U$30-M28))*HLOOKUP($U$30,$AV$24:$BF$34,M28+1))*V30</f>
        <v>5.6290729655384231E-2</v>
      </c>
      <c r="AJ28" s="28">
        <v>3</v>
      </c>
      <c r="AK28" s="176">
        <f>((($W$25)^M28)*((1-($W$25))^($U$31-M28))*HLOOKUP($U$31,$AV$24:$BF$34,M28+1))*V31</f>
        <v>1.7637869210405256E-2</v>
      </c>
      <c r="AL28" s="28">
        <v>3</v>
      </c>
      <c r="AM28" s="176">
        <f>((($W$25)^Q28)*((1-($W$25))^($U$32-Q28))*HLOOKUP($U$32,$AV$24:$BF$34,Q28+1))*V32</f>
        <v>3.3269608711746662E-3</v>
      </c>
      <c r="AN28" s="28">
        <v>3</v>
      </c>
      <c r="AO28" s="176">
        <f>((($W$25)^Q28)*((1-($W$25))^($U$33-Q28))*HLOOKUP($U$33,$AV$24:$BF$34,Q28+1))*V33</f>
        <v>3.7900945304295659E-4</v>
      </c>
      <c r="AP28" s="28">
        <v>3</v>
      </c>
      <c r="AQ28" s="176">
        <f>((($W$25)^Q28)*((1-($W$25))^($U$34-Q28))*HLOOKUP($U$34,$AV$24:$BF$34,Q28+1))*V34</f>
        <v>2.437514626211491E-5</v>
      </c>
      <c r="AR28" s="28">
        <v>3</v>
      </c>
      <c r="AS28" s="176">
        <f>((($W$25)^Q28)*((1-($W$25))^($U$35-Q28))*HLOOKUP($U$35,$AV$24:$BF$34,Q28+1))*V35</f>
        <v>7.2334474292505571E-7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1.616290384393236E-4</v>
      </c>
      <c r="BQ28" s="31">
        <f>BQ22+1</f>
        <v>7</v>
      </c>
      <c r="BR28" s="31">
        <v>4</v>
      </c>
      <c r="BS28" s="107">
        <f t="shared" si="17"/>
        <v>4.0092955278540074E-3</v>
      </c>
    </row>
    <row r="29" spans="1:71" x14ac:dyDescent="0.25">
      <c r="A29" s="26" t="s">
        <v>112</v>
      </c>
      <c r="B29" s="169">
        <f>1/(1+EXP(-3.1416*4*((B14/(B14+C13))-(3.1416/6))))</f>
        <v>0.6458925956223811</v>
      </c>
      <c r="C29" s="170">
        <f>1/(1+EXP(-3.1416*4*((C14/(C14+B13))-(3.1416/6))))</f>
        <v>0.15696297364276415</v>
      </c>
      <c r="D29" s="167">
        <v>0.04</v>
      </c>
      <c r="E29" s="167">
        <v>0.04</v>
      </c>
      <c r="G29" s="87">
        <v>4</v>
      </c>
      <c r="H29" s="126">
        <f>J29*L25+J28*L26+J27*L27+J26*L28</f>
        <v>0.23702387623359883</v>
      </c>
      <c r="I29" s="138">
        <v>4</v>
      </c>
      <c r="J29" s="86">
        <f t="shared" si="18"/>
        <v>0.23531942059454034</v>
      </c>
      <c r="K29" s="138">
        <v>4</v>
      </c>
      <c r="L29" s="86"/>
      <c r="M29" s="85">
        <v>4</v>
      </c>
      <c r="N29" s="173">
        <f>(($B$24)^M29)*((1-($B$24))^($B$21-M29))*HLOOKUP($B$21,$AV$24:$BF$34,M29+1)</f>
        <v>0.1114238266269951</v>
      </c>
      <c r="O29" s="72">
        <v>4</v>
      </c>
      <c r="P29" s="173">
        <f t="shared" si="19"/>
        <v>0.1114238266269951</v>
      </c>
      <c r="Q29" s="28">
        <v>4</v>
      </c>
      <c r="R29" s="174">
        <f>P25*N29+P26*N28+P27*N27+P28*N26+P29*N25</f>
        <v>0.23916844424636061</v>
      </c>
      <c r="S29" s="72">
        <v>4</v>
      </c>
      <c r="T29" s="175">
        <f t="shared" si="20"/>
        <v>0</v>
      </c>
      <c r="U29" s="138">
        <v>4</v>
      </c>
      <c r="V29" s="86">
        <f>T29*R25+T28*R26+T27*R27+T26*R28+T25*R29</f>
        <v>0.23810220529791576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8.3786553776831224E-2</v>
      </c>
      <c r="AH29" s="28">
        <v>4</v>
      </c>
      <c r="AI29" s="176">
        <f>((($W$25)^M29)*((1-($W$25))^($U$30-M29))*HLOOKUP($U$30,$AV$24:$BF$34,M29+1))*V30</f>
        <v>9.4331545230199751E-2</v>
      </c>
      <c r="AJ29" s="28">
        <v>4</v>
      </c>
      <c r="AK29" s="176">
        <f>((($W$25)^M29)*((1-($W$25))^($U$31-M29))*HLOOKUP($U$31,$AV$24:$BF$34,M29+1))*V31</f>
        <v>4.4336095855524608E-2</v>
      </c>
      <c r="AL29" s="28">
        <v>4</v>
      </c>
      <c r="AM29" s="176">
        <f>((($W$25)^Q29)*((1-($W$25))^($U$32-Q29))*HLOOKUP($U$32,$AV$24:$BF$34,Q29+1))*V32</f>
        <v>1.1150587736902756E-2</v>
      </c>
      <c r="AN29" s="28">
        <v>4</v>
      </c>
      <c r="AO29" s="176">
        <f>((($W$25)^Q29)*((1-($W$25))^($U$33-Q29))*HLOOKUP($U$33,$AV$24:$BF$34,Q29+1))*V33</f>
        <v>1.5878523684661097E-3</v>
      </c>
      <c r="AP29" s="28">
        <v>4</v>
      </c>
      <c r="AQ29" s="176">
        <f>((($W$25)^Q29)*((1-($W$25))^($U$34-Q29))*HLOOKUP($U$34,$AV$24:$BF$34,Q29+1))*V34</f>
        <v>1.2254301336263603E-4</v>
      </c>
      <c r="AR29" s="28">
        <v>4</v>
      </c>
      <c r="AS29" s="176">
        <f>((($W$25)^Q29)*((1-($W$25))^($U$35-Q29))*HLOOKUP($U$35,$AV$24:$BF$34,Q29+1))*V35</f>
        <v>4.2426132532299512E-6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2.2511933959359444E-5</v>
      </c>
      <c r="BQ29" s="31">
        <f>BQ23+1</f>
        <v>7</v>
      </c>
      <c r="BR29" s="31">
        <v>5</v>
      </c>
      <c r="BS29" s="107">
        <f t="shared" si="17"/>
        <v>1.7639793879830814E-3</v>
      </c>
    </row>
    <row r="30" spans="1:71" x14ac:dyDescent="0.25">
      <c r="A30" s="26" t="s">
        <v>113</v>
      </c>
      <c r="B30" s="275">
        <f>IF(B17="TL",0.55,0.15)</f>
        <v>0.15</v>
      </c>
      <c r="C30" s="276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0.16133345015840159</v>
      </c>
      <c r="I30" s="138">
        <v>5</v>
      </c>
      <c r="J30" s="86">
        <f t="shared" si="18"/>
        <v>0.14977897664238488</v>
      </c>
      <c r="K30" s="138">
        <v>5</v>
      </c>
      <c r="L30" s="86"/>
      <c r="M30" s="85">
        <v>5</v>
      </c>
      <c r="N30" s="173">
        <f>(($B$24)^M30)*((1-($B$24))^($B$21-M30))*HLOOKUP($B$21,$AV$24:$BF$34,M30+1)</f>
        <v>1.8108853343868025E-2</v>
      </c>
      <c r="O30" s="72">
        <v>5</v>
      </c>
      <c r="P30" s="173">
        <f t="shared" si="19"/>
        <v>1.8108853343868025E-2</v>
      </c>
      <c r="Q30" s="28">
        <v>5</v>
      </c>
      <c r="R30" s="174">
        <f>P25*N30+P26*N29+P27*N28+P28*N27+P29*N26+P30*N25</f>
        <v>0.23322119222330406</v>
      </c>
      <c r="S30" s="72">
        <v>5</v>
      </c>
      <c r="T30" s="175">
        <f t="shared" si="20"/>
        <v>0</v>
      </c>
      <c r="U30" s="138">
        <v>5</v>
      </c>
      <c r="V30" s="86">
        <f>T30*R25+T29*R26+T28*R27+T27*R28+T26*R29+T25*R30</f>
        <v>0.23330463824439029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6.3232013370543211E-2</v>
      </c>
      <c r="AJ30" s="28">
        <v>5</v>
      </c>
      <c r="AK30" s="176">
        <f>((($W$25)^M30)*((1-($W$25))^($U$31-M30))*HLOOKUP($U$31,$AV$24:$BF$34,M30+1))*V31</f>
        <v>5.943845399951541E-2</v>
      </c>
      <c r="AL30" s="28">
        <v>5</v>
      </c>
      <c r="AM30" s="176">
        <f>((($W$25)^Q30)*((1-($W$25))^($U$32-Q30))*HLOOKUP($U$32,$AV$24:$BF$34,Q30+1))*V32</f>
        <v>2.2423276682746133E-2</v>
      </c>
      <c r="AN30" s="28">
        <v>5</v>
      </c>
      <c r="AO30" s="176">
        <f>((($W$25)^Q30)*((1-($W$25))^($U$33-Q30))*HLOOKUP($U$33,$AV$24:$BF$34,Q30+1))*V33</f>
        <v>4.2574560587672521E-3</v>
      </c>
      <c r="AP30" s="28">
        <v>5</v>
      </c>
      <c r="AQ30" s="176">
        <f>((($W$25)^Q30)*((1-($W$25))^($U$34-Q30))*HLOOKUP($U$34,$AV$24:$BF$34,Q30+1))*V34</f>
        <v>4.1071316283983493E-4</v>
      </c>
      <c r="AR30" s="28">
        <v>5</v>
      </c>
      <c r="AS30" s="176">
        <f>((($W$25)^Q30)*((1-($W$25))^($U$35-Q30))*HLOOKUP($U$35,$AV$24:$BF$34,Q30+1))*V35</f>
        <v>1.7063367973011547E-5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2.2718714975181581E-6</v>
      </c>
      <c r="BQ30" s="31">
        <f>BM10+1</f>
        <v>7</v>
      </c>
      <c r="BR30" s="31">
        <v>6</v>
      </c>
      <c r="BS30" s="107">
        <f t="shared" si="17"/>
        <v>5.7827560319419116E-4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0.77019860466443446</v>
      </c>
      <c r="C31" s="61">
        <f>(C25*E25)+(C26*E26)+(C27*E27)+(C28*E28)+(C29*E29)+(C30*E30)/(C25+C26+C27+C28+C29+C30)</f>
        <v>0.38021083125799293</v>
      </c>
      <c r="G31" s="87">
        <v>6</v>
      </c>
      <c r="H31" s="126">
        <f>J31*L25+J30*L26+J29*L27+J28*L28</f>
        <v>7.8353021347844207E-2</v>
      </c>
      <c r="I31" s="138">
        <v>6</v>
      </c>
      <c r="J31" s="86">
        <f t="shared" si="18"/>
        <v>6.6353282222073151E-2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0.15793182416271215</v>
      </c>
      <c r="S31" s="72">
        <v>6</v>
      </c>
      <c r="T31" s="175">
        <f t="shared" si="20"/>
        <v>0</v>
      </c>
      <c r="U31" s="138">
        <v>6</v>
      </c>
      <c r="V31" s="86">
        <f>T31*R25+T30*R26+T29*R27+T28*R28+T27*R29+T26*R30+T25*R31</f>
        <v>0.15905596307613673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3.3202158663273078E-2</v>
      </c>
      <c r="AL31" s="28">
        <v>6</v>
      </c>
      <c r="AM31" s="176">
        <f>((($W$25)^Q31)*((1-($W$25))^($U$32-Q31))*HLOOKUP($U$32,$AV$24:$BF$34,Q31+1))*V32</f>
        <v>2.5051162675835365E-2</v>
      </c>
      <c r="AN31" s="28">
        <v>6</v>
      </c>
      <c r="AO31" s="176">
        <f>((($W$25)^Q31)*((1-($W$25))^($U$33-Q31))*HLOOKUP($U$33,$AV$24:$BF$34,Q31+1))*V33</f>
        <v>7.1346101077724537E-3</v>
      </c>
      <c r="AP31" s="28">
        <v>6</v>
      </c>
      <c r="AQ31" s="176">
        <f>((($W$25)^Q31)*((1-($W$25))^($U$34-Q31))*HLOOKUP($U$34,$AV$24:$BF$34,Q31+1))*V34</f>
        <v>9.1769302060340193E-4</v>
      </c>
      <c r="AR31" s="28">
        <v>6</v>
      </c>
      <c r="AS31" s="176">
        <f>((($W$25)^Q31)*((1-($W$25))^($U$35-Q31))*HLOOKUP($U$35,$AV$24:$BF$34,Q31+1))*V35</f>
        <v>4.7657754588835767E-5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3.5635193243675534E-2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4.1045933327216367E-4</v>
      </c>
    </row>
    <row r="32" spans="1:71" x14ac:dyDescent="0.25">
      <c r="A32" s="26" t="s">
        <v>115</v>
      </c>
      <c r="B32" s="277">
        <f>IF(B17&lt;&gt;"TL",0.001,IF(B18&lt;5,0.1,IF(B18&lt;10,0.2,IF(B18&lt;14,0.3,0.35))))</f>
        <v>1E-3</v>
      </c>
      <c r="C32" s="278">
        <f>IF(C17&lt;&gt;"TL",0.001,IF(C18&lt;5,0.1,IF(C18&lt;10,0.2,IF(C18&lt;14,0.3,0.35))))</f>
        <v>1E-3</v>
      </c>
      <c r="G32" s="87">
        <v>7</v>
      </c>
      <c r="H32" s="126">
        <f>J32*L25+J31*L26+J30*L27+J29*L28</f>
        <v>2.7330036662270019E-2</v>
      </c>
      <c r="I32" s="138">
        <v>7</v>
      </c>
      <c r="J32" s="86">
        <f t="shared" si="18"/>
        <v>2.023594913745853E-2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7.333553920502088E-2</v>
      </c>
      <c r="S32" s="72">
        <v>7</v>
      </c>
      <c r="T32" s="175">
        <f t="shared" si="20"/>
        <v>0</v>
      </c>
      <c r="U32" s="138">
        <v>7</v>
      </c>
      <c r="V32" s="86">
        <f>T32*R25+T31*R26+T30*R27+T29*R28+T28*R29+T27*R30+T26*R31+T25*R32</f>
        <v>7.4603777956219072E-2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1.1994438259533826E-2</v>
      </c>
      <c r="AN32" s="28">
        <v>7</v>
      </c>
      <c r="AO32" s="176">
        <f>((($W$25)^Q32)*((1-($W$25))^($U$33-Q32))*HLOOKUP($U$33,$AV$24:$BF$34,Q32+1))*V33</f>
        <v>6.8320693574889383E-3</v>
      </c>
      <c r="AP32" s="28">
        <v>7</v>
      </c>
      <c r="AQ32" s="176">
        <f>((($W$25)^Q32)*((1-($W$25))^($U$34-Q32))*HLOOKUP($U$34,$AV$24:$BF$34,Q32+1))*V34</f>
        <v>1.3181678334774803E-3</v>
      </c>
      <c r="AR32" s="28">
        <v>7</v>
      </c>
      <c r="AS32" s="176">
        <f>((($W$25)^Q32)*((1-($W$25))^($U$35-Q32))*HLOOKUP($U$35,$AV$24:$BF$34,Q32+1))*V35</f>
        <v>9.1273686958283056E-5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1.5678501605064656E-2</v>
      </c>
      <c r="BQ32" s="31">
        <f t="shared" si="24"/>
        <v>8</v>
      </c>
      <c r="BR32" s="31">
        <v>1</v>
      </c>
      <c r="BS32" s="107">
        <f t="shared" si="25"/>
        <v>1.2831924390930313E-3</v>
      </c>
    </row>
    <row r="33" spans="1:71" x14ac:dyDescent="0.25">
      <c r="A33" s="26" t="s">
        <v>116</v>
      </c>
      <c r="B33" s="277">
        <f>IF(B17&lt;&gt;"CA",0.005,IF((B18-B16)&lt;0,0.1,0.1+0.048*(B18-B16)))</f>
        <v>5.0000000000000001E-3</v>
      </c>
      <c r="C33" s="278">
        <f>IF(C17&lt;&gt;"CA",0.005,IF((C18-C16)&lt;0,0.1,0.1+0.048*(C18-C16)))</f>
        <v>5.0000000000000001E-3</v>
      </c>
      <c r="G33" s="87">
        <v>8</v>
      </c>
      <c r="H33" s="126">
        <f>J33*L25+J32*L26+J31*L27+J30*L28</f>
        <v>6.8290881442715397E-3</v>
      </c>
      <c r="I33" s="138">
        <v>8</v>
      </c>
      <c r="J33" s="86">
        <f t="shared" si="18"/>
        <v>4.0814857359118229E-3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2.2347484452364792E-2</v>
      </c>
      <c r="S33" s="72">
        <v>8</v>
      </c>
      <c r="T33" s="175">
        <f t="shared" si="20"/>
        <v>0</v>
      </c>
      <c r="U33" s="138">
        <v>8</v>
      </c>
      <c r="V33" s="86">
        <f>T33*R25+T32*R26+T31*R27+T30*R28+T29*R29+T28*R30+T27*R31+T26*R32+T25*R33</f>
        <v>2.3114820526526626E-2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2.8622815140138484E-3</v>
      </c>
      <c r="AP33" s="28">
        <v>8</v>
      </c>
      <c r="AQ33" s="176">
        <f>((($W$25)^Q33)*((1-($W$25))^($U$34-Q33))*HLOOKUP($U$34,$AV$24:$BF$34,Q33+1))*V34</f>
        <v>1.1044874472752703E-3</v>
      </c>
      <c r="AR33" s="28">
        <v>8</v>
      </c>
      <c r="AS33" s="176">
        <f>((($W$25)^Q33)*((1-($W$25))^($U$35-Q33))*HLOOKUP($U$35,$AV$24:$BF$34,Q33+1))*V35</f>
        <v>1.1471677462270412E-4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5.1397964367465828E-3</v>
      </c>
      <c r="BQ33" s="31">
        <f t="shared" si="24"/>
        <v>8</v>
      </c>
      <c r="BR33" s="31">
        <v>2</v>
      </c>
      <c r="BS33" s="107">
        <f t="shared" si="25"/>
        <v>1.8568261045655619E-3</v>
      </c>
    </row>
    <row r="34" spans="1:71" x14ac:dyDescent="0.25">
      <c r="A34" s="40" t="s">
        <v>117</v>
      </c>
      <c r="B34" s="56">
        <f>B23*2</f>
        <v>4.4830975635381511</v>
      </c>
      <c r="C34" s="57">
        <f>C23*2</f>
        <v>5.5169024364618489</v>
      </c>
      <c r="G34" s="87">
        <v>9</v>
      </c>
      <c r="H34" s="126">
        <f>J34*L25+J33*L26+J32*L27+J31*L28</f>
        <v>1.2214267246410961E-3</v>
      </c>
      <c r="I34" s="138">
        <v>9</v>
      </c>
      <c r="J34" s="86">
        <f t="shared" si="18"/>
        <v>4.9674975923961052E-4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4.0355154708016623E-3</v>
      </c>
      <c r="S34" s="72">
        <v>9</v>
      </c>
      <c r="T34" s="175">
        <f t="shared" si="20"/>
        <v>0</v>
      </c>
      <c r="U34" s="138">
        <v>9</v>
      </c>
      <c r="V34" s="86">
        <f>T34*R25+T33*R26+T32*R27+T31*R28+T30*R29+T29*R30+T28*R31+T27*R32+T26*R33+T25*R34</f>
        <v>4.3126458284759956E-3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4.1130912171578312E-4</v>
      </c>
      <c r="AR34" s="28">
        <v>9</v>
      </c>
      <c r="AS34" s="176">
        <f>((($W$25)^Q34)*((1-($W$25))^($U$35-Q34))*HLOOKUP($U$35,$AV$24:$BF$34,Q34+1))*V35</f>
        <v>8.5440637523827344E-5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1.2717438778802469E-3</v>
      </c>
      <c r="BQ34" s="31">
        <f t="shared" si="24"/>
        <v>8</v>
      </c>
      <c r="BR34" s="31">
        <v>3</v>
      </c>
      <c r="BS34" s="107">
        <f t="shared" si="25"/>
        <v>1.6480553819751887E-3</v>
      </c>
    </row>
    <row r="35" spans="1:71" ht="15.75" thickBot="1" x14ac:dyDescent="0.3">
      <c r="G35" s="88">
        <v>10</v>
      </c>
      <c r="H35" s="127">
        <f>J35*L25+J34*L26+J33*L27+J32*L28</f>
        <v>1.6033148056883347E-4</v>
      </c>
      <c r="I35" s="94">
        <v>10</v>
      </c>
      <c r="J35" s="89">
        <f t="shared" si="18"/>
        <v>2.8636144574491598E-5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3.2793056942972016E-4</v>
      </c>
      <c r="S35" s="72">
        <v>10</v>
      </c>
      <c r="T35" s="175">
        <f t="shared" si="20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3.8984078367598762E-4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2.8636144574491598E-5</v>
      </c>
      <c r="BI35" s="31">
        <f t="shared" si="22"/>
        <v>3</v>
      </c>
      <c r="BJ35" s="31">
        <v>8</v>
      </c>
      <c r="BK35" s="107">
        <f t="shared" si="23"/>
        <v>2.3755916950318271E-4</v>
      </c>
      <c r="BQ35" s="31">
        <f t="shared" si="24"/>
        <v>8</v>
      </c>
      <c r="BR35" s="31">
        <v>4</v>
      </c>
      <c r="BS35" s="107">
        <f t="shared" si="25"/>
        <v>1.0018220207493331E-3</v>
      </c>
    </row>
    <row r="36" spans="1:71" ht="15.75" x14ac:dyDescent="0.25">
      <c r="A36" s="283" t="s">
        <v>118</v>
      </c>
      <c r="B36" s="182">
        <f>SUM(BO4:BO14)</f>
        <v>0.16391806670823461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</v>
      </c>
      <c r="BI36" s="31">
        <f t="shared" si="22"/>
        <v>3</v>
      </c>
      <c r="BJ36" s="31">
        <v>9</v>
      </c>
      <c r="BK36" s="107">
        <f t="shared" si="23"/>
        <v>3.3087596059068074E-5</v>
      </c>
      <c r="BQ36" s="31">
        <f t="shared" si="24"/>
        <v>8</v>
      </c>
      <c r="BR36" s="31">
        <v>5</v>
      </c>
      <c r="BS36" s="107">
        <f t="shared" si="25"/>
        <v>4.4077404191136794E-4</v>
      </c>
    </row>
    <row r="37" spans="1:71" ht="16.5" thickBot="1" x14ac:dyDescent="0.3">
      <c r="A37" s="110" t="s">
        <v>119</v>
      </c>
      <c r="B37" s="182">
        <f>SUM(BK4:BK59)</f>
        <v>0.23098793855564373</v>
      </c>
      <c r="G37" s="157"/>
      <c r="H37" s="229">
        <f>SUM(H39:H49)</f>
        <v>0.99999900734113578</v>
      </c>
      <c r="I37" s="230"/>
      <c r="J37" s="229">
        <f>SUM(J39:J49)</f>
        <v>1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1</v>
      </c>
      <c r="S37" s="230"/>
      <c r="T37" s="229">
        <f>SUM(T39:T49)</f>
        <v>1</v>
      </c>
      <c r="U37" s="230"/>
      <c r="V37" s="171">
        <f>SUM(V39:V48)</f>
        <v>0.99728199897379599</v>
      </c>
      <c r="W37" s="157"/>
      <c r="X37" s="157"/>
      <c r="Y37" s="168">
        <f>SUM(Y39:Y49)</f>
        <v>3.2629091658257158E-4</v>
      </c>
      <c r="Z37" s="81"/>
      <c r="AA37" s="168">
        <f>SUM(AA39:AA49)</f>
        <v>4.0169775462948025E-3</v>
      </c>
      <c r="AB37" s="81"/>
      <c r="AC37" s="168">
        <f>SUM(AC39:AC49)</f>
        <v>2.2255924607456973E-2</v>
      </c>
      <c r="AD37" s="81"/>
      <c r="AE37" s="168">
        <f>SUM(AE39:AE49)</f>
        <v>7.3080598931257595E-2</v>
      </c>
      <c r="AF37" s="81"/>
      <c r="AG37" s="168">
        <f>SUM(AG39:AG49)</f>
        <v>0.1575088427379237</v>
      </c>
      <c r="AH37" s="81"/>
      <c r="AI37" s="168">
        <f>SUM(AI39:AI49)</f>
        <v>0.23284474538300109</v>
      </c>
      <c r="AJ37" s="81"/>
      <c r="AK37" s="168">
        <f>SUM(AK39:AK49)</f>
        <v>0.23913870798624526</v>
      </c>
      <c r="AL37" s="81"/>
      <c r="AM37" s="168">
        <f>SUM(AM39:AM49)</f>
        <v>0.16853825406502007</v>
      </c>
      <c r="AN37" s="81"/>
      <c r="AO37" s="168">
        <f>SUM(AO39:AO49)</f>
        <v>7.8065292189127347E-2</v>
      </c>
      <c r="AP37" s="81"/>
      <c r="AQ37" s="168">
        <f>SUM(AQ39:AQ49)</f>
        <v>2.1506364610886453E-2</v>
      </c>
      <c r="AR37" s="81"/>
      <c r="AS37" s="168">
        <f>SUM(AS39:AS49)</f>
        <v>2.718001026204008E-3</v>
      </c>
      <c r="BI37" s="31">
        <f t="shared" si="22"/>
        <v>3</v>
      </c>
      <c r="BJ37" s="31">
        <v>10</v>
      </c>
      <c r="BK37" s="107">
        <f t="shared" si="23"/>
        <v>3.3391518713450331E-6</v>
      </c>
      <c r="BQ37" s="31">
        <f t="shared" si="24"/>
        <v>8</v>
      </c>
      <c r="BR37" s="31">
        <v>6</v>
      </c>
      <c r="BS37" s="107">
        <f t="shared" si="25"/>
        <v>1.444965154893764E-4</v>
      </c>
    </row>
    <row r="38" spans="1:71" ht="16.5" thickBot="1" x14ac:dyDescent="0.3">
      <c r="A38" s="111" t="s">
        <v>120</v>
      </c>
      <c r="B38" s="182">
        <f>SUM(BS4:BS47)</f>
        <v>0.60491457424726747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1.5298378019123876E-2</v>
      </c>
      <c r="BQ38" s="31">
        <f>BM11+1</f>
        <v>8</v>
      </c>
      <c r="BR38" s="31">
        <v>7</v>
      </c>
      <c r="BS38" s="107">
        <f t="shared" si="25"/>
        <v>3.5752886560807405E-5</v>
      </c>
    </row>
    <row r="39" spans="1:71" x14ac:dyDescent="0.25">
      <c r="G39" s="128">
        <v>0</v>
      </c>
      <c r="H39" s="129">
        <f>L39*J39</f>
        <v>6.0104559291194723E-2</v>
      </c>
      <c r="I39" s="97">
        <v>0</v>
      </c>
      <c r="J39" s="98">
        <f t="shared" ref="J39:J49" si="29">Y39+AA39+AC39+AE39+AG39+AI39+AK39+AM39+AO39+AQ39+AS39</f>
        <v>9.4791967084737513E-2</v>
      </c>
      <c r="K39" s="102">
        <v>0</v>
      </c>
      <c r="L39" s="98">
        <f>AH18</f>
        <v>0.63406806652155845</v>
      </c>
      <c r="M39" s="85">
        <v>0</v>
      </c>
      <c r="N39" s="173">
        <f>(1-$C$24)^$B$21</f>
        <v>1.8108853343868025E-2</v>
      </c>
      <c r="O39" s="72">
        <v>0</v>
      </c>
      <c r="P39" s="173">
        <f t="shared" ref="P39:P44" si="30">N39</f>
        <v>1.8108853343868025E-2</v>
      </c>
      <c r="Q39" s="28">
        <v>0</v>
      </c>
      <c r="R39" s="174">
        <f>P39*N39</f>
        <v>3.2793056942972016E-4</v>
      </c>
      <c r="S39" s="72">
        <v>0</v>
      </c>
      <c r="T39" s="175">
        <f>(1-$C$33)^(INT(B23*2*(1-B31)))</f>
        <v>0.995</v>
      </c>
      <c r="U39" s="138">
        <v>0</v>
      </c>
      <c r="V39" s="86">
        <f>R39*T39</f>
        <v>3.2629091658257158E-4</v>
      </c>
      <c r="W39" s="134">
        <f>C31</f>
        <v>0.38021083125799293</v>
      </c>
      <c r="X39" s="28">
        <v>0</v>
      </c>
      <c r="Y39" s="176">
        <f>V39</f>
        <v>3.2629091658257158E-4</v>
      </c>
      <c r="Z39" s="28">
        <v>0</v>
      </c>
      <c r="AA39" s="176">
        <f>((1-W39)^Z40)*V40</f>
        <v>2.489679174273363E-3</v>
      </c>
      <c r="AB39" s="28">
        <v>0</v>
      </c>
      <c r="AC39" s="176">
        <f>(((1-$W$39)^AB41))*V41</f>
        <v>8.5493600250956345E-3</v>
      </c>
      <c r="AD39" s="28">
        <v>0</v>
      </c>
      <c r="AE39" s="176">
        <f>(((1-$W$39)^AB42))*V42</f>
        <v>1.7399390893106582E-2</v>
      </c>
      <c r="AF39" s="28">
        <v>0</v>
      </c>
      <c r="AG39" s="176">
        <f>(((1-$W$39)^AB43))*V43</f>
        <v>2.324239459438732E-2</v>
      </c>
      <c r="AH39" s="28">
        <v>0</v>
      </c>
      <c r="AI39" s="176">
        <f>(((1-$W$39)^AB44))*V44</f>
        <v>2.1295427039723293E-2</v>
      </c>
      <c r="AJ39" s="28">
        <v>0</v>
      </c>
      <c r="AK39" s="176">
        <f>(((1-$W$39)^AB45))*V45</f>
        <v>1.3555444796180873E-2</v>
      </c>
      <c r="AL39" s="28">
        <v>0</v>
      </c>
      <c r="AM39" s="176">
        <f>(((1-$W$39)^AB46))*V46</f>
        <v>5.9211541448355104E-3</v>
      </c>
      <c r="AN39" s="28">
        <v>0</v>
      </c>
      <c r="AO39" s="176">
        <f>(((1-$W$39)^AB47))*V47</f>
        <v>1.6998470600980229E-3</v>
      </c>
      <c r="AP39" s="28">
        <v>0</v>
      </c>
      <c r="AQ39" s="176">
        <f>(((1-$W$39)^AB48))*V48</f>
        <v>2.9024372934390009E-4</v>
      </c>
      <c r="AR39" s="28">
        <v>0</v>
      </c>
      <c r="AS39" s="176">
        <f>(((1-$W$39)^AB49))*V49</f>
        <v>2.2734711110437546E-5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5.0151826246772812E-3</v>
      </c>
      <c r="BQ39" s="31">
        <f t="shared" ref="BQ39:BQ46" si="31">BQ31+1</f>
        <v>9</v>
      </c>
      <c r="BR39" s="31">
        <v>0</v>
      </c>
      <c r="BS39" s="107">
        <f t="shared" ref="BS39:BS47" si="32">$H$34*H39</f>
        <v>7.3413314991040531E-5</v>
      </c>
    </row>
    <row r="40" spans="1:71" x14ac:dyDescent="0.25">
      <c r="G40" s="91">
        <v>1</v>
      </c>
      <c r="H40" s="130">
        <f>L39*J40+L40*J39</f>
        <v>0.18790099234103674</v>
      </c>
      <c r="I40" s="138">
        <v>1</v>
      </c>
      <c r="J40" s="86">
        <f t="shared" si="29"/>
        <v>0.25179276634399705</v>
      </c>
      <c r="K40" s="95">
        <v>1</v>
      </c>
      <c r="L40" s="86">
        <f>AI18</f>
        <v>0.2979919152424898</v>
      </c>
      <c r="M40" s="85">
        <v>1</v>
      </c>
      <c r="N40" s="173">
        <f>(($C$24)^M26)*((1-($C$24))^($B$21-M26))*HLOOKUP($B$21,$AV$24:$BF$34,M26+1)</f>
        <v>0.1114238266269951</v>
      </c>
      <c r="O40" s="72">
        <v>1</v>
      </c>
      <c r="P40" s="173">
        <f t="shared" si="30"/>
        <v>0.1114238266269951</v>
      </c>
      <c r="Q40" s="28">
        <v>1</v>
      </c>
      <c r="R40" s="174">
        <f>P40*N39+P39*N40</f>
        <v>4.0355154708016623E-3</v>
      </c>
      <c r="S40" s="72">
        <v>1</v>
      </c>
      <c r="T40" s="175">
        <f t="shared" ref="T40:T49" si="33">(($C$33)^S40)*((1-($C$33))^(INT($B$23*2*(1-$B$31))-S40))*HLOOKUP(INT($B$23*2*(1-$B$31)),$AV$24:$BF$34,S40+1)</f>
        <v>5.0000000000000001E-3</v>
      </c>
      <c r="U40" s="138">
        <v>1</v>
      </c>
      <c r="V40" s="86">
        <f>R40*T39+T40*R39</f>
        <v>4.0169775462948025E-3</v>
      </c>
      <c r="W40" s="177"/>
      <c r="X40" s="28">
        <v>1</v>
      </c>
      <c r="Y40" s="174"/>
      <c r="Z40" s="28">
        <v>1</v>
      </c>
      <c r="AA40" s="176">
        <f>(1-((1-W39)^Z40))*V40</f>
        <v>1.5272983720214395E-3</v>
      </c>
      <c r="AB40" s="28">
        <v>1</v>
      </c>
      <c r="AC40" s="176">
        <f>((($W$39)^M40)*((1-($W$39))^($U$27-M40))*HLOOKUP($U$27,$AV$24:$BF$34,M40+1))*V41</f>
        <v>1.0489241973889807E-2</v>
      </c>
      <c r="AD40" s="28">
        <v>1</v>
      </c>
      <c r="AE40" s="176">
        <f>((($W$39)^M40)*((1-($W$39))^($U$28-M40))*HLOOKUP($U$28,$AV$24:$BF$34,M40+1))*V42</f>
        <v>3.2021067203924669E-2</v>
      </c>
      <c r="AF40" s="28">
        <v>1</v>
      </c>
      <c r="AG40" s="176">
        <f>((($W$39)^M40)*((1-($W$39))^($U$29-M40))*HLOOKUP($U$29,$AV$24:$BF$34,M40+1))*V43</f>
        <v>5.7032362711951626E-2</v>
      </c>
      <c r="AH40" s="28">
        <v>1</v>
      </c>
      <c r="AI40" s="176">
        <f>((($W$39)^M40)*((1-($W$39))^($U$30-M40))*HLOOKUP($U$30,$AV$24:$BF$34,M40+1))*V44</f>
        <v>6.5318598848711731E-2</v>
      </c>
      <c r="AJ40" s="28">
        <v>1</v>
      </c>
      <c r="AK40" s="176">
        <f>((($W$39)^M40)*((1-($W$39))^($U$31-M40))*HLOOKUP($U$31,$AV$24:$BF$34,M40+1))*V45</f>
        <v>4.9893678630964916E-2</v>
      </c>
      <c r="AL40" s="28">
        <v>1</v>
      </c>
      <c r="AM40" s="176">
        <f>((($W$39)^Q40)*((1-($W$39))^($U$32-Q40))*HLOOKUP($U$32,$AV$24:$BF$34,Q40+1))*V46</f>
        <v>2.5426402026173793E-2</v>
      </c>
      <c r="AN40" s="28">
        <v>1</v>
      </c>
      <c r="AO40" s="176">
        <f>((($W$39)^Q40)*((1-($W$39))^($U$33-Q40))*HLOOKUP($U$33,$AV$24:$BF$34,Q40+1))*V47</f>
        <v>8.3421950085785148E-3</v>
      </c>
      <c r="AP40" s="28">
        <v>1</v>
      </c>
      <c r="AQ40" s="176">
        <f>((($W$39)^Q40)*((1-($W$39))^($U$34-Q40))*HLOOKUP($U$34,$AV$24:$BF$34,Q40+1))*V48</f>
        <v>1.6024550548814119E-3</v>
      </c>
      <c r="AR40" s="28">
        <v>1</v>
      </c>
      <c r="AS40" s="176">
        <f>((($W$39)^Q40)*((1-($W$39))^($U$35-Q40))*HLOOKUP($U$35,$AV$24:$BF$34,Q40+1))*V49</f>
        <v>1.3946651289912948E-4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1.2409105842763532E-3</v>
      </c>
      <c r="BQ40" s="31">
        <f t="shared" si="31"/>
        <v>9</v>
      </c>
      <c r="BR40" s="31">
        <v>1</v>
      </c>
      <c r="BS40" s="107">
        <f t="shared" si="32"/>
        <v>2.2950729363192419E-4</v>
      </c>
    </row>
    <row r="41" spans="1:71" x14ac:dyDescent="0.25">
      <c r="G41" s="91">
        <v>2</v>
      </c>
      <c r="H41" s="130">
        <f>L39*J41+J40*L40+J39*L41</f>
        <v>0.27189956628735679</v>
      </c>
      <c r="I41" s="138">
        <v>2</v>
      </c>
      <c r="J41" s="86">
        <f t="shared" si="29"/>
        <v>0.30102079782663965</v>
      </c>
      <c r="K41" s="95">
        <v>2</v>
      </c>
      <c r="L41" s="86">
        <f>AJ18</f>
        <v>6.3293151562375791E-2</v>
      </c>
      <c r="M41" s="85">
        <v>2</v>
      </c>
      <c r="N41" s="173">
        <f>(($C$24)^M27)*((1-($C$24))^($B$21-M27))*HLOOKUP($B$21,$AV$24:$BF$34,M27+1)</f>
        <v>0.27423645008217351</v>
      </c>
      <c r="O41" s="72">
        <v>2</v>
      </c>
      <c r="P41" s="173">
        <f t="shared" si="30"/>
        <v>0.27423645008217351</v>
      </c>
      <c r="Q41" s="28">
        <v>2</v>
      </c>
      <c r="R41" s="174">
        <f>P41*N39+P40*N40+P39*N41</f>
        <v>2.2347484452364792E-2</v>
      </c>
      <c r="S41" s="72">
        <v>2</v>
      </c>
      <c r="T41" s="175">
        <f t="shared" si="33"/>
        <v>0</v>
      </c>
      <c r="U41" s="138">
        <v>2</v>
      </c>
      <c r="V41" s="86">
        <f>R41*T39+T40*R40+R39*T41</f>
        <v>2.2255924607456977E-2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3.217322608471533E-3</v>
      </c>
      <c r="AD41" s="28">
        <v>2</v>
      </c>
      <c r="AE41" s="176">
        <f>((($W$39)^M41)*((1-($W$39))^($U$28-M41))*HLOOKUP($U$28,$AV$24:$BF$34,M41+1))*V42</f>
        <v>1.9643383901147372E-2</v>
      </c>
      <c r="AF41" s="28">
        <v>2</v>
      </c>
      <c r="AG41" s="176">
        <f>((($W$39)^M41)*((1-($W$39))^($U$29-M41))*HLOOKUP($U$29,$AV$24:$BF$34,M41+1))*V43</f>
        <v>5.247991525730774E-2</v>
      </c>
      <c r="AH41" s="28">
        <v>2</v>
      </c>
      <c r="AI41" s="176">
        <f>((($W$39)^M41)*((1-($W$39))^($U$30-M41))*HLOOKUP($U$30,$AV$24:$BF$34,M41+1))*V44</f>
        <v>8.0139634628606432E-2</v>
      </c>
      <c r="AJ41" s="28">
        <v>2</v>
      </c>
      <c r="AK41" s="176">
        <f>((($W$39)^M41)*((1-($W$39))^($U$31-M41))*HLOOKUP($U$31,$AV$24:$BF$34,M41+1))*V45</f>
        <v>7.6518427489230684E-2</v>
      </c>
      <c r="AL41" s="28">
        <v>2</v>
      </c>
      <c r="AM41" s="176">
        <f>((($W$39)^Q41)*((1-($W$39))^($U$32-Q41))*HLOOKUP($U$32,$AV$24:$BF$34,Q41+1))*V46</f>
        <v>4.6793622434029319E-2</v>
      </c>
      <c r="AN41" s="28">
        <v>2</v>
      </c>
      <c r="AO41" s="176">
        <f>((($W$39)^Q41)*((1-($W$39))^($U$33-Q41))*HLOOKUP($U$33,$AV$24:$BF$34,Q41+1))*V47</f>
        <v>1.7911373262750122E-2</v>
      </c>
      <c r="AP41" s="28">
        <v>2</v>
      </c>
      <c r="AQ41" s="176">
        <f>((($W$39)^Q41)*((1-($W$39))^($U$34-Q41))*HLOOKUP($U$34,$AV$24:$BF$34,Q41+1))*V48</f>
        <v>3.9321162691931385E-3</v>
      </c>
      <c r="AR41" s="28">
        <v>2</v>
      </c>
      <c r="AS41" s="176">
        <f>((($W$39)^Q41)*((1-($W$39))^($U$35-Q41))*HLOOKUP($U$35,$AV$24:$BF$34,Q41+1))*V49</f>
        <v>3.8500197590330928E-4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2.3179957297672041E-4</v>
      </c>
      <c r="BQ41" s="31">
        <f t="shared" si="31"/>
        <v>9</v>
      </c>
      <c r="BR41" s="31">
        <v>2</v>
      </c>
      <c r="BS41" s="107">
        <f t="shared" si="32"/>
        <v>3.321053966817008E-4</v>
      </c>
    </row>
    <row r="42" spans="1:71" ht="15" customHeight="1" x14ac:dyDescent="0.25">
      <c r="G42" s="91">
        <v>3</v>
      </c>
      <c r="H42" s="130">
        <f>J42*L39+J41*L40+L42*J39+L41*J40</f>
        <v>0.24132876119890631</v>
      </c>
      <c r="I42" s="138">
        <v>3</v>
      </c>
      <c r="J42" s="86">
        <f t="shared" si="29"/>
        <v>0.21330478684000384</v>
      </c>
      <c r="K42" s="95">
        <v>3</v>
      </c>
      <c r="L42" s="86">
        <f>AK18</f>
        <v>4.6468666735759584E-3</v>
      </c>
      <c r="M42" s="85">
        <v>3</v>
      </c>
      <c r="N42" s="173">
        <f>(($C$24)^M28)*((1-($C$24))^($B$21-M28))*HLOOKUP($B$21,$AV$24:$BF$34,M28+1)</f>
        <v>0.33747553297299915</v>
      </c>
      <c r="O42" s="72">
        <v>3</v>
      </c>
      <c r="P42" s="173">
        <f t="shared" si="30"/>
        <v>0.33747553297299915</v>
      </c>
      <c r="Q42" s="28">
        <v>3</v>
      </c>
      <c r="R42" s="174">
        <f>P42*N39+P41*N40+P40*N41+P39*N42</f>
        <v>7.333553920502088E-2</v>
      </c>
      <c r="S42" s="72">
        <v>3</v>
      </c>
      <c r="T42" s="175">
        <f t="shared" si="33"/>
        <v>0</v>
      </c>
      <c r="U42" s="138">
        <v>3</v>
      </c>
      <c r="V42" s="86">
        <f>R42*T39+R41*T40+R40*T41+R39*T42</f>
        <v>7.3080598931257595E-2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4.0167569330789663E-3</v>
      </c>
      <c r="AF42" s="28">
        <v>3</v>
      </c>
      <c r="AG42" s="176">
        <f>((($W$39)^M42)*((1-($W$39))^($U$29-M42))*HLOOKUP($U$29,$AV$24:$BF$34,M42+1))*V43</f>
        <v>2.1462601812193331E-2</v>
      </c>
      <c r="AH42" s="28">
        <v>3</v>
      </c>
      <c r="AI42" s="176">
        <f>((($W$39)^M42)*((1-($W$39))^($U$30-M42))*HLOOKUP($U$30,$AV$24:$BF$34,M42+1))*V44</f>
        <v>4.9161809588734007E-2</v>
      </c>
      <c r="AJ42" s="28">
        <v>3</v>
      </c>
      <c r="AK42" s="176">
        <f>((($W$39)^M42)*((1-($W$39))^($U$31-M42))*HLOOKUP($U$31,$AV$24:$BF$34,M42+1))*V45</f>
        <v>6.2587164344472201E-2</v>
      </c>
      <c r="AL42" s="28">
        <v>3</v>
      </c>
      <c r="AM42" s="176">
        <f>((($W$39)^Q42)*((1-($W$39))^($U$32-Q42))*HLOOKUP($U$32,$AV$24:$BF$34,Q42+1))*V46</f>
        <v>4.7842726151879567E-2</v>
      </c>
      <c r="AN42" s="28">
        <v>3</v>
      </c>
      <c r="AO42" s="176">
        <f>((($W$39)^Q42)*((1-($W$39))^($U$33-Q42))*HLOOKUP($U$33,$AV$24:$BF$34,Q42+1))*V47</f>
        <v>2.1975531231127981E-2</v>
      </c>
      <c r="AP42" s="28">
        <v>3</v>
      </c>
      <c r="AQ42" s="176">
        <f>((($W$39)^Q42)*((1-($W$39))^($U$34-Q42))*HLOOKUP($U$34,$AV$24:$BF$34,Q42+1))*V48</f>
        <v>5.6283829485825566E-3</v>
      </c>
      <c r="AR42" s="28">
        <v>3</v>
      </c>
      <c r="AS42" s="176">
        <f>((($W$39)^Q42)*((1-($W$39))^($U$35-Q42))*HLOOKUP($U$35,$AV$24:$BF$34,Q42+1))*V49</f>
        <v>6.2981382993523415E-4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3.2285390849606593E-5</v>
      </c>
      <c r="BQ42" s="31">
        <f t="shared" si="31"/>
        <v>9</v>
      </c>
      <c r="BR42" s="31">
        <v>3</v>
      </c>
      <c r="BS42" s="107">
        <f t="shared" si="32"/>
        <v>2.9476539835287337E-4</v>
      </c>
    </row>
    <row r="43" spans="1:71" ht="15" customHeight="1" x14ac:dyDescent="0.25">
      <c r="G43" s="91">
        <v>4</v>
      </c>
      <c r="H43" s="130">
        <f>J43*L39+J42*L40+J41*L41+J40*L42</f>
        <v>0.14669923708477739</v>
      </c>
      <c r="I43" s="138">
        <v>4</v>
      </c>
      <c r="J43" s="86">
        <f t="shared" si="29"/>
        <v>9.9222048942208221E-2</v>
      </c>
      <c r="K43" s="95">
        <v>4</v>
      </c>
      <c r="L43" s="86"/>
      <c r="M43" s="85">
        <v>4</v>
      </c>
      <c r="N43" s="173">
        <f>(($C$24)^M29)*((1-($C$24))^($B$21-M29))*HLOOKUP($B$21,$AV$24:$BF$34,M29+1)</f>
        <v>0.20764879234923611</v>
      </c>
      <c r="O43" s="72">
        <v>4</v>
      </c>
      <c r="P43" s="173">
        <f t="shared" si="30"/>
        <v>0.20764879234923611</v>
      </c>
      <c r="Q43" s="28">
        <v>4</v>
      </c>
      <c r="R43" s="174">
        <f>P43*N39+P42*N40+P41*N41+P40*N42+P39*N43</f>
        <v>0.15793182416271215</v>
      </c>
      <c r="S43" s="72">
        <v>4</v>
      </c>
      <c r="T43" s="175">
        <f t="shared" si="33"/>
        <v>0</v>
      </c>
      <c r="U43" s="138">
        <v>4</v>
      </c>
      <c r="V43" s="86">
        <f>T43*R39+T42*R40+T41*R41+T40*R42+T39*R43</f>
        <v>0.1575088427379237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3.2915683620836794E-3</v>
      </c>
      <c r="AH43" s="28">
        <v>4</v>
      </c>
      <c r="AI43" s="176">
        <f>((($W$39)^M43)*((1-($W$39))^($U$30-M43))*HLOOKUP($U$30,$AV$24:$BF$34,M43+1))*V44</f>
        <v>1.5079202277621915E-2</v>
      </c>
      <c r="AJ43" s="28">
        <v>4</v>
      </c>
      <c r="AK43" s="176">
        <f>((($W$39)^M43)*((1-($W$39))^($U$31-M43))*HLOOKUP($U$31,$AV$24:$BF$34,M43+1))*V45</f>
        <v>2.8795660260317282E-2</v>
      </c>
      <c r="AL43" s="28">
        <v>4</v>
      </c>
      <c r="AM43" s="176">
        <f>((($W$39)^Q43)*((1-($W$39))^($U$32-Q43))*HLOOKUP($U$32,$AV$24:$BF$34,Q43+1))*V46</f>
        <v>2.9349210339986664E-2</v>
      </c>
      <c r="AN43" s="28">
        <v>4</v>
      </c>
      <c r="AO43" s="176">
        <f>((($W$39)^Q43)*((1-($W$39))^($U$33-Q43))*HLOOKUP($U$33,$AV$24:$BF$34,Q43+1))*V47</f>
        <v>1.6851163706365812E-2</v>
      </c>
      <c r="AP43" s="28">
        <v>4</v>
      </c>
      <c r="AQ43" s="176">
        <f>((($W$39)^Q43)*((1-($W$39))^($U$34-Q43))*HLOOKUP($U$34,$AV$24:$BF$34,Q43+1))*V48</f>
        <v>5.1791131584206585E-3</v>
      </c>
      <c r="AR43" s="28">
        <v>4</v>
      </c>
      <c r="AS43" s="176">
        <f>((($W$39)^Q43)*((1-($W$39))^($U$35-Q43))*HLOOKUP($U$35,$AV$24:$BF$34,Q43+1))*V49</f>
        <v>6.7613083741220451E-4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3.2581944931905721E-6</v>
      </c>
      <c r="BQ43" s="31">
        <f t="shared" si="31"/>
        <v>9</v>
      </c>
      <c r="BR43" s="31">
        <v>4</v>
      </c>
      <c r="BS43" s="107">
        <f t="shared" si="32"/>
        <v>1.7918236865980728E-4</v>
      </c>
    </row>
    <row r="44" spans="1:71" ht="15" customHeight="1" thickBot="1" x14ac:dyDescent="0.3">
      <c r="G44" s="91">
        <v>5</v>
      </c>
      <c r="H44" s="130">
        <f>J44*L39+J43*L40+J42*L41+J41*L42</f>
        <v>6.4543615867823215E-2</v>
      </c>
      <c r="I44" s="138">
        <v>5</v>
      </c>
      <c r="J44" s="86">
        <f t="shared" si="29"/>
        <v>3.1663338391209508E-2</v>
      </c>
      <c r="K44" s="95">
        <v>5</v>
      </c>
      <c r="L44" s="86"/>
      <c r="M44" s="85">
        <v>5</v>
      </c>
      <c r="N44" s="173">
        <f>(($C$24)^M30)*((1-($C$24))^($B$21-M30))*HLOOKUP($B$21,$AV$24:$BF$34,M30+1)</f>
        <v>5.1106544624728086E-2</v>
      </c>
      <c r="O44" s="72">
        <v>5</v>
      </c>
      <c r="P44" s="173">
        <f t="shared" si="30"/>
        <v>5.1106544624728086E-2</v>
      </c>
      <c r="Q44" s="28">
        <v>5</v>
      </c>
      <c r="R44" s="174">
        <f>P44*N39+P43*N40+P42*N41+P41*N42+P40*N43+P39*N44</f>
        <v>0.23322119222330406</v>
      </c>
      <c r="S44" s="72">
        <v>5</v>
      </c>
      <c r="T44" s="175">
        <f t="shared" si="33"/>
        <v>0</v>
      </c>
      <c r="U44" s="138">
        <v>5</v>
      </c>
      <c r="V44" s="86">
        <f>T44*R39+T43*R40+T42*R41+T41*R42+T40*R43+T39*R44</f>
        <v>0.23284474538300109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1.8500729996037009E-3</v>
      </c>
      <c r="AJ44" s="28">
        <v>5</v>
      </c>
      <c r="AK44" s="176">
        <f>((($W$39)^M44)*((1-($W$39))^($U$31-M44))*HLOOKUP($U$31,$AV$24:$BF$34,M44+1))*V45</f>
        <v>7.0659007781114476E-3</v>
      </c>
      <c r="AL44" s="28">
        <v>5</v>
      </c>
      <c r="AM44" s="176">
        <f>((($W$39)^Q44)*((1-($W$39))^($U$32-Q44))*HLOOKUP($U$32,$AV$24:$BF$34,Q44+1))*V46</f>
        <v>1.0802596969657919E-2</v>
      </c>
      <c r="AN44" s="28">
        <v>5</v>
      </c>
      <c r="AO44" s="176">
        <f>((($W$39)^Q44)*((1-($W$39))^($U$33-Q44))*HLOOKUP($U$33,$AV$24:$BF$34,Q44+1))*V47</f>
        <v>8.2699024553348887E-3</v>
      </c>
      <c r="AP44" s="28">
        <v>5</v>
      </c>
      <c r="AQ44" s="176">
        <f>((($W$39)^Q44)*((1-($W$39))^($U$34-Q44))*HLOOKUP($U$34,$AV$24:$BF$34,Q44+1))*V48</f>
        <v>3.1771367078568722E-3</v>
      </c>
      <c r="AR44" s="28">
        <v>5</v>
      </c>
      <c r="AS44" s="176">
        <f>((($W$39)^Q44)*((1-($W$39))^($U$35-Q44))*HLOOKUP($U$35,$AV$24:$BF$34,Q44+1))*V49</f>
        <v>4.9772848064468032E-4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3.4136506788718154E-3</v>
      </c>
      <c r="BQ44" s="31">
        <f t="shared" si="31"/>
        <v>9</v>
      </c>
      <c r="BR44" s="31">
        <v>5</v>
      </c>
      <c r="BS44" s="107">
        <f t="shared" si="32"/>
        <v>7.8835297325928391E-5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2.1158976489501713E-2</v>
      </c>
      <c r="I45" s="138">
        <v>6</v>
      </c>
      <c r="J45" s="86">
        <f t="shared" si="29"/>
        <v>7.0217738238250579E-3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0.23916844424636061</v>
      </c>
      <c r="S45" s="72">
        <v>6</v>
      </c>
      <c r="T45" s="175">
        <f t="shared" si="33"/>
        <v>0</v>
      </c>
      <c r="U45" s="138">
        <v>6</v>
      </c>
      <c r="V45" s="86">
        <f>T45*R39+T44*R40+T43*R41+T42*R42+T41*R43+T40*R44+T39*R45</f>
        <v>0.23913870798624531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7.2243168696788096E-4</v>
      </c>
      <c r="AL45" s="28">
        <v>6</v>
      </c>
      <c r="AM45" s="176">
        <f>((($W$39)^Q45)*((1-($W$39))^($U$32-Q45))*HLOOKUP($U$32,$AV$24:$BF$34,Q45+1))*V46</f>
        <v>2.2089578094839752E-3</v>
      </c>
      <c r="AN45" s="28">
        <v>6</v>
      </c>
      <c r="AO45" s="176">
        <f>((($W$39)^Q45)*((1-($W$39))^($U$33-Q45))*HLOOKUP($U$33,$AV$24:$BF$34,Q45+1))*V47</f>
        <v>2.5365936075870997E-3</v>
      </c>
      <c r="AP45" s="28">
        <v>6</v>
      </c>
      <c r="AQ45" s="176">
        <f>((($W$39)^Q45)*((1-($W$39))^($U$34-Q45))*HLOOKUP($U$34,$AV$24:$BF$34,Q45+1))*V48</f>
        <v>1.2993469926409532E-3</v>
      </c>
      <c r="AR45" s="28">
        <v>6</v>
      </c>
      <c r="AS45" s="176">
        <f>((($W$39)^Q45)*((1-($W$39))^($U$35-Q45))*HLOOKUP($U$35,$AV$24:$BF$34,Q45+1))*V49</f>
        <v>2.5444372714514876E-4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8.4464227435920673E-4</v>
      </c>
      <c r="BQ45" s="31">
        <f t="shared" si="31"/>
        <v>9</v>
      </c>
      <c r="BR45" s="31">
        <v>6</v>
      </c>
      <c r="BS45" s="107">
        <f t="shared" si="32"/>
        <v>2.5844139350330034E-5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5.2353822070371264E-3</v>
      </c>
      <c r="I46" s="138">
        <v>7</v>
      </c>
      <c r="J46" s="86">
        <f t="shared" si="29"/>
        <v>1.068980294679112E-3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0.16818332848621942</v>
      </c>
      <c r="S46" s="72">
        <v>7</v>
      </c>
      <c r="T46" s="175">
        <f t="shared" si="33"/>
        <v>0</v>
      </c>
      <c r="U46" s="138">
        <v>7</v>
      </c>
      <c r="V46" s="86">
        <f>T46*R39+T45*R40+T44*R41+T43*R42+T42*R43+T41*R44+T40*R45+T39*R46</f>
        <v>0.16853825406502013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1.9358418897335461E-4</v>
      </c>
      <c r="AN46" s="28">
        <v>7</v>
      </c>
      <c r="AO46" s="176">
        <f>((($W$39)^Q46)*((1-($W$39))^($U$33-Q46))*HLOOKUP($U$33,$AV$24:$BF$34,Q46+1))*V47</f>
        <v>4.4459374839255541E-4</v>
      </c>
      <c r="AP46" s="28">
        <v>7</v>
      </c>
      <c r="AQ46" s="176">
        <f>((($W$39)^Q46)*((1-($W$39))^($U$34-Q46))*HLOOKUP($U$34,$AV$24:$BF$34,Q46+1))*V48</f>
        <v>3.416086527575542E-4</v>
      </c>
      <c r="AR46" s="28">
        <v>7</v>
      </c>
      <c r="AS46" s="176">
        <f>((($W$39)^Q46)*((1-($W$39))^($U$35-Q46))*HLOOKUP($U$35,$AV$24:$BF$34,Q46+1))*V49</f>
        <v>8.9193704555647803E-5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1.5777745874310934E-4</v>
      </c>
      <c r="BQ46" s="31">
        <f t="shared" si="31"/>
        <v>9</v>
      </c>
      <c r="BR46" s="31">
        <v>7</v>
      </c>
      <c r="BS46" s="107">
        <f t="shared" si="32"/>
        <v>6.3946357413856301E-6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9.7795874685751238E-4</v>
      </c>
      <c r="I47" s="138">
        <v>8</v>
      </c>
      <c r="J47" s="86">
        <f t="shared" si="29"/>
        <v>1.0700074370476728E-4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7.761243773537313E-2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7.8065292189127361E-2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3.4092108892355587E-5</v>
      </c>
      <c r="AP47" s="28">
        <v>8</v>
      </c>
      <c r="AQ47" s="176">
        <f>((($W$39)^Q47)*((1-($W$39))^($U$34-Q47))*HLOOKUP($U$34,$AV$24:$BF$34,Q47+1))*V48</f>
        <v>5.2390117632056376E-5</v>
      </c>
      <c r="AR47" s="28">
        <v>8</v>
      </c>
      <c r="AS47" s="176">
        <f>((($W$39)^Q47)*((1-($W$39))^($U$35-Q47))*HLOOKUP($U$35,$AV$24:$BF$34,Q47+1))*V49</f>
        <v>2.0518517180355307E-5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2.1975480184730729E-5</v>
      </c>
      <c r="BQ47" s="31">
        <f>BM12+1</f>
        <v>9</v>
      </c>
      <c r="BR47" s="31">
        <v>8</v>
      </c>
      <c r="BS47" s="107">
        <f t="shared" si="32"/>
        <v>1.1945049490082821E-6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1.3621155540375913E-4</v>
      </c>
      <c r="I48" s="138">
        <v>9</v>
      </c>
      <c r="J48" s="86">
        <f t="shared" si="29"/>
        <v>6.3681180118674179E-6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2.1224424544934263E-2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2.150636461088646E-2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3.5709795773543424E-6</v>
      </c>
      <c r="AR48" s="28">
        <v>9</v>
      </c>
      <c r="AS48" s="176">
        <f>((($W$39)^Q48)*((1-($W$39))^($U$35-Q48))*HLOOKUP($U$35,$AV$24:$BF$34,Q48+1))*V49</f>
        <v>2.7971384345130751E-6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2.2177333660490801E-6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1.3746271240537216E-5</v>
      </c>
      <c r="I49" s="94">
        <v>10</v>
      </c>
      <c r="J49" s="89">
        <f t="shared" si="29"/>
        <v>1.7159098334817626E-7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2.6118789034793232E-3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2.7180010262040089E-3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1.7159098334817626E-7</v>
      </c>
      <c r="BI49" s="31">
        <f>BQ14+1</f>
        <v>6</v>
      </c>
      <c r="BJ49" s="31">
        <v>0</v>
      </c>
      <c r="BK49" s="107">
        <f>$H$31*H39</f>
        <v>4.7093738172457478E-3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68"/>
      <c r="J50" s="268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68"/>
      <c r="X50" s="157"/>
      <c r="Y50" s="157"/>
      <c r="BI50" s="31">
        <f>BI45+1</f>
        <v>6</v>
      </c>
      <c r="BJ50" s="31">
        <v>7</v>
      </c>
      <c r="BK50" s="107">
        <f>$H$31*H46</f>
        <v>4.1020801383210366E-4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7.6626022569837636E-5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1.0672586908373803E-5</v>
      </c>
    </row>
    <row r="53" spans="1:63" x14ac:dyDescent="0.25">
      <c r="BI53" s="31">
        <f>BI48+1</f>
        <v>6</v>
      </c>
      <c r="BJ53" s="31">
        <v>10</v>
      </c>
      <c r="BK53" s="107">
        <f>$H$31*H49</f>
        <v>1.0770618839630694E-6</v>
      </c>
    </row>
    <row r="54" spans="1:63" x14ac:dyDescent="0.25">
      <c r="BI54" s="31">
        <f>BI51+1</f>
        <v>7</v>
      </c>
      <c r="BJ54" s="31">
        <v>8</v>
      </c>
      <c r="BK54" s="107">
        <f>$H$32*H47</f>
        <v>2.6727648405803459E-5</v>
      </c>
    </row>
    <row r="55" spans="1:63" x14ac:dyDescent="0.25">
      <c r="BI55" s="31">
        <f>BI52+1</f>
        <v>7</v>
      </c>
      <c r="BJ55" s="31">
        <v>9</v>
      </c>
      <c r="BK55" s="107">
        <f>$H$32*H48</f>
        <v>3.7226668030095608E-6</v>
      </c>
    </row>
    <row r="56" spans="1:63" x14ac:dyDescent="0.25">
      <c r="BI56" s="31">
        <f>BI53+1</f>
        <v>7</v>
      </c>
      <c r="BJ56" s="31">
        <v>10</v>
      </c>
      <c r="BK56" s="107">
        <f>$H$32*H49</f>
        <v>3.7568609697339006E-7</v>
      </c>
    </row>
    <row r="57" spans="1:63" x14ac:dyDescent="0.25">
      <c r="BI57" s="31">
        <f>BI55+1</f>
        <v>8</v>
      </c>
      <c r="BJ57" s="31">
        <v>9</v>
      </c>
      <c r="BK57" s="107">
        <f>$H$33*H48</f>
        <v>9.3020071812059744E-7</v>
      </c>
    </row>
    <row r="58" spans="1:63" x14ac:dyDescent="0.25">
      <c r="BI58" s="31">
        <f>BI56+1</f>
        <v>8</v>
      </c>
      <c r="BJ58" s="31">
        <v>10</v>
      </c>
      <c r="BK58" s="107">
        <f>$H$33*H49</f>
        <v>9.3874497956693539E-8</v>
      </c>
    </row>
    <row r="59" spans="1:63" x14ac:dyDescent="0.25">
      <c r="BI59" s="31">
        <f>BI58+1</f>
        <v>9</v>
      </c>
      <c r="BJ59" s="31">
        <v>10</v>
      </c>
      <c r="BK59" s="107">
        <f>$H$34*H49</f>
        <v>1.6790063057357468E-8</v>
      </c>
    </row>
  </sheetData>
  <mergeCells count="1">
    <mergeCell ref="B3:C3"/>
  </mergeCells>
  <conditionalFormatting sqref="H49">
    <cfRule type="cellIs" dxfId="111" priority="1" operator="greaterThan">
      <formula>0.15</formula>
    </cfRule>
  </conditionalFormatting>
  <conditionalFormatting sqref="H39:H49">
    <cfRule type="cellIs" dxfId="110" priority="2" operator="greaterThan">
      <formula>0.15</formula>
    </cfRule>
  </conditionalFormatting>
  <conditionalFormatting sqref="H49">
    <cfRule type="cellIs" dxfId="109" priority="3" operator="greaterThan">
      <formula>0.15</formula>
    </cfRule>
  </conditionalFormatting>
  <conditionalFormatting sqref="H39:H49">
    <cfRule type="cellIs" dxfId="108" priority="4" operator="greaterThan">
      <formula>0.15</formula>
    </cfRule>
  </conditionalFormatting>
  <conditionalFormatting sqref="H35">
    <cfRule type="cellIs" dxfId="107" priority="5" operator="greaterThan">
      <formula>0.15</formula>
    </cfRule>
  </conditionalFormatting>
  <conditionalFormatting sqref="H25:H35">
    <cfRule type="cellIs" dxfId="106" priority="6" operator="greaterThan">
      <formula>0.15</formula>
    </cfRule>
  </conditionalFormatting>
  <conditionalFormatting sqref="H35">
    <cfRule type="cellIs" dxfId="105" priority="7" operator="greaterThan">
      <formula>0.15</formula>
    </cfRule>
  </conditionalFormatting>
  <conditionalFormatting sqref="H25:H35">
    <cfRule type="cellIs" dxfId="104" priority="8" operator="greaterThan">
      <formula>0.15</formula>
    </cfRule>
  </conditionalFormatting>
  <conditionalFormatting sqref="V49">
    <cfRule type="cellIs" dxfId="103" priority="9" operator="greaterThan">
      <formula>0.15</formula>
    </cfRule>
  </conditionalFormatting>
  <conditionalFormatting sqref="V35">
    <cfRule type="cellIs" dxfId="102" priority="10" operator="greaterThan">
      <formula>0.15</formula>
    </cfRule>
  </conditionalFormatting>
  <conditionalFormatting sqref="V25:V35 V39:V49">
    <cfRule type="cellIs" dxfId="101" priority="11" operator="greaterThan">
      <formula>0.15</formula>
    </cfRule>
  </conditionalFormatting>
  <conditionalFormatting sqref="V49">
    <cfRule type="cellIs" dxfId="100" priority="12" operator="greaterThan">
      <formula>0.15</formula>
    </cfRule>
  </conditionalFormatting>
  <conditionalFormatting sqref="V35">
    <cfRule type="cellIs" dxfId="99" priority="13" operator="greaterThan">
      <formula>0.15</formula>
    </cfRule>
  </conditionalFormatting>
  <conditionalFormatting sqref="V25:V35 V39:V49">
    <cfRule type="cellIs" dxfId="98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7539-6B20-424E-96A1-8B09DB8B32C1}">
  <sheetPr>
    <tabColor rgb="FF92D050"/>
  </sheetPr>
  <dimension ref="A1:BS59"/>
  <sheetViews>
    <sheetView zoomScale="90" zoomScaleNormal="90" workbookViewId="0">
      <selection activeCell="E13" sqref="E13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85" t="s">
        <v>186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3</v>
      </c>
      <c r="Q1" s="263">
        <f>COUNTIF(F10:H10,"CAB")+COUNTIF(E9:I9,"CAB")</f>
        <v>0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85" t="s">
        <v>187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1.7399999999999998</v>
      </c>
      <c r="S2" s="166">
        <f>SUM(S4:S15)</f>
        <v>3.6700000000000008</v>
      </c>
      <c r="T2" s="219">
        <f>SUM(T4:T16)</f>
        <v>0.96336663017697521</v>
      </c>
      <c r="U2" s="219">
        <f>SUM(U4:U16)</f>
        <v>2.4993965517241388</v>
      </c>
      <c r="V2" s="157"/>
      <c r="W2" s="157"/>
      <c r="X2" s="253">
        <f>SUM(X4:X16)</f>
        <v>0.73591334154351407</v>
      </c>
      <c r="Y2" s="254">
        <f>SUM(Y4:Y16)</f>
        <v>1.4006112068965519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84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2" t="s">
        <v>5</v>
      </c>
      <c r="C3" s="292"/>
      <c r="D3" s="31" t="str">
        <f>IF(B3="Sol","SI",IF(B3="Lluvia","SI","NO"))</f>
        <v>SI</v>
      </c>
      <c r="E3" s="211"/>
      <c r="F3" s="212"/>
      <c r="G3" s="281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1" t="s">
        <v>151</v>
      </c>
      <c r="F4" s="281" t="s">
        <v>151</v>
      </c>
      <c r="G4" s="281" t="s">
        <v>151</v>
      </c>
      <c r="H4" s="281" t="s">
        <v>151</v>
      </c>
      <c r="I4" s="281" t="s">
        <v>151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0</v>
      </c>
      <c r="Q4" s="214">
        <f>COUNTIF(E8:I9,"IMP")</f>
        <v>0</v>
      </c>
      <c r="R4" s="221">
        <f t="shared" ref="R4:R14" si="0">IF(P4+Q4=0,0,N4)</f>
        <v>0</v>
      </c>
      <c r="S4" s="221">
        <f t="shared" ref="S4:S16" si="1">R4*$N$2/$R$2</f>
        <v>0</v>
      </c>
      <c r="T4" s="226">
        <f>IF(S4=0,0,S4*(P4^2.7/(P4^2.7+Q4^2.7))*P4/L4)</f>
        <v>0</v>
      </c>
      <c r="U4" s="228">
        <f>IF(S4=0,0,S4*Q4^2.7/(P4^2.7+Q4^2.7)*Q4/L4)</f>
        <v>0</v>
      </c>
      <c r="V4" s="218">
        <f>$G$17</f>
        <v>0.56999999999999995</v>
      </c>
      <c r="W4" s="216">
        <f>$H$17</f>
        <v>0.56999999999999995</v>
      </c>
      <c r="X4" s="251">
        <f>V4*T4</f>
        <v>0</v>
      </c>
      <c r="Y4" s="252">
        <f>W4*U4</f>
        <v>0</v>
      </c>
      <c r="Z4" s="190"/>
      <c r="AA4" s="244">
        <f>X4</f>
        <v>0</v>
      </c>
      <c r="AB4" s="245">
        <f>1-AA4</f>
        <v>1</v>
      </c>
      <c r="AC4" s="245">
        <f>PRODUCT(AB5:AB16)*AA4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</v>
      </c>
      <c r="AH4" s="247">
        <f t="shared" ref="AH4:AH16" si="2">(1-AG4)</f>
        <v>1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1.6566769973117212E-3</v>
      </c>
      <c r="BM4" s="31">
        <v>0</v>
      </c>
      <c r="BN4" s="31">
        <v>0</v>
      </c>
      <c r="BO4" s="107">
        <f>H25*H39</f>
        <v>1.992766372486233E-4</v>
      </c>
      <c r="BQ4" s="31">
        <v>1</v>
      </c>
      <c r="BR4" s="31">
        <v>0</v>
      </c>
      <c r="BS4" s="107">
        <f>$H$26*H39</f>
        <v>5.2094492430575256E-4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1" t="s">
        <v>138</v>
      </c>
      <c r="F5" s="281" t="s">
        <v>138</v>
      </c>
      <c r="G5" s="281" t="s">
        <v>138</v>
      </c>
      <c r="H5" s="281" t="s">
        <v>138</v>
      </c>
      <c r="I5" s="281" t="s">
        <v>138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0</v>
      </c>
      <c r="R5" s="221">
        <f t="shared" si="0"/>
        <v>0</v>
      </c>
      <c r="S5" s="221">
        <f t="shared" si="1"/>
        <v>0</v>
      </c>
      <c r="T5" s="226">
        <f t="shared" ref="T5:T9" si="5">IF(S5=0,0,S5*(P5^2.7/(P5^2.7+Q5^2.7))*P5/L5)</f>
        <v>0</v>
      </c>
      <c r="U5" s="228">
        <f t="shared" ref="U5:U9" si="6">IF(S5=0,0,S5*Q5^2.7/(P5^2.7+Q5^2.7)*Q5/L5)</f>
        <v>0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0</v>
      </c>
      <c r="Y5" s="252">
        <f t="shared" si="7"/>
        <v>0</v>
      </c>
      <c r="Z5" s="199"/>
      <c r="AA5" s="244">
        <f t="shared" ref="AA5:AA16" si="8">X5</f>
        <v>0</v>
      </c>
      <c r="AB5" s="245">
        <f t="shared" ref="AB5:AB16" si="9">1-AA5</f>
        <v>1</v>
      </c>
      <c r="AC5" s="245">
        <f>PRODUCT(AB6:AB16)*AA5*PRODUCT(AB4)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6" si="10">Y5</f>
        <v>0</v>
      </c>
      <c r="AH5" s="247">
        <f t="shared" si="2"/>
        <v>1</v>
      </c>
      <c r="AI5" s="247">
        <f>AG5*PRODUCT(AH3:AH4)*PRODUCT(AH6:AH17)</f>
        <v>0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6.1753205974399254E-3</v>
      </c>
      <c r="BM5" s="31">
        <v>1</v>
      </c>
      <c r="BN5" s="31">
        <v>1</v>
      </c>
      <c r="BO5" s="107">
        <f>$H$26*H40</f>
        <v>4.3308512471880254E-3</v>
      </c>
      <c r="BQ5" s="31">
        <f>BQ4+1</f>
        <v>2</v>
      </c>
      <c r="BR5" s="31">
        <v>0</v>
      </c>
      <c r="BS5" s="107">
        <f>$H$27*H39</f>
        <v>6.2173160705998067E-4</v>
      </c>
    </row>
    <row r="6" spans="1:71" ht="15.75" x14ac:dyDescent="0.25">
      <c r="A6" s="2" t="s">
        <v>31</v>
      </c>
      <c r="B6" s="269">
        <v>10</v>
      </c>
      <c r="C6" s="270">
        <v>10</v>
      </c>
      <c r="E6" s="211"/>
      <c r="F6" s="281" t="s">
        <v>138</v>
      </c>
      <c r="G6" s="281" t="s">
        <v>138</v>
      </c>
      <c r="H6" s="281" t="s">
        <v>138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0</v>
      </c>
      <c r="Q6" s="214">
        <f>COUNTIF(E9:I11,"IMP")</f>
        <v>0</v>
      </c>
      <c r="R6" s="221">
        <f t="shared" si="0"/>
        <v>0</v>
      </c>
      <c r="S6" s="221">
        <f t="shared" si="1"/>
        <v>0</v>
      </c>
      <c r="T6" s="226">
        <f t="shared" si="5"/>
        <v>0</v>
      </c>
      <c r="U6" s="228">
        <f t="shared" si="6"/>
        <v>0</v>
      </c>
      <c r="V6" s="218">
        <f>$G$18</f>
        <v>0.45</v>
      </c>
      <c r="W6" s="216">
        <f>$H$18</f>
        <v>0.45</v>
      </c>
      <c r="X6" s="251">
        <f t="shared" si="7"/>
        <v>0</v>
      </c>
      <c r="Y6" s="252">
        <f t="shared" si="7"/>
        <v>0</v>
      </c>
      <c r="Z6" s="199"/>
      <c r="AA6" s="244">
        <f t="shared" si="8"/>
        <v>0</v>
      </c>
      <c r="AB6" s="245">
        <f t="shared" si="9"/>
        <v>1</v>
      </c>
      <c r="AC6" s="245">
        <f>PRODUCT(AB7:AB16)*AA6*PRODUCT(AB4:AB5)</f>
        <v>0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183"/>
      <c r="AF6" s="197"/>
      <c r="AG6" s="246">
        <f t="shared" si="10"/>
        <v>0</v>
      </c>
      <c r="AH6" s="247">
        <f t="shared" si="2"/>
        <v>1</v>
      </c>
      <c r="AI6" s="247">
        <f>AG6*PRODUCT(AH3:AH5)*PRODUCT(AH7:AH17)</f>
        <v>0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1.3718823575291415E-2</v>
      </c>
      <c r="BM6" s="31">
        <f>BI14+1</f>
        <v>2</v>
      </c>
      <c r="BN6" s="31">
        <v>2</v>
      </c>
      <c r="BO6" s="107">
        <f>$H$27*H41</f>
        <v>1.9266643858340444E-2</v>
      </c>
      <c r="BQ6" s="31">
        <f>BM5+1</f>
        <v>2</v>
      </c>
      <c r="BR6" s="31">
        <v>1</v>
      </c>
      <c r="BS6" s="107">
        <f>$H$27*H40</f>
        <v>5.1687366172927301E-3</v>
      </c>
    </row>
    <row r="7" spans="1:71" ht="15.75" x14ac:dyDescent="0.25">
      <c r="A7" s="5" t="s">
        <v>36</v>
      </c>
      <c r="B7" s="269">
        <v>10</v>
      </c>
      <c r="C7" s="270">
        <v>12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0</v>
      </c>
      <c r="Q7" s="214">
        <f>COUNTIF(E4:I4,"IMP")+COUNTIF(F5:H5,"IMP")</f>
        <v>0</v>
      </c>
      <c r="R7" s="221">
        <f t="shared" si="0"/>
        <v>0</v>
      </c>
      <c r="S7" s="221">
        <f t="shared" si="1"/>
        <v>0</v>
      </c>
      <c r="T7" s="226">
        <f t="shared" si="5"/>
        <v>0</v>
      </c>
      <c r="U7" s="228">
        <f t="shared" si="6"/>
        <v>0</v>
      </c>
      <c r="V7" s="218">
        <f>$G$18</f>
        <v>0.45</v>
      </c>
      <c r="W7" s="216">
        <f>$H$18</f>
        <v>0.45</v>
      </c>
      <c r="X7" s="251">
        <f t="shared" si="7"/>
        <v>0</v>
      </c>
      <c r="Y7" s="252">
        <f t="shared" si="7"/>
        <v>0</v>
      </c>
      <c r="Z7" s="199"/>
      <c r="AA7" s="244">
        <f t="shared" si="8"/>
        <v>0</v>
      </c>
      <c r="AB7" s="245">
        <f t="shared" si="9"/>
        <v>1</v>
      </c>
      <c r="AC7" s="245">
        <f>PRODUCT(AB8:AB$16)*AA7*PRODUCT(AB$4:AB6)</f>
        <v>0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</v>
      </c>
      <c r="AE7" s="183"/>
      <c r="AF7" s="197"/>
      <c r="AG7" s="246">
        <f t="shared" si="10"/>
        <v>0</v>
      </c>
      <c r="AH7" s="247">
        <f t="shared" si="2"/>
        <v>1</v>
      </c>
      <c r="AI7" s="247">
        <f>AG7*PRODUCT(AH3:AH6)*PRODUCT(AH8:AH17)</f>
        <v>0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2.0335404035905388E-2</v>
      </c>
      <c r="BM7" s="31">
        <f>BI23+1</f>
        <v>3</v>
      </c>
      <c r="BN7" s="31">
        <v>3</v>
      </c>
      <c r="BO7" s="107">
        <f>$H$28*H42</f>
        <v>3.1010643646889293E-2</v>
      </c>
      <c r="BQ7" s="31">
        <f>BQ5+1</f>
        <v>3</v>
      </c>
      <c r="BR7" s="31">
        <v>0</v>
      </c>
      <c r="BS7" s="107">
        <f>$H$28*H39</f>
        <v>4.5045384182923378E-4</v>
      </c>
    </row>
    <row r="8" spans="1:71" ht="15.75" x14ac:dyDescent="0.25">
      <c r="A8" s="5" t="s">
        <v>39</v>
      </c>
      <c r="B8" s="269">
        <v>10</v>
      </c>
      <c r="C8" s="270">
        <v>12</v>
      </c>
      <c r="E8" s="213"/>
      <c r="F8" s="214"/>
      <c r="G8" s="282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0</v>
      </c>
      <c r="Q8" s="214">
        <f>COUNTIF(E10:I11,"RAP")</f>
        <v>8</v>
      </c>
      <c r="R8" s="221">
        <f t="shared" si="0"/>
        <v>0.5</v>
      </c>
      <c r="S8" s="221">
        <f t="shared" si="1"/>
        <v>1.0545977011494256</v>
      </c>
      <c r="T8" s="226">
        <f t="shared" si="5"/>
        <v>0</v>
      </c>
      <c r="U8" s="228">
        <f t="shared" si="6"/>
        <v>1.0545977011494256</v>
      </c>
      <c r="V8" s="218">
        <f>$G$17</f>
        <v>0.56999999999999995</v>
      </c>
      <c r="W8" s="216">
        <f>$H$17</f>
        <v>0.56999999999999995</v>
      </c>
      <c r="X8" s="251">
        <f t="shared" si="7"/>
        <v>0</v>
      </c>
      <c r="Y8" s="252">
        <f t="shared" si="7"/>
        <v>0.60112068965517251</v>
      </c>
      <c r="Z8" s="199"/>
      <c r="AA8" s="244">
        <f t="shared" si="8"/>
        <v>0</v>
      </c>
      <c r="AB8" s="245">
        <f t="shared" si="9"/>
        <v>1</v>
      </c>
      <c r="AC8" s="245">
        <f>PRODUCT(AB9:AB$16)*AA8*PRODUCT(AB$4:AB7)</f>
        <v>0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0</v>
      </c>
      <c r="AE8" s="183"/>
      <c r="AF8" s="197"/>
      <c r="AG8" s="246">
        <f t="shared" si="10"/>
        <v>0.60112068965517251</v>
      </c>
      <c r="AH8" s="247">
        <f t="shared" si="2"/>
        <v>0.39887931034482749</v>
      </c>
      <c r="AI8" s="247">
        <f>AG8*PRODUCT(AH3:AH7)*PRODUCT(AH9:AH17)</f>
        <v>0.1945498824483943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0.33607674010290395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2.1300334411523313E-2</v>
      </c>
      <c r="BM8" s="31">
        <f>BI31+1</f>
        <v>4</v>
      </c>
      <c r="BN8" s="31">
        <v>4</v>
      </c>
      <c r="BO8" s="107">
        <f>$H$29*H43</f>
        <v>2.2603744107301923E-2</v>
      </c>
      <c r="BQ8" s="31">
        <f>BQ6+1</f>
        <v>3</v>
      </c>
      <c r="BR8" s="31">
        <v>1</v>
      </c>
      <c r="BS8" s="107">
        <f>$H$28*H40</f>
        <v>3.7448269321111276E-3</v>
      </c>
    </row>
    <row r="9" spans="1:71" ht="15.75" x14ac:dyDescent="0.25">
      <c r="A9" s="5" t="s">
        <v>42</v>
      </c>
      <c r="B9" s="269">
        <v>10</v>
      </c>
      <c r="C9" s="270">
        <v>12</v>
      </c>
      <c r="E9" s="282" t="s">
        <v>151</v>
      </c>
      <c r="F9" s="282" t="s">
        <v>151</v>
      </c>
      <c r="G9" s="282" t="s">
        <v>151</v>
      </c>
      <c r="H9" s="282" t="s">
        <v>151</v>
      </c>
      <c r="I9" s="282" t="s">
        <v>151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0</v>
      </c>
      <c r="Q9" s="214">
        <f>COUNTIF(E10:I11,"RAP")</f>
        <v>8</v>
      </c>
      <c r="R9" s="221">
        <f t="shared" si="0"/>
        <v>0.5</v>
      </c>
      <c r="S9" s="221">
        <f t="shared" si="1"/>
        <v>1.0545977011494256</v>
      </c>
      <c r="T9" s="226">
        <f t="shared" si="5"/>
        <v>0</v>
      </c>
      <c r="U9" s="228">
        <f t="shared" si="6"/>
        <v>1.0545977011494256</v>
      </c>
      <c r="V9" s="218">
        <f>$G$17</f>
        <v>0.56999999999999995</v>
      </c>
      <c r="W9" s="216">
        <f>$H$17</f>
        <v>0.56999999999999995</v>
      </c>
      <c r="X9" s="251">
        <f t="shared" si="7"/>
        <v>0</v>
      </c>
      <c r="Y9" s="252">
        <f t="shared" si="7"/>
        <v>0.60112068965517251</v>
      </c>
      <c r="Z9" s="199"/>
      <c r="AA9" s="244">
        <f t="shared" si="8"/>
        <v>0</v>
      </c>
      <c r="AB9" s="245">
        <f t="shared" si="9"/>
        <v>1</v>
      </c>
      <c r="AC9" s="245">
        <f>PRODUCT(AB10:AB$16)*AA9*PRODUCT(AB$4:AB8)</f>
        <v>0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0</v>
      </c>
      <c r="AE9" s="183"/>
      <c r="AF9" s="197"/>
      <c r="AG9" s="246">
        <f t="shared" si="10"/>
        <v>0.60112068965517251</v>
      </c>
      <c r="AH9" s="247">
        <f t="shared" si="2"/>
        <v>0.39887931034482749</v>
      </c>
      <c r="AI9" s="247">
        <f>AG9*PRODUCT(AH3:AH8)*PRODUCT(AH10:AH17)</f>
        <v>0.1945498824483943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4.2885400074234387E-2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1.6259055841564268E-2</v>
      </c>
      <c r="BM9" s="31">
        <f>BI38+1</f>
        <v>5</v>
      </c>
      <c r="BN9" s="31">
        <v>5</v>
      </c>
      <c r="BO9" s="107">
        <f>$H$30*H44</f>
        <v>8.3518775979923698E-3</v>
      </c>
      <c r="BQ9" s="31">
        <f>BM6+1</f>
        <v>3</v>
      </c>
      <c r="BR9" s="31">
        <v>2</v>
      </c>
      <c r="BS9" s="107">
        <f>$H$28*H41</f>
        <v>1.395897143814951E-2</v>
      </c>
    </row>
    <row r="10" spans="1:71" ht="15.75" x14ac:dyDescent="0.25">
      <c r="A10" s="6" t="s">
        <v>45</v>
      </c>
      <c r="B10" s="269">
        <v>9</v>
      </c>
      <c r="C10" s="270">
        <v>14</v>
      </c>
      <c r="E10" s="282" t="s">
        <v>1</v>
      </c>
      <c r="F10" s="282" t="s">
        <v>1</v>
      </c>
      <c r="G10" s="282" t="s">
        <v>1</v>
      </c>
      <c r="H10" s="282" t="s">
        <v>1</v>
      </c>
      <c r="I10" s="282" t="s">
        <v>1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0.40074712643678168</v>
      </c>
      <c r="T10" s="226">
        <f>S10*G13</f>
        <v>0.20037356321839084</v>
      </c>
      <c r="U10" s="228">
        <f>S10*G14</f>
        <v>0.20037356321839084</v>
      </c>
      <c r="V10" s="218">
        <f>$G$18</f>
        <v>0.45</v>
      </c>
      <c r="W10" s="216">
        <f>$H$18</f>
        <v>0.45</v>
      </c>
      <c r="X10" s="251">
        <f t="shared" si="7"/>
        <v>9.0168103448275874E-2</v>
      </c>
      <c r="Y10" s="252">
        <f t="shared" si="7"/>
        <v>9.0168103448275874E-2</v>
      </c>
      <c r="Z10" s="199"/>
      <c r="AA10" s="244">
        <f t="shared" si="8"/>
        <v>9.0168103448275874E-2</v>
      </c>
      <c r="AB10" s="245">
        <f t="shared" si="9"/>
        <v>0.90983189655172414</v>
      </c>
      <c r="AC10" s="245">
        <f>PRODUCT(AB11:AB$16)*AA10*PRODUCT(AB$4:AB9)</f>
        <v>4.2779764712484909E-2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3.7229630505900425E-2</v>
      </c>
      <c r="AE10" s="183"/>
      <c r="AF10" s="197"/>
      <c r="AG10" s="246">
        <f t="shared" si="10"/>
        <v>9.0168103448275874E-2</v>
      </c>
      <c r="AH10" s="247">
        <f t="shared" si="2"/>
        <v>0.90983189655172414</v>
      </c>
      <c r="AI10" s="247">
        <f>AG10*PRODUCT(AH3:AH9)*PRODUCT(AH11:AH17)</f>
        <v>1.279388916229391E-2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1.5522802670274495E-3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9.1761730403213861E-3</v>
      </c>
      <c r="BM10" s="31">
        <f>BI44+1</f>
        <v>6</v>
      </c>
      <c r="BN10" s="31">
        <v>6</v>
      </c>
      <c r="BO10" s="107">
        <f>$H$31*H45</f>
        <v>1.6601793173262353E-3</v>
      </c>
      <c r="BQ10" s="31">
        <f>BQ7+1</f>
        <v>4</v>
      </c>
      <c r="BR10" s="31">
        <v>0</v>
      </c>
      <c r="BS10" s="107">
        <f>$H$29*H39</f>
        <v>2.2150521853307078E-4</v>
      </c>
    </row>
    <row r="11" spans="1:71" ht="15.75" x14ac:dyDescent="0.25">
      <c r="A11" s="6" t="s">
        <v>48</v>
      </c>
      <c r="B11" s="269">
        <v>9</v>
      </c>
      <c r="C11" s="270">
        <v>14</v>
      </c>
      <c r="E11" s="213"/>
      <c r="F11" s="282" t="s">
        <v>1</v>
      </c>
      <c r="G11" s="282" t="s">
        <v>1</v>
      </c>
      <c r="H11" s="282" t="s">
        <v>1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8</v>
      </c>
      <c r="Q11" s="214">
        <f>COUNTIF(E9:I11,"CAB")</f>
        <v>0</v>
      </c>
      <c r="R11" s="221">
        <f t="shared" si="0"/>
        <v>0.19</v>
      </c>
      <c r="S11" s="221">
        <f t="shared" si="1"/>
        <v>0.40074712643678168</v>
      </c>
      <c r="T11" s="226">
        <f>IF(P11&gt;0,IF(Q11&gt;0,G13^2.7/(G14^2.7+G13^2.7),1),0)*P11/L11*S11</f>
        <v>0.35621966794380594</v>
      </c>
      <c r="U11" s="228">
        <f>IF(Q11&gt;0,IF(P11&gt;0,G14^2.7/(G14^2.7+G13^2.7),1),0)*Q11/L11*S11</f>
        <v>0</v>
      </c>
      <c r="V11" s="218">
        <f>IF(P11-Q11&gt;3,0.9,IF(P11-Q11=3,0.83,IF(P11-Q11=2,0.75,IF(P11-Q11=1,0.65,IF(P11-Q11=0,0.44,IF(P11-Q11=-1,0.16,IF(P11-Q11&lt;-1,0.05,0.02)))))))</f>
        <v>0.9</v>
      </c>
      <c r="W11" s="216">
        <f>IF(Q11-P11&gt;3,0.9,IF(Q11-P11=3,0.83,IF(Q11-P11=2,0.75,IF(Q11-P11=1,0.65,IF(Q11-P11=0,0.44,IF(Q11-P11=-1,0.16,IF(Q11-P11&lt;-1,0.05,0.02)))))))</f>
        <v>0.05</v>
      </c>
      <c r="X11" s="251">
        <f t="shared" si="7"/>
        <v>0.32059770114942537</v>
      </c>
      <c r="Y11" s="252">
        <f t="shared" si="7"/>
        <v>0</v>
      </c>
      <c r="Z11" s="199"/>
      <c r="AA11" s="244">
        <f t="shared" si="8"/>
        <v>0.32059770114942537</v>
      </c>
      <c r="AB11" s="245">
        <f t="shared" si="9"/>
        <v>0.67940229885057457</v>
      </c>
      <c r="AC11" s="245">
        <f>PRODUCT(AB12:AB$16)*AA11*PRODUCT(AB$4:AB10)</f>
        <v>0.20369483014766263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8.1148078882881378E-2</v>
      </c>
      <c r="AE11" s="183"/>
      <c r="AF11" s="197"/>
      <c r="AG11" s="246">
        <f t="shared" si="10"/>
        <v>0</v>
      </c>
      <c r="AH11" s="247">
        <f t="shared" si="2"/>
        <v>1</v>
      </c>
      <c r="AI11" s="247">
        <f>AG11*PRODUCT(AH3:AH10)*PRODUCT(AH12:AH17)</f>
        <v>0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3.8360801090983132E-3</v>
      </c>
      <c r="BM11" s="31">
        <f>BI50+1</f>
        <v>7</v>
      </c>
      <c r="BN11" s="31">
        <v>7</v>
      </c>
      <c r="BO11" s="107">
        <f>$H$32*H46</f>
        <v>1.823804592860626E-4</v>
      </c>
      <c r="BQ11" s="31">
        <f>BQ8+1</f>
        <v>4</v>
      </c>
      <c r="BR11" s="31">
        <v>1</v>
      </c>
      <c r="BS11" s="107">
        <f>$H$29*H40</f>
        <v>1.8414732674880054E-3</v>
      </c>
    </row>
    <row r="12" spans="1:71" ht="15.75" x14ac:dyDescent="0.25">
      <c r="A12" s="6" t="s">
        <v>52</v>
      </c>
      <c r="B12" s="269">
        <v>9</v>
      </c>
      <c r="C12" s="270">
        <v>14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0</v>
      </c>
      <c r="R12" s="221">
        <f t="shared" si="0"/>
        <v>0</v>
      </c>
      <c r="S12" s="221">
        <f t="shared" si="1"/>
        <v>0</v>
      </c>
      <c r="T12" s="226">
        <f t="shared" ref="T12" si="11">IF(S12=0,0,S12*(P12^2.7/(P12^2.7+Q12^2.7))*P12/L12)</f>
        <v>0</v>
      </c>
      <c r="U12" s="228">
        <f>IF(S12=0,0,S12*Q12^2.7/(P12^2.7+Q12^2.7)*Q12/L12)</f>
        <v>0</v>
      </c>
      <c r="V12" s="218">
        <f>$G$18</f>
        <v>0.45</v>
      </c>
      <c r="W12" s="216">
        <f>$H$18</f>
        <v>0.45</v>
      </c>
      <c r="X12" s="251">
        <f t="shared" si="7"/>
        <v>0</v>
      </c>
      <c r="Y12" s="252">
        <f t="shared" si="7"/>
        <v>0</v>
      </c>
      <c r="Z12" s="199"/>
      <c r="AA12" s="244">
        <f t="shared" si="8"/>
        <v>0</v>
      </c>
      <c r="AB12" s="245">
        <f t="shared" si="9"/>
        <v>1</v>
      </c>
      <c r="AC12" s="245">
        <f>PRODUCT(AB13:AB$16)*AA12*PRODUCT(AB$4:AB11)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0"/>
        <v>0</v>
      </c>
      <c r="AH12" s="247">
        <f t="shared" si="2"/>
        <v>1</v>
      </c>
      <c r="AI12" s="247">
        <f>AG12*PRODUCT(AH3:AH11)*PRODUCT(AH13:AH17)</f>
        <v>0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1.1754409591755051E-3</v>
      </c>
      <c r="BM12" s="31">
        <f>BI54+1</f>
        <v>8</v>
      </c>
      <c r="BN12" s="31">
        <v>8</v>
      </c>
      <c r="BO12" s="107">
        <f>$H$33*H47</f>
        <v>1.1092886018369055E-5</v>
      </c>
      <c r="BQ12" s="31">
        <f>BQ9+1</f>
        <v>4</v>
      </c>
      <c r="BR12" s="31">
        <v>2</v>
      </c>
      <c r="BS12" s="107">
        <f>$H$29*H41</f>
        <v>6.8641550626986694E-3</v>
      </c>
    </row>
    <row r="13" spans="1:71" ht="15.75" x14ac:dyDescent="0.25">
      <c r="A13" s="7" t="s">
        <v>55</v>
      </c>
      <c r="B13" s="269">
        <v>9</v>
      </c>
      <c r="C13" s="270">
        <v>9</v>
      </c>
      <c r="E13" s="210"/>
      <c r="F13" s="210" t="s">
        <v>152</v>
      </c>
      <c r="G13" s="217">
        <f>B22</f>
        <v>0.5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8</v>
      </c>
      <c r="Q13" s="214">
        <f>COUNTIF(E10:I11,"CAB")</f>
        <v>0</v>
      </c>
      <c r="R13" s="221">
        <f t="shared" si="0"/>
        <v>0.18</v>
      </c>
      <c r="S13" s="221">
        <f t="shared" si="1"/>
        <v>0.37965517241379321</v>
      </c>
      <c r="T13" s="226">
        <f>IF((Q13+P13)=0,0,S13*P14/4*P13/L13)</f>
        <v>0.21694581280788183</v>
      </c>
      <c r="U13" s="228">
        <f>IF(P13+Q13=0,0,S13*Q14/4*Q13/L13)</f>
        <v>0</v>
      </c>
      <c r="V13" s="218">
        <v>1</v>
      </c>
      <c r="W13" s="216">
        <v>1</v>
      </c>
      <c r="X13" s="251">
        <f t="shared" si="7"/>
        <v>0.21694581280788183</v>
      </c>
      <c r="Y13" s="252">
        <f t="shared" si="7"/>
        <v>0</v>
      </c>
      <c r="Z13" s="199"/>
      <c r="AA13" s="244">
        <f t="shared" si="8"/>
        <v>0.21694581280788183</v>
      </c>
      <c r="AB13" s="245">
        <f t="shared" si="9"/>
        <v>0.78305418719211817</v>
      </c>
      <c r="AC13" s="245">
        <f>PRODUCT(AB14:AB$16)*AA13*PRODUCT(AB$4:AB12)</f>
        <v>0.11959308552003856</v>
      </c>
      <c r="AD13" s="245">
        <f>AA13*AA14*PRODUCT(AB3:AB12)*PRODUCT(AB15:AB17)+AA13*AA15*PRODUCT(AB3:AB12)*AB14*PRODUCT(AB16:AB17)+AA13*AA16*PRODUCT(AB3:AB12)*AB14*AB15*AB17+AA13*AA17*PRODUCT(AB3:AB12)*AB14*AB15*AB16</f>
        <v>1.4510207519446488E-2</v>
      </c>
      <c r="AE13" s="183"/>
      <c r="AF13" s="197"/>
      <c r="AG13" s="246">
        <f t="shared" si="10"/>
        <v>0</v>
      </c>
      <c r="AH13" s="247">
        <f t="shared" si="2"/>
        <v>1</v>
      </c>
      <c r="AI13" s="247">
        <f>AG13*PRODUCT(AH3:AH12)*PRODUCT(AH14:AH17)</f>
        <v>0</v>
      </c>
      <c r="AJ13" s="247">
        <f>AG13*AG14*PRODUCT(AH3:AH12)*PRODUCT(AH15:AH17)+AG13*AG15*PRODUCT(AH3:AH12)*AH14*PRODUCT(AH16:AH17)+AG13*AG16*PRODUCT(AH3:AH12)*AH14*AH15*AH17+AG13*AG17*PRODUCT(AH3:AH12)*AH14*AH15*AH16</f>
        <v>0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2.5720764265494718E-4</v>
      </c>
      <c r="BM13" s="31">
        <f>BI57+1</f>
        <v>9</v>
      </c>
      <c r="BN13" s="31">
        <v>9</v>
      </c>
      <c r="BO13" s="107">
        <f>$H$34*H48</f>
        <v>3.6510447233224219E-7</v>
      </c>
      <c r="BQ13" s="31">
        <f>BM7+1</f>
        <v>4</v>
      </c>
      <c r="BR13" s="31">
        <v>3</v>
      </c>
      <c r="BS13" s="107">
        <f>$H$29*H42</f>
        <v>1.5249108254824093E-2</v>
      </c>
    </row>
    <row r="14" spans="1:71" ht="15.75" x14ac:dyDescent="0.25">
      <c r="A14" s="7" t="s">
        <v>58</v>
      </c>
      <c r="B14" s="269">
        <v>4</v>
      </c>
      <c r="C14" s="270">
        <v>4</v>
      </c>
      <c r="E14" s="210"/>
      <c r="F14" s="210" t="s">
        <v>153</v>
      </c>
      <c r="G14" s="215">
        <f>C22</f>
        <v>0.5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0.37965517241379321</v>
      </c>
      <c r="T14" s="226">
        <f>S14*P14^2.7/(Q14^2.7+P14^2.7)</f>
        <v>0.1898275862068966</v>
      </c>
      <c r="U14" s="228">
        <f>S14*Q14^2.7/(Q14^2.7+P14^2.7)</f>
        <v>0.1898275862068966</v>
      </c>
      <c r="V14" s="218">
        <f>$G$17</f>
        <v>0.56999999999999995</v>
      </c>
      <c r="W14" s="216">
        <f>$H$17</f>
        <v>0.56999999999999995</v>
      </c>
      <c r="X14" s="251">
        <f t="shared" si="7"/>
        <v>0.10820172413793105</v>
      </c>
      <c r="Y14" s="252">
        <f t="shared" si="7"/>
        <v>0.10820172413793105</v>
      </c>
      <c r="Z14" s="199"/>
      <c r="AA14" s="244">
        <f t="shared" si="8"/>
        <v>0.10820172413793105</v>
      </c>
      <c r="AB14" s="245">
        <f t="shared" si="9"/>
        <v>0.89179827586206895</v>
      </c>
      <c r="AC14" s="245">
        <f>PRODUCT(AB15:AB$16)*AA14*PRODUCT(AB$4:AB13)</f>
        <v>5.2373809883996661E-2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0.10820172413793105</v>
      </c>
      <c r="AH14" s="247">
        <f t="shared" si="2"/>
        <v>0.89179827586206895</v>
      </c>
      <c r="AI14" s="247">
        <f>AG14*PRODUCT(AH3:AH13)*PRODUCT(AH15:AH17)</f>
        <v>1.5663123048158183E-2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1.6143397267304706E-2</v>
      </c>
      <c r="BM14" s="31">
        <f>BQ39+1</f>
        <v>10</v>
      </c>
      <c r="BN14" s="31">
        <v>10</v>
      </c>
      <c r="BO14" s="107">
        <f>$H$35*H49</f>
        <v>6.1599123512448485E-9</v>
      </c>
      <c r="BQ14" s="31">
        <f>BQ10+1</f>
        <v>5</v>
      </c>
      <c r="BR14" s="31">
        <v>0</v>
      </c>
      <c r="BS14" s="107">
        <f>$H$30*H39</f>
        <v>7.8136523600288505E-5</v>
      </c>
    </row>
    <row r="15" spans="1:71" ht="15.75" x14ac:dyDescent="0.25">
      <c r="A15" s="162" t="s">
        <v>62</v>
      </c>
      <c r="B15" s="271">
        <v>5</v>
      </c>
      <c r="C15" s="272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3.5863469033139417E-2</v>
      </c>
      <c r="BQ15" s="31">
        <f>BQ11+1</f>
        <v>5</v>
      </c>
      <c r="BR15" s="31">
        <v>1</v>
      </c>
      <c r="BS15" s="107">
        <f>$H$30*H40</f>
        <v>6.4958433204089351E-4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79">
        <v>0.7</v>
      </c>
      <c r="H16" s="280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185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4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5.3160398842914597E-2</v>
      </c>
      <c r="BQ16" s="31">
        <f>BQ12+1</f>
        <v>5</v>
      </c>
      <c r="BR16" s="31">
        <v>2</v>
      </c>
      <c r="BS16" s="107">
        <f>$H$30*H41</f>
        <v>2.421347982700094E-3</v>
      </c>
    </row>
    <row r="17" spans="1:71" x14ac:dyDescent="0.25">
      <c r="A17" s="161" t="s">
        <v>69</v>
      </c>
      <c r="B17" s="273" t="s">
        <v>70</v>
      </c>
      <c r="C17" s="274" t="s">
        <v>70</v>
      </c>
      <c r="E17" s="210"/>
      <c r="F17" s="210" t="s">
        <v>154</v>
      </c>
      <c r="G17" s="279">
        <v>0.56999999999999995</v>
      </c>
      <c r="H17" s="280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5.5682900167841359E-2</v>
      </c>
      <c r="BQ17" s="31">
        <f>BQ13+1</f>
        <v>5</v>
      </c>
      <c r="BR17" s="31">
        <v>3</v>
      </c>
      <c r="BS17" s="107">
        <f>$H$30*H42</f>
        <v>5.3791613350117262E-3</v>
      </c>
    </row>
    <row r="18" spans="1:71" x14ac:dyDescent="0.25">
      <c r="A18" s="161" t="s">
        <v>73</v>
      </c>
      <c r="B18" s="273">
        <v>20</v>
      </c>
      <c r="C18" s="274">
        <v>20</v>
      </c>
      <c r="E18" s="210"/>
      <c r="F18" s="209" t="s">
        <v>3</v>
      </c>
      <c r="G18" s="279">
        <v>0.45</v>
      </c>
      <c r="H18" s="280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0.43166477916133789</v>
      </c>
      <c r="AC18" s="159">
        <f>SUM(AC4:AC16)</f>
        <v>0.41844149026418276</v>
      </c>
      <c r="AD18" s="159">
        <f>SUM(AD3:AD17)</f>
        <v>0.13288791690822829</v>
      </c>
      <c r="AE18" s="159">
        <f>IF((1-AB18-AC18-AD18)&lt;0,(1-AB18-AC18-AD18)-1,1-AB18-AC18-AD18)</f>
        <v>1.7005813666251007E-2</v>
      </c>
      <c r="AF18" s="197"/>
      <c r="AG18" s="157"/>
      <c r="AH18" s="160">
        <f>PRODUCT(AH3:AH17)</f>
        <v>0.12909541174368569</v>
      </c>
      <c r="AI18" s="159">
        <f>SUM(AI3:AI17)</f>
        <v>0.41755677710724071</v>
      </c>
      <c r="AJ18" s="159">
        <f>SUM(AJ3:AJ17)</f>
        <v>0.38051442044416584</v>
      </c>
      <c r="AK18" s="159">
        <f>IF((1-AH18-AI18-AJ18)&lt;0,(1-AH18-AI18-AJ18)-1,(1-AH18-AI18-AJ18))</f>
        <v>7.2833390704907797E-2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4.2504092459665466E-2</v>
      </c>
      <c r="BQ18" s="31">
        <f>BM8+1</f>
        <v>5</v>
      </c>
      <c r="BR18" s="31">
        <v>4</v>
      </c>
      <c r="BS18" s="107">
        <f>$H$30*H43</f>
        <v>7.9735276513649648E-3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2.3988164573164161E-2</v>
      </c>
      <c r="BQ19" s="31">
        <f>BQ15+1</f>
        <v>6</v>
      </c>
      <c r="BR19" s="31">
        <v>1</v>
      </c>
      <c r="BS19" s="107">
        <f>$H$31*H40</f>
        <v>1.691599385122992E-4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1.0028202450906369E-2</v>
      </c>
      <c r="BQ20" s="31">
        <f>BQ16+1</f>
        <v>6</v>
      </c>
      <c r="BR20" s="31">
        <v>2</v>
      </c>
      <c r="BS20" s="107">
        <f>$H$31*H41</f>
        <v>6.3054950014502858E-4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3.0728138027519584E-3</v>
      </c>
      <c r="BQ21" s="31">
        <f>BQ17+1</f>
        <v>6</v>
      </c>
      <c r="BR21" s="31">
        <v>3</v>
      </c>
      <c r="BS21" s="107">
        <f>$H$31*H42</f>
        <v>1.4008013367863023E-3</v>
      </c>
    </row>
    <row r="22" spans="1:71" x14ac:dyDescent="0.25">
      <c r="A22" s="26" t="s">
        <v>81</v>
      </c>
      <c r="B22" s="169">
        <f>(B6)/((B6)+(C6))</f>
        <v>0.5</v>
      </c>
      <c r="C22" s="170">
        <f>1-B22</f>
        <v>0.5</v>
      </c>
      <c r="V22" s="171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2"/>
        <v>6.7238697814120299E-4</v>
      </c>
      <c r="BQ22" s="31">
        <f>BQ18+1</f>
        <v>6</v>
      </c>
      <c r="BR22" s="31">
        <v>4</v>
      </c>
      <c r="BS22" s="107">
        <f>$H$31*H43</f>
        <v>2.0764069893639361E-3</v>
      </c>
    </row>
    <row r="23" spans="1:71" ht="15.75" thickBot="1" x14ac:dyDescent="0.3">
      <c r="A23" s="40" t="s">
        <v>82</v>
      </c>
      <c r="B23" s="56">
        <f>((B22^2.8)/((B22^2.8)+(C22^2.8)))*B21</f>
        <v>2.5</v>
      </c>
      <c r="C23" s="57">
        <f>B21-B23</f>
        <v>2.5</v>
      </c>
      <c r="D23" s="149">
        <f>SUM(D25:D30)</f>
        <v>1</v>
      </c>
      <c r="E23" s="149">
        <f>SUM(E25:E30)</f>
        <v>1</v>
      </c>
      <c r="H23" s="229">
        <f>SUM(H25:H35)</f>
        <v>0.99999987792235334</v>
      </c>
      <c r="I23" s="81"/>
      <c r="J23" s="229">
        <f>SUM(J25:J35)</f>
        <v>0.99999999999999967</v>
      </c>
      <c r="K23" s="229"/>
      <c r="L23" s="229">
        <f>SUM(L25:L35)</f>
        <v>0.99999999999999989</v>
      </c>
      <c r="M23" s="81"/>
      <c r="N23" s="229">
        <f>SUM(N25:N35)</f>
        <v>1</v>
      </c>
      <c r="O23" s="81"/>
      <c r="P23" s="229">
        <f>SUM(P25:P35)</f>
        <v>1</v>
      </c>
      <c r="Q23" s="81"/>
      <c r="R23" s="229">
        <f>SUM(R25:R35)</f>
        <v>1</v>
      </c>
      <c r="S23" s="81"/>
      <c r="T23" s="229">
        <f>SUM(T25:T35)</f>
        <v>1</v>
      </c>
      <c r="V23" s="171">
        <f>SUM(V25:V34)</f>
        <v>0.99897460937500004</v>
      </c>
      <c r="Y23" s="168">
        <f>SUM(Y25:Y35)</f>
        <v>9.716796875E-4</v>
      </c>
      <c r="Z23" s="81"/>
      <c r="AA23" s="168">
        <f>SUM(AA25:AA35)</f>
        <v>9.7216796875000001E-3</v>
      </c>
      <c r="AB23" s="81"/>
      <c r="AC23" s="168">
        <f>SUM(AC25:AC35)</f>
        <v>4.3774414062500003E-2</v>
      </c>
      <c r="AD23" s="81"/>
      <c r="AE23" s="168">
        <f>SUM(AE25:AE35)</f>
        <v>0.11682128906250001</v>
      </c>
      <c r="AF23" s="81"/>
      <c r="AG23" s="168">
        <f>SUM(AG25:AG35)</f>
        <v>0.20463867187499998</v>
      </c>
      <c r="AH23" s="81"/>
      <c r="AI23" s="168">
        <f>SUM(AI25:AI35)</f>
        <v>0.24588867187499996</v>
      </c>
      <c r="AJ23" s="81"/>
      <c r="AK23" s="168">
        <f>SUM(AK25:AK35)</f>
        <v>0.20528320312499998</v>
      </c>
      <c r="AL23" s="81"/>
      <c r="AM23" s="168">
        <f>SUM(AM25:AM35)</f>
        <v>0.11762695312499996</v>
      </c>
      <c r="AN23" s="81"/>
      <c r="AO23" s="168">
        <f>SUM(AO25:AO35)</f>
        <v>4.4311523437499993E-2</v>
      </c>
      <c r="AP23" s="81"/>
      <c r="AQ23" s="168">
        <f>SUM(AQ25:AQ35)</f>
        <v>9.9365234374999972E-3</v>
      </c>
      <c r="AR23" s="81"/>
      <c r="AS23" s="168">
        <f>SUM(AS25:AS35)</f>
        <v>1.0253906249999556E-3</v>
      </c>
      <c r="BI23" s="31">
        <f t="shared" ref="BI23:BI30" si="15">BI15+1</f>
        <v>2</v>
      </c>
      <c r="BJ23" s="31">
        <v>3</v>
      </c>
      <c r="BK23" s="107">
        <f t="shared" ref="BK23:BK30" si="16">$H$27*H42</f>
        <v>4.2801937779573834E-2</v>
      </c>
      <c r="BQ23" s="31">
        <f>BM9+1</f>
        <v>6</v>
      </c>
      <c r="BR23" s="31">
        <v>5</v>
      </c>
      <c r="BS23" s="107">
        <f>$H$31*H44</f>
        <v>2.17493407899761E-3</v>
      </c>
    </row>
    <row r="24" spans="1:71" ht="15.75" thickBot="1" x14ac:dyDescent="0.3">
      <c r="A24" s="26" t="s">
        <v>83</v>
      </c>
      <c r="B24" s="64">
        <f>B23/B21</f>
        <v>0.5</v>
      </c>
      <c r="C24" s="65">
        <f>C23/B21</f>
        <v>0.5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6.3445286943915533E-2</v>
      </c>
      <c r="BQ24" s="31">
        <f>BI49+1</f>
        <v>7</v>
      </c>
      <c r="BR24" s="31">
        <v>0</v>
      </c>
      <c r="BS24" s="107">
        <f t="shared" ref="BS24:BS30" si="17">$H$32*H39</f>
        <v>3.9607104690250144E-6</v>
      </c>
    </row>
    <row r="25" spans="1:71" x14ac:dyDescent="0.25">
      <c r="A25" s="26" t="s">
        <v>108</v>
      </c>
      <c r="B25" s="172">
        <f>1/(1+EXP(-3.1416*4*((B11/(B11+C8))-(3.1416/6))))</f>
        <v>0.23251449252298675</v>
      </c>
      <c r="C25" s="170">
        <f>1/(1+EXP(-3.1416*4*((C11/(C11+B8))-(3.1416/6))))</f>
        <v>0.6793166023460353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9.4131602063800252E-2</v>
      </c>
      <c r="I25" s="97">
        <v>0</v>
      </c>
      <c r="J25" s="98">
        <f t="shared" ref="J25:J35" si="18">Y25+AA25+AC25+AE25+AG25+AI25+AK25+AM25+AO25+AQ25+AS25</f>
        <v>0.21806644092363597</v>
      </c>
      <c r="K25" s="97">
        <v>0</v>
      </c>
      <c r="L25" s="98">
        <f>AB18</f>
        <v>0.43166477916133789</v>
      </c>
      <c r="M25" s="85">
        <v>0</v>
      </c>
      <c r="N25" s="173">
        <f>(1-$B$24)^$B$21</f>
        <v>3.125E-2</v>
      </c>
      <c r="O25" s="72">
        <v>0</v>
      </c>
      <c r="P25" s="173">
        <f t="shared" ref="P25:P30" si="19">N25</f>
        <v>3.125E-2</v>
      </c>
      <c r="Q25" s="28">
        <v>0</v>
      </c>
      <c r="R25" s="174">
        <f>P25*N25</f>
        <v>9.765625E-4</v>
      </c>
      <c r="S25" s="72">
        <v>0</v>
      </c>
      <c r="T25" s="175">
        <f>(1-$B$33)^(INT(C23*2*(1-C31)))</f>
        <v>0.995</v>
      </c>
      <c r="U25" s="138">
        <v>0</v>
      </c>
      <c r="V25" s="86">
        <f>R25*T25</f>
        <v>9.716796875E-4</v>
      </c>
      <c r="W25" s="134">
        <f>B31</f>
        <v>0.28228854946744131</v>
      </c>
      <c r="X25" s="28">
        <v>0</v>
      </c>
      <c r="Y25" s="176">
        <f>V25</f>
        <v>9.716796875E-4</v>
      </c>
      <c r="Z25" s="28">
        <v>0</v>
      </c>
      <c r="AA25" s="176">
        <f>((1-W25)^Z26)*V26</f>
        <v>6.9773608301285373E-3</v>
      </c>
      <c r="AB25" s="28">
        <v>0</v>
      </c>
      <c r="AC25" s="176">
        <f>(((1-$W$25)^AB27))*V27</f>
        <v>2.2548626443418214E-2</v>
      </c>
      <c r="AD25" s="28">
        <v>0</v>
      </c>
      <c r="AE25" s="176">
        <f>(((1-$W$25)^AB28))*V28</f>
        <v>4.3188847948569239E-2</v>
      </c>
      <c r="AF25" s="28">
        <v>0</v>
      </c>
      <c r="AG25" s="176">
        <f>(((1-$W$25)^AB29))*V29</f>
        <v>5.4298422067802943E-2</v>
      </c>
      <c r="AH25" s="28">
        <v>0</v>
      </c>
      <c r="AI25" s="176">
        <f>(((1-$W$25)^AB30))*V30</f>
        <v>4.68260901391572E-2</v>
      </c>
      <c r="AJ25" s="28">
        <v>0</v>
      </c>
      <c r="AK25" s="176">
        <f>(((1-$W$25)^AB31))*V31</f>
        <v>2.8057738696930269E-2</v>
      </c>
      <c r="AL25" s="28">
        <v>0</v>
      </c>
      <c r="AM25" s="176">
        <f>(((1-$W$25)^AB32))*V32</f>
        <v>1.153867586134321E-2</v>
      </c>
      <c r="AN25" s="28">
        <v>0</v>
      </c>
      <c r="AO25" s="176">
        <f>(((1-$W$25)^AB33))*V33</f>
        <v>3.1197204687111713E-3</v>
      </c>
      <c r="AP25" s="28">
        <v>0</v>
      </c>
      <c r="AQ25" s="176">
        <f>(((1-$W$25)^AB34))*V34</f>
        <v>5.0209204124622984E-4</v>
      </c>
      <c r="AR25" s="28">
        <v>0</v>
      </c>
      <c r="AS25" s="176">
        <f>(((1-$W$25)^AB35))*V35</f>
        <v>3.7186738828978154E-5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6.6455814025348753E-2</v>
      </c>
      <c r="BQ25" s="31">
        <f>BQ19+1</f>
        <v>7</v>
      </c>
      <c r="BR25" s="31">
        <v>1</v>
      </c>
      <c r="BS25" s="107">
        <f t="shared" si="17"/>
        <v>3.2927181116866173E-5</v>
      </c>
    </row>
    <row r="26" spans="1:71" x14ac:dyDescent="0.25">
      <c r="A26" s="40" t="s">
        <v>109</v>
      </c>
      <c r="B26" s="169">
        <f>1/(1+EXP(-3.1416*4*((B10/(B10+C9))-(3.1416/6))))</f>
        <v>0.23251449252298675</v>
      </c>
      <c r="C26" s="170">
        <f>1/(1+EXP(-3.1416*4*((C10/(C10+B9))-(3.1416/6))))</f>
        <v>0.6793166023460353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0.24607691593433095</v>
      </c>
      <c r="I26" s="138">
        <v>1</v>
      </c>
      <c r="J26" s="86">
        <f t="shared" si="18"/>
        <v>0.3586784859270854</v>
      </c>
      <c r="K26" s="138">
        <v>1</v>
      </c>
      <c r="L26" s="86">
        <f>AC18</f>
        <v>0.41844149026418276</v>
      </c>
      <c r="M26" s="85">
        <v>1</v>
      </c>
      <c r="N26" s="173">
        <f>(($B$24)^M26)*((1-($B$24))^($B$21-M26))*HLOOKUP($B$21,$AV$24:$BF$34,M26+1)</f>
        <v>0.15625</v>
      </c>
      <c r="O26" s="72">
        <v>1</v>
      </c>
      <c r="P26" s="173">
        <f t="shared" si="19"/>
        <v>0.15625</v>
      </c>
      <c r="Q26" s="28">
        <v>1</v>
      </c>
      <c r="R26" s="174">
        <f>N26*P25+P26*N25</f>
        <v>9.765625E-3</v>
      </c>
      <c r="S26" s="72">
        <v>1</v>
      </c>
      <c r="T26" s="175">
        <f t="shared" ref="T26:T35" si="20">(($B$33)^S26)*((1-($B$33))^(INT($C$23*2*(1-$C$31))-S26))*HLOOKUP(INT($C$23*2*(1-$C$31)),$AV$24:$BF$34,S26+1)</f>
        <v>5.0000000000000001E-3</v>
      </c>
      <c r="U26" s="138">
        <v>1</v>
      </c>
      <c r="V26" s="86">
        <f>R26*T25+T26*R25</f>
        <v>9.7216796875000001E-3</v>
      </c>
      <c r="W26" s="177"/>
      <c r="X26" s="28">
        <v>1</v>
      </c>
      <c r="Y26" s="174"/>
      <c r="Z26" s="28">
        <v>1</v>
      </c>
      <c r="AA26" s="176">
        <f>(1-((1-W25)^Z26))*V26</f>
        <v>2.7443188573714633E-3</v>
      </c>
      <c r="AB26" s="28">
        <v>1</v>
      </c>
      <c r="AC26" s="176">
        <f>((($W$25)^M26)*((1-($W$25))^($U$27-M26))*HLOOKUP($U$27,$AV$24:$BF$34,M26+1))*V27</f>
        <v>1.7737543539182988E-2</v>
      </c>
      <c r="AD26" s="28">
        <v>1</v>
      </c>
      <c r="AE26" s="176">
        <f>((($W$25)^M26)*((1-($W$25))^($U$28-M26))*HLOOKUP($U$28,$AV$24:$BF$34,M26+1))*V28</f>
        <v>5.0960802833192716E-2</v>
      </c>
      <c r="AF26" s="28">
        <v>1</v>
      </c>
      <c r="AG26" s="176">
        <f>((($W$25)^M26)*((1-($W$25))^($U$29-M26))*HLOOKUP($U$29,$AV$24:$BF$34,M26+1))*V29</f>
        <v>8.5426101492556084E-2</v>
      </c>
      <c r="AH26" s="28">
        <v>1</v>
      </c>
      <c r="AI26" s="176">
        <f>((($W$25)^M26)*((1-($W$25))^($U$30-M26))*HLOOKUP($U$30,$AV$24:$BF$34,M26+1))*V30</f>
        <v>9.2087628341486871E-2</v>
      </c>
      <c r="AJ26" s="28">
        <v>1</v>
      </c>
      <c r="AK26" s="176">
        <f>((($W$25)^M26)*((1-($W$25))^($U$31-M26))*HLOOKUP($U$31,$AV$24:$BF$34,M26+1))*V31</f>
        <v>6.6213615671444306E-2</v>
      </c>
      <c r="AL26" s="28">
        <v>1</v>
      </c>
      <c r="AM26" s="176">
        <f>((($W$25)^Q26)*((1-($W$25))^($U$32-Q26))*HLOOKUP($U$32,$AV$24:$BF$34,Q26+1))*V32</f>
        <v>3.1768550557185977E-2</v>
      </c>
      <c r="AN26" s="28">
        <v>1</v>
      </c>
      <c r="AO26" s="176">
        <f>((($W$25)^Q26)*((1-($W$25))^($U$33-Q26))*HLOOKUP($U$33,$AV$24:$BF$34,Q26+1))*V33</f>
        <v>9.8163278872353665E-3</v>
      </c>
      <c r="AP26" s="28">
        <v>1</v>
      </c>
      <c r="AQ26" s="176">
        <f>((($W$25)^Q26)*((1-($W$25))^($U$34-Q26))*HLOOKUP($U$34,$AV$24:$BF$34,Q26+1))*V34</f>
        <v>1.7773347565464774E-3</v>
      </c>
      <c r="AR26" s="28">
        <v>1</v>
      </c>
      <c r="AS26" s="176">
        <f>((($W$25)^Q26)*((1-($W$25))^($U$35-Q26))*HLOOKUP($U$35,$AV$24:$BF$34,Q26+1))*V35</f>
        <v>1.4626199088320959E-4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5.0727315842055913E-2</v>
      </c>
      <c r="BQ26" s="31">
        <f>BQ20+1</f>
        <v>7</v>
      </c>
      <c r="BR26" s="31">
        <v>2</v>
      </c>
      <c r="BS26" s="107">
        <f t="shared" si="17"/>
        <v>1.2273720230109459E-4</v>
      </c>
    </row>
    <row r="27" spans="1:71" x14ac:dyDescent="0.25">
      <c r="A27" s="26" t="s">
        <v>110</v>
      </c>
      <c r="B27" s="169">
        <f>1/(1+EXP(-3.1416*4*((B12/(B12+C7))-(3.1416/6))))</f>
        <v>0.23251449252298675</v>
      </c>
      <c r="C27" s="170">
        <f>1/(1+EXP(-3.1416*4*((C12/(C12+B7))-(3.1416/6))))</f>
        <v>0.6793166023460353</v>
      </c>
      <c r="D27" s="167">
        <f>D26</f>
        <v>0.25700000000000001</v>
      </c>
      <c r="E27" s="167">
        <f>E26</f>
        <v>0.25700000000000001</v>
      </c>
      <c r="G27" s="87">
        <v>2</v>
      </c>
      <c r="H27" s="126">
        <f>L25*J27+J26*L26+J25*L27</f>
        <v>0.29368516567870495</v>
      </c>
      <c r="I27" s="138">
        <v>2</v>
      </c>
      <c r="J27" s="86">
        <f t="shared" si="18"/>
        <v>0.26553199601420585</v>
      </c>
      <c r="K27" s="138">
        <v>2</v>
      </c>
      <c r="L27" s="86">
        <f>AD18</f>
        <v>0.13288791690822829</v>
      </c>
      <c r="M27" s="85">
        <v>2</v>
      </c>
      <c r="N27" s="173">
        <f>(($B$24)^M27)*((1-($B$24))^($B$21-M27))*HLOOKUP($B$21,$AV$24:$BF$34,M27+1)</f>
        <v>0.3125</v>
      </c>
      <c r="O27" s="72">
        <v>2</v>
      </c>
      <c r="P27" s="173">
        <f t="shared" si="19"/>
        <v>0.3125</v>
      </c>
      <c r="Q27" s="28">
        <v>2</v>
      </c>
      <c r="R27" s="174">
        <f>P25*N27+P26*N26+P27*N25</f>
        <v>4.39453125E-2</v>
      </c>
      <c r="S27" s="72">
        <v>2</v>
      </c>
      <c r="T27" s="175">
        <f t="shared" si="20"/>
        <v>0</v>
      </c>
      <c r="U27" s="138">
        <v>2</v>
      </c>
      <c r="V27" s="86">
        <f>R27*T25+T26*R26+R25*T27</f>
        <v>4.3774414062499996E-2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3.4882440798987956E-3</v>
      </c>
      <c r="AD27" s="28">
        <v>2</v>
      </c>
      <c r="AE27" s="176">
        <f>((($W$25)^M27)*((1-($W$25))^($U$28-M27))*HLOOKUP($U$28,$AV$24:$BF$34,M27+1))*V28</f>
        <v>2.0043780966297466E-2</v>
      </c>
      <c r="AF27" s="28">
        <v>2</v>
      </c>
      <c r="AG27" s="176">
        <f>((($W$25)^M27)*((1-($W$25))^($U$29-M27))*HLOOKUP($U$29,$AV$24:$BF$34,M27+1))*V29</f>
        <v>5.0399384583661708E-2</v>
      </c>
      <c r="AH27" s="28">
        <v>2</v>
      </c>
      <c r="AI27" s="176">
        <f>((($W$25)^M27)*((1-($W$25))^($U$30-M27))*HLOOKUP($U$30,$AV$24:$BF$34,M27+1))*V30</f>
        <v>7.2439371028917163E-2</v>
      </c>
      <c r="AJ27" s="28">
        <v>2</v>
      </c>
      <c r="AK27" s="176">
        <f>((($W$25)^M27)*((1-($W$25))^($U$31-M27))*HLOOKUP($U$31,$AV$24:$BF$34,M27+1))*V31</f>
        <v>6.5107451988599449E-2</v>
      </c>
      <c r="AL27" s="28">
        <v>2</v>
      </c>
      <c r="AM27" s="176">
        <f>((($W$25)^Q27)*((1-($W$25))^($U$32-Q27))*HLOOKUP($U$32,$AV$24:$BF$34,Q27+1))*V32</f>
        <v>3.7485390746448508E-2</v>
      </c>
      <c r="AN27" s="28">
        <v>2</v>
      </c>
      <c r="AO27" s="176">
        <f>((($W$25)^Q27)*((1-($W$25))^($U$33-Q27))*HLOOKUP($U$33,$AV$24:$BF$34,Q27+1))*V33</f>
        <v>1.3513271042490706E-2</v>
      </c>
      <c r="AP27" s="28">
        <v>2</v>
      </c>
      <c r="AQ27" s="176">
        <f>((($W$25)^Q27)*((1-($W$25))^($U$34-Q27))*HLOOKUP($U$34,$AV$24:$BF$34,Q27+1))*V34</f>
        <v>2.7962282054788687E-3</v>
      </c>
      <c r="AR27" s="28">
        <v>2</v>
      </c>
      <c r="AS27" s="176">
        <f>((($W$25)^Q27)*((1-($W$25))^($U$35-Q27))*HLOOKUP($U$35,$AV$24:$BF$34,Q27+1))*V35</f>
        <v>2.5887337241313463E-4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2.8629130287368382E-2</v>
      </c>
      <c r="BQ27" s="31">
        <f>BQ21+1</f>
        <v>7</v>
      </c>
      <c r="BR27" s="31">
        <v>3</v>
      </c>
      <c r="BS27" s="107">
        <f t="shared" si="17"/>
        <v>2.7266762881778439E-4</v>
      </c>
    </row>
    <row r="28" spans="1:71" x14ac:dyDescent="0.25">
      <c r="A28" s="26" t="s">
        <v>111</v>
      </c>
      <c r="B28" s="275">
        <v>0.9</v>
      </c>
      <c r="C28" s="276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0.21277929200640597</v>
      </c>
      <c r="I28" s="138">
        <v>3</v>
      </c>
      <c r="J28" s="86">
        <f t="shared" si="18"/>
        <v>0.11651924413027481</v>
      </c>
      <c r="K28" s="138">
        <v>3</v>
      </c>
      <c r="L28" s="86">
        <f>AE18</f>
        <v>1.7005813666251007E-2</v>
      </c>
      <c r="M28" s="85">
        <v>3</v>
      </c>
      <c r="N28" s="173">
        <f>(($B$24)^M28)*((1-($B$24))^($B$21-M28))*HLOOKUP($B$21,$AV$24:$BF$34,M28+1)</f>
        <v>0.3125</v>
      </c>
      <c r="O28" s="72">
        <v>3</v>
      </c>
      <c r="P28" s="173">
        <f t="shared" si="19"/>
        <v>0.3125</v>
      </c>
      <c r="Q28" s="28">
        <v>3</v>
      </c>
      <c r="R28" s="174">
        <f>P25*N28+P26*N27+P27*N26+P28*N25</f>
        <v>0.1171875</v>
      </c>
      <c r="S28" s="72">
        <v>3</v>
      </c>
      <c r="T28" s="175">
        <f t="shared" si="20"/>
        <v>0</v>
      </c>
      <c r="U28" s="138">
        <v>3</v>
      </c>
      <c r="V28" s="86">
        <f>R28*T25+R27*T26+R26*T27+R25*T28</f>
        <v>0.1168212890625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2.6278573144405764E-3</v>
      </c>
      <c r="AF28" s="28">
        <v>3</v>
      </c>
      <c r="AG28" s="176">
        <f>((($W$25)^M28)*((1-($W$25))^($U$29-M28))*HLOOKUP($U$29,$AV$24:$BF$34,M28+1))*V29</f>
        <v>1.3215310189646728E-2</v>
      </c>
      <c r="AH28" s="28">
        <v>3</v>
      </c>
      <c r="AI28" s="176">
        <f>((($W$25)^M28)*((1-($W$25))^($U$30-M28))*HLOOKUP($U$30,$AV$24:$BF$34,M28+1))*V30</f>
        <v>2.8491679987707214E-2</v>
      </c>
      <c r="AJ28" s="28">
        <v>3</v>
      </c>
      <c r="AK28" s="176">
        <f>((($W$25)^M28)*((1-($W$25))^($U$31-M28))*HLOOKUP($U$31,$AV$24:$BF$34,M28+1))*V31</f>
        <v>3.4143876191924771E-2</v>
      </c>
      <c r="AL28" s="28">
        <v>3</v>
      </c>
      <c r="AM28" s="176">
        <f>((($W$25)^Q28)*((1-($W$25))^($U$32-Q28))*HLOOKUP($U$32,$AV$24:$BF$34,Q28+1))*V32</f>
        <v>2.4572773575841499E-2</v>
      </c>
      <c r="AN28" s="28">
        <v>3</v>
      </c>
      <c r="AO28" s="176">
        <f>((($W$25)^Q28)*((1-($W$25))^($U$33-Q28))*HLOOKUP($U$33,$AV$24:$BF$34,Q28+1))*V33</f>
        <v>1.0630014829259102E-2</v>
      </c>
      <c r="AP28" s="28">
        <v>3</v>
      </c>
      <c r="AQ28" s="176">
        <f>((($W$25)^Q28)*((1-($W$25))^($U$34-Q28))*HLOOKUP($U$34,$AV$24:$BF$34,Q28+1))*V34</f>
        <v>2.5662134945885081E-3</v>
      </c>
      <c r="AR28" s="28">
        <v>3</v>
      </c>
      <c r="AS28" s="176">
        <f>((($W$25)^Q28)*((1-($W$25))^($U$35-Q28))*HLOOKUP($U$35,$AV$24:$BF$34,Q28+1))*V35</f>
        <v>2.7151854686642725E-4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1.1968348542859591E-2</v>
      </c>
      <c r="BQ28" s="31">
        <f>BQ22+1</f>
        <v>7</v>
      </c>
      <c r="BR28" s="31">
        <v>4</v>
      </c>
      <c r="BS28" s="107">
        <f t="shared" si="17"/>
        <v>4.0417506421676846E-4</v>
      </c>
    </row>
    <row r="29" spans="1:71" x14ac:dyDescent="0.25">
      <c r="A29" s="26" t="s">
        <v>112</v>
      </c>
      <c r="B29" s="169">
        <f>1/(1+EXP(-3.1416*4*((B14/(B14+C13))-(3.1416/6))))</f>
        <v>6.2199958135446112E-2</v>
      </c>
      <c r="C29" s="170">
        <f>1/(1+EXP(-3.1416*4*((C14/(C14+B13))-(3.1416/6))))</f>
        <v>6.2199958135446112E-2</v>
      </c>
      <c r="D29" s="167">
        <v>0.04</v>
      </c>
      <c r="E29" s="167">
        <v>0.04</v>
      </c>
      <c r="G29" s="87">
        <v>4</v>
      </c>
      <c r="H29" s="126">
        <f>J29*L25+J28*L26+J27*L27+J26*L28</f>
        <v>0.10463163857987159</v>
      </c>
      <c r="I29" s="138">
        <v>4</v>
      </c>
      <c r="J29" s="86">
        <f t="shared" si="18"/>
        <v>3.3566646621282149E-2</v>
      </c>
      <c r="K29" s="138">
        <v>4</v>
      </c>
      <c r="L29" s="86"/>
      <c r="M29" s="85">
        <v>4</v>
      </c>
      <c r="N29" s="173">
        <f>(($B$24)^M29)*((1-($B$24))^($B$21-M29))*HLOOKUP($B$21,$AV$24:$BF$34,M29+1)</f>
        <v>0.15625</v>
      </c>
      <c r="O29" s="72">
        <v>4</v>
      </c>
      <c r="P29" s="173">
        <f t="shared" si="19"/>
        <v>0.15625</v>
      </c>
      <c r="Q29" s="28">
        <v>4</v>
      </c>
      <c r="R29" s="174">
        <f>P25*N29+P26*N28+P27*N27+P28*N26+P29*N25</f>
        <v>0.205078125</v>
      </c>
      <c r="S29" s="72">
        <v>4</v>
      </c>
      <c r="T29" s="175">
        <f t="shared" si="20"/>
        <v>0</v>
      </c>
      <c r="U29" s="138">
        <v>4</v>
      </c>
      <c r="V29" s="86">
        <f>T29*R25+T28*R26+T27*R27+T26*R28+T25*R29</f>
        <v>0.20463867187499998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1.2994535413324991E-3</v>
      </c>
      <c r="AH29" s="28">
        <v>4</v>
      </c>
      <c r="AI29" s="176">
        <f>((($W$25)^M29)*((1-($W$25))^($U$30-M29))*HLOOKUP($U$30,$AV$24:$BF$34,M29+1))*V30</f>
        <v>5.6031396807535916E-3</v>
      </c>
      <c r="AJ29" s="28">
        <v>4</v>
      </c>
      <c r="AK29" s="176">
        <f>((($W$25)^M29)*((1-($W$25))^($U$31-M29))*HLOOKUP($U$31,$AV$24:$BF$34,M29+1))*V31</f>
        <v>1.0072040730570494E-2</v>
      </c>
      <c r="AL29" s="28">
        <v>4</v>
      </c>
      <c r="AM29" s="176">
        <f>((($W$25)^Q29)*((1-($W$25))^($U$32-Q29))*HLOOKUP($U$32,$AV$24:$BF$34,Q29+1))*V32</f>
        <v>9.6649044737533978E-3</v>
      </c>
      <c r="AN29" s="28">
        <v>4</v>
      </c>
      <c r="AO29" s="176">
        <f>((($W$25)^Q29)*((1-($W$25))^($U$33-Q29))*HLOOKUP($U$33,$AV$24:$BF$34,Q29+1))*V33</f>
        <v>5.2262149794710857E-3</v>
      </c>
      <c r="AP29" s="28">
        <v>4</v>
      </c>
      <c r="AQ29" s="176">
        <f>((($W$25)^Q29)*((1-($W$25))^($U$34-Q29))*HLOOKUP($U$34,$AV$24:$BF$34,Q29+1))*V34</f>
        <v>1.5140054219706935E-3</v>
      </c>
      <c r="AR29" s="28">
        <v>4</v>
      </c>
      <c r="AS29" s="176">
        <f>((($W$25)^Q29)*((1-($W$25))^($U$35-Q29))*HLOOKUP($U$35,$AV$24:$BF$34,Q29+1))*V35</f>
        <v>1.8688779343039037E-4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3.6673079526153068E-3</v>
      </c>
      <c r="BQ29" s="31">
        <f>BQ23+1</f>
        <v>7</v>
      </c>
      <c r="BR29" s="31">
        <v>5</v>
      </c>
      <c r="BS29" s="107">
        <f t="shared" si="17"/>
        <v>4.2335347817114462E-4</v>
      </c>
    </row>
    <row r="30" spans="1:71" x14ac:dyDescent="0.25">
      <c r="A30" s="26" t="s">
        <v>113</v>
      </c>
      <c r="B30" s="275">
        <f>IF(B17="TL",0.55,0.15)</f>
        <v>0.15</v>
      </c>
      <c r="C30" s="276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3.6909073977471021E-2</v>
      </c>
      <c r="I30" s="138">
        <v>5</v>
      </c>
      <c r="J30" s="86">
        <f t="shared" si="18"/>
        <v>6.6343357195268009E-3</v>
      </c>
      <c r="K30" s="138">
        <v>5</v>
      </c>
      <c r="L30" s="86"/>
      <c r="M30" s="85">
        <v>5</v>
      </c>
      <c r="N30" s="173">
        <f>(($B$24)^M30)*((1-($B$24))^($B$21-M30))*HLOOKUP($B$21,$AV$24:$BF$34,M30+1)</f>
        <v>3.125E-2</v>
      </c>
      <c r="O30" s="72">
        <v>5</v>
      </c>
      <c r="P30" s="173">
        <f t="shared" si="19"/>
        <v>3.125E-2</v>
      </c>
      <c r="Q30" s="28">
        <v>5</v>
      </c>
      <c r="R30" s="174">
        <f>P25*N30+P26*N29+P27*N28+P28*N27+P29*N26+P30*N25</f>
        <v>0.24609375</v>
      </c>
      <c r="S30" s="72">
        <v>5</v>
      </c>
      <c r="T30" s="175">
        <f t="shared" si="20"/>
        <v>0</v>
      </c>
      <c r="U30" s="138">
        <v>5</v>
      </c>
      <c r="V30" s="86">
        <f>T30*R25+T29*R26+T28*R27+T27*R28+T26*R29+T25*R30</f>
        <v>0.24588867187500002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4.4076269697793829E-4</v>
      </c>
      <c r="AJ30" s="28">
        <v>5</v>
      </c>
      <c r="AK30" s="176">
        <f>((($W$25)^M30)*((1-($W$25))^($U$31-M30))*HLOOKUP($U$31,$AV$24:$BF$34,M30+1))*V31</f>
        <v>1.5846043787653078E-3</v>
      </c>
      <c r="AL30" s="28">
        <v>5</v>
      </c>
      <c r="AM30" s="176">
        <f>((($W$25)^Q30)*((1-($W$25))^($U$32-Q30))*HLOOKUP($U$32,$AV$24:$BF$34,Q30+1))*V32</f>
        <v>2.2808262534583569E-3</v>
      </c>
      <c r="AN30" s="28">
        <v>5</v>
      </c>
      <c r="AO30" s="176">
        <f>((($W$25)^Q30)*((1-($W$25))^($U$33-Q30))*HLOOKUP($U$33,$AV$24:$BF$34,Q30+1))*V33</f>
        <v>1.6444498910142215E-3</v>
      </c>
      <c r="AP30" s="28">
        <v>5</v>
      </c>
      <c r="AQ30" s="176">
        <f>((($W$25)^Q30)*((1-($W$25))^($U$34-Q30))*HLOOKUP($U$34,$AV$24:$BF$34,Q30+1))*V34</f>
        <v>5.9548498792490743E-4</v>
      </c>
      <c r="AR30" s="28">
        <v>5</v>
      </c>
      <c r="AS30" s="176">
        <f>((($W$25)^Q30)*((1-($W$25))^($U$35-Q30))*HLOOKUP($U$35,$AV$24:$BF$34,Q30+1))*V35</f>
        <v>8.8207511386069115E-5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8.0247300046746596E-4</v>
      </c>
      <c r="BQ30" s="31">
        <f>BM10+1</f>
        <v>7</v>
      </c>
      <c r="BR30" s="31">
        <v>6</v>
      </c>
      <c r="BS30" s="107">
        <f t="shared" si="17"/>
        <v>3.2315585799353803E-4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0.28228854946744131</v>
      </c>
      <c r="C31" s="61">
        <f>(C25*E25)+(C26*E26)+(C27*E27)+(C28*E28)+(C29*E29)+(C30*E30)/(C25+C26+C27+C28+C29+C30)</f>
        <v>0.67275832555955561</v>
      </c>
      <c r="G31" s="87">
        <v>6</v>
      </c>
      <c r="H31" s="126">
        <f>J31*L25+J30*L26+J29*L27+J28*L28</f>
        <v>9.6115875593222426E-3</v>
      </c>
      <c r="I31" s="138">
        <v>6</v>
      </c>
      <c r="J31" s="86">
        <f t="shared" si="18"/>
        <v>9.1135518025398804E-4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0.205078125</v>
      </c>
      <c r="S31" s="72">
        <v>6</v>
      </c>
      <c r="T31" s="175">
        <f t="shared" si="20"/>
        <v>0</v>
      </c>
      <c r="U31" s="138">
        <v>6</v>
      </c>
      <c r="V31" s="86">
        <f>T31*R25+T30*R26+T29*R27+T28*R28+T27*R29+T26*R30+T25*R31</f>
        <v>0.20528320312499998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1.0387546676534513E-4</v>
      </c>
      <c r="AL31" s="28">
        <v>6</v>
      </c>
      <c r="AM31" s="176">
        <f>((($W$25)^Q31)*((1-($W$25))^($U$32-Q31))*HLOOKUP($U$32,$AV$24:$BF$34,Q31+1))*V32</f>
        <v>2.99029707179334E-4</v>
      </c>
      <c r="AN31" s="28">
        <v>6</v>
      </c>
      <c r="AO31" s="176">
        <f>((($W$25)^Q31)*((1-($W$25))^($U$33-Q31))*HLOOKUP($U$33,$AV$24:$BF$34,Q31+1))*V33</f>
        <v>3.2339554709754341E-4</v>
      </c>
      <c r="AP31" s="28">
        <v>6</v>
      </c>
      <c r="AQ31" s="176">
        <f>((($W$25)^Q31)*((1-($W$25))^($U$34-Q31))*HLOOKUP($U$34,$AV$24:$BF$34,Q31+1))*V34</f>
        <v>1.5614315320939062E-4</v>
      </c>
      <c r="AR31" s="28">
        <v>6</v>
      </c>
      <c r="AS31" s="176">
        <f>((($W$25)^Q31)*((1-($W$25))^($U$35-Q31))*HLOOKUP($U$35,$AV$24:$BF$34,Q31+1))*V35</f>
        <v>2.8911306002374981E-5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4.5967058655725937E-2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5.7625309176414863E-7</v>
      </c>
    </row>
    <row r="32" spans="1:71" x14ac:dyDescent="0.25">
      <c r="A32" s="26" t="s">
        <v>115</v>
      </c>
      <c r="B32" s="277">
        <f>IF(B17&lt;&gt;"TL",0.001,IF(B18&lt;5,0.1,IF(B18&lt;10,0.2,IF(B18&lt;14,0.3,0.35))))</f>
        <v>1E-3</v>
      </c>
      <c r="C32" s="278">
        <f>IF(C17&lt;&gt;"TL",0.001,IF(C18&lt;5,0.1,IF(C18&lt;10,0.2,IF(C18&lt;14,0.3,0.35))))</f>
        <v>1E-3</v>
      </c>
      <c r="G32" s="87">
        <v>7</v>
      </c>
      <c r="H32" s="126">
        <f>J32*L25+J31*L26+J30*L27+J29*L28</f>
        <v>1.8709068303628552E-3</v>
      </c>
      <c r="I32" s="138">
        <v>7</v>
      </c>
      <c r="J32" s="86">
        <f t="shared" si="18"/>
        <v>8.596211849690371E-5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0.1171875</v>
      </c>
      <c r="S32" s="72">
        <v>7</v>
      </c>
      <c r="T32" s="175">
        <f t="shared" si="20"/>
        <v>0</v>
      </c>
      <c r="U32" s="138">
        <v>7</v>
      </c>
      <c r="V32" s="86">
        <f>T32*R25+T31*R26+T30*R27+T29*R28+T28*R29+T27*R30+T26*R31+T25*R32</f>
        <v>0.117626953125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1.6801949789688508E-5</v>
      </c>
      <c r="AN32" s="28">
        <v>7</v>
      </c>
      <c r="AO32" s="176">
        <f>((($W$25)^Q32)*((1-($W$25))^($U$33-Q32))*HLOOKUP($U$33,$AV$24:$BF$34,Q32+1))*V33</f>
        <v>3.6342046385933742E-5</v>
      </c>
      <c r="AP32" s="28">
        <v>7</v>
      </c>
      <c r="AQ32" s="176">
        <f>((($W$25)^Q32)*((1-($W$25))^($U$34-Q32))*HLOOKUP($U$34,$AV$24:$BF$34,Q32+1))*V34</f>
        <v>2.632022194357885E-5</v>
      </c>
      <c r="AR32" s="28">
        <v>7</v>
      </c>
      <c r="AS32" s="176">
        <f>((($W$25)^Q32)*((1-($W$25))^($U$35-Q32))*HLOOKUP($U$35,$AV$24:$BF$34,Q32+1))*V35</f>
        <v>6.497900377702619E-6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4.8148230522112513E-2</v>
      </c>
      <c r="BQ32" s="31">
        <f t="shared" si="24"/>
        <v>8</v>
      </c>
      <c r="BR32" s="31">
        <v>1</v>
      </c>
      <c r="BS32" s="107">
        <f t="shared" si="25"/>
        <v>4.7906531088456568E-6</v>
      </c>
    </row>
    <row r="33" spans="1:71" x14ac:dyDescent="0.25">
      <c r="A33" s="26" t="s">
        <v>116</v>
      </c>
      <c r="B33" s="277">
        <f>IF(B17&lt;&gt;"CA",0.005,IF((B18-B16)&lt;0,0.1,0.1+0.048*(B18-B16)))</f>
        <v>5.0000000000000001E-3</v>
      </c>
      <c r="C33" s="278">
        <f>IF(C17&lt;&gt;"CA",0.005,IF((C18-C16)&lt;0,0.1,0.1+0.048*(C18-C16)))</f>
        <v>5.0000000000000001E-3</v>
      </c>
      <c r="G33" s="87">
        <v>8</v>
      </c>
      <c r="H33" s="126">
        <f>J33*L25+J32*L26+J31*L27+J30*L28</f>
        <v>2.7220263986240138E-4</v>
      </c>
      <c r="I33" s="138">
        <v>8</v>
      </c>
      <c r="J33" s="86">
        <f t="shared" si="18"/>
        <v>5.3331994879499605E-6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4.39453125E-2</v>
      </c>
      <c r="S33" s="72">
        <v>8</v>
      </c>
      <c r="T33" s="175">
        <f t="shared" si="20"/>
        <v>0</v>
      </c>
      <c r="U33" s="138">
        <v>8</v>
      </c>
      <c r="V33" s="86">
        <f>T33*R25+T32*R26+T31*R27+T30*R28+T29*R29+T28*R30+T27*R31+T26*R32+T25*R33</f>
        <v>4.43115234375E-2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1.7867458348601181E-6</v>
      </c>
      <c r="AP33" s="28">
        <v>8</v>
      </c>
      <c r="AQ33" s="176">
        <f>((($W$25)^Q33)*((1-($W$25))^($U$34-Q33))*HLOOKUP($U$34,$AV$24:$BF$34,Q33+1))*V34</f>
        <v>2.5880516705567523E-6</v>
      </c>
      <c r="AR33" s="28">
        <v>8</v>
      </c>
      <c r="AS33" s="176">
        <f>((($W$25)^Q33)*((1-($W$25))^($U$35-Q33))*HLOOKUP($U$35,$AV$24:$BF$34,Q33+1))*V35</f>
        <v>9.5840198253309035E-7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3.6752698507307169E-2</v>
      </c>
      <c r="BQ33" s="31">
        <f t="shared" si="24"/>
        <v>8</v>
      </c>
      <c r="BR33" s="31">
        <v>2</v>
      </c>
      <c r="BS33" s="107">
        <f t="shared" si="25"/>
        <v>1.7857324551647464E-5</v>
      </c>
    </row>
    <row r="34" spans="1:71" x14ac:dyDescent="0.25">
      <c r="A34" s="40" t="s">
        <v>117</v>
      </c>
      <c r="B34" s="56">
        <f>B23*2</f>
        <v>5</v>
      </c>
      <c r="C34" s="57">
        <f>C23*2</f>
        <v>5</v>
      </c>
      <c r="G34" s="87">
        <v>9</v>
      </c>
      <c r="H34" s="126">
        <f>J34*L25+J33*L26+J32*L27+J31*L28</f>
        <v>2.923827745920918E-5</v>
      </c>
      <c r="I34" s="138">
        <v>9</v>
      </c>
      <c r="J34" s="86">
        <f t="shared" si="18"/>
        <v>1.9687100373719795E-7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9.765625E-3</v>
      </c>
      <c r="S34" s="72">
        <v>9</v>
      </c>
      <c r="T34" s="175">
        <f t="shared" si="20"/>
        <v>0</v>
      </c>
      <c r="U34" s="138">
        <v>9</v>
      </c>
      <c r="V34" s="86">
        <f>T34*R25+T33*R26+T32*R27+T31*R28+T30*R29+T29*R30+T28*R31+T27*R32+T26*R33+T25*R34</f>
        <v>9.936523437499999E-3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1.1310292078555903E-7</v>
      </c>
      <c r="AR34" s="28">
        <v>9</v>
      </c>
      <c r="AS34" s="176">
        <f>((($W$25)^Q34)*((1-($W$25))^($U$35-Q34))*HLOOKUP($U$35,$AV$24:$BF$34,Q34+1))*V35</f>
        <v>8.3768082951638928E-8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2.0742232789414276E-2</v>
      </c>
      <c r="BQ34" s="31">
        <f t="shared" si="24"/>
        <v>8</v>
      </c>
      <c r="BR34" s="31">
        <v>3</v>
      </c>
      <c r="BS34" s="107">
        <f t="shared" si="25"/>
        <v>3.9671055321780746E-5</v>
      </c>
    </row>
    <row r="35" spans="1:71" ht="15.75" thickBot="1" x14ac:dyDescent="0.3">
      <c r="G35" s="88">
        <v>10</v>
      </c>
      <c r="H35" s="127">
        <f>J35*L25+J34*L26+J33*L27+J32*L28</f>
        <v>2.2543747620017132E-6</v>
      </c>
      <c r="I35" s="94">
        <v>10</v>
      </c>
      <c r="J35" s="89">
        <f t="shared" si="18"/>
        <v>3.2947461839350611E-9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9.765625E-4</v>
      </c>
      <c r="S35" s="72">
        <v>10</v>
      </c>
      <c r="T35" s="175">
        <f t="shared" si="20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1.0253906249999556E-3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3.2947461839350611E-9</v>
      </c>
      <c r="BI35" s="31">
        <f t="shared" si="22"/>
        <v>3</v>
      </c>
      <c r="BJ35" s="31">
        <v>8</v>
      </c>
      <c r="BK35" s="107">
        <f t="shared" si="23"/>
        <v>8.6712474004274134E-3</v>
      </c>
      <c r="BQ35" s="31">
        <f t="shared" si="24"/>
        <v>8</v>
      </c>
      <c r="BR35" s="31">
        <v>4</v>
      </c>
      <c r="BS35" s="107">
        <f t="shared" si="25"/>
        <v>5.8804381736648261E-5</v>
      </c>
    </row>
    <row r="36" spans="1:71" ht="15.75" x14ac:dyDescent="0.25">
      <c r="A36" s="283" t="s">
        <v>118</v>
      </c>
      <c r="B36" s="182">
        <f>SUM(BO4:BO14)</f>
        <v>8.7617061021976042E-2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</v>
      </c>
      <c r="BI36" s="31">
        <f t="shared" si="22"/>
        <v>3</v>
      </c>
      <c r="BJ36" s="31">
        <v>9</v>
      </c>
      <c r="BK36" s="107">
        <f t="shared" si="23"/>
        <v>2.6570194239249876E-3</v>
      </c>
      <c r="BQ36" s="31">
        <f t="shared" si="24"/>
        <v>8</v>
      </c>
      <c r="BR36" s="31">
        <v>5</v>
      </c>
      <c r="BS36" s="107">
        <f t="shared" si="25"/>
        <v>6.1594694339089635E-5</v>
      </c>
    </row>
    <row r="37" spans="1:71" ht="16.5" thickBot="1" x14ac:dyDescent="0.3">
      <c r="A37" s="110" t="s">
        <v>119</v>
      </c>
      <c r="B37" s="182">
        <f>SUM(BK4:BK59)</f>
        <v>0.83847230301501652</v>
      </c>
      <c r="G37" s="157"/>
      <c r="H37" s="229">
        <f>SUM(H39:H49)</f>
        <v>0.99955585355662901</v>
      </c>
      <c r="I37" s="230"/>
      <c r="J37" s="229">
        <f>SUM(J39:J49)</f>
        <v>1.0000000000000002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1</v>
      </c>
      <c r="S37" s="230"/>
      <c r="T37" s="229">
        <f>SUM(T39:T49)</f>
        <v>1</v>
      </c>
      <c r="U37" s="230"/>
      <c r="V37" s="171">
        <f>SUM(V39:V48)</f>
        <v>0.99887438476562496</v>
      </c>
      <c r="W37" s="157"/>
      <c r="X37" s="157"/>
      <c r="Y37" s="168">
        <f>SUM(Y39:Y49)</f>
        <v>9.6198718261718752E-4</v>
      </c>
      <c r="Z37" s="81"/>
      <c r="AA37" s="168">
        <f>SUM(AA39:AA49)</f>
        <v>9.6343741455078135E-3</v>
      </c>
      <c r="AB37" s="81"/>
      <c r="AC37" s="168">
        <f>SUM(AC39:AC49)</f>
        <v>4.3434519287109383E-2</v>
      </c>
      <c r="AD37" s="81"/>
      <c r="AE37" s="168">
        <f>SUM(AE39:AE49)</f>
        <v>0.11609179516601563</v>
      </c>
      <c r="AF37" s="81"/>
      <c r="AG37" s="168">
        <f>SUM(AG39:AG49)</f>
        <v>0.20376086730957033</v>
      </c>
      <c r="AH37" s="81"/>
      <c r="AI37" s="168">
        <f>SUM(AI39:AI49)</f>
        <v>0.24547500769042968</v>
      </c>
      <c r="AJ37" s="81"/>
      <c r="AK37" s="168">
        <f>SUM(AK39:AK49)</f>
        <v>0.20568721142578125</v>
      </c>
      <c r="AL37" s="81"/>
      <c r="AM37" s="168">
        <f>SUM(AM39:AM49)</f>
        <v>0.11850233935546876</v>
      </c>
      <c r="AN37" s="81"/>
      <c r="AO37" s="168">
        <f>SUM(AO39:AO49)</f>
        <v>4.504503625488282E-2</v>
      </c>
      <c r="AP37" s="81"/>
      <c r="AQ37" s="168">
        <f>SUM(AQ39:AQ49)</f>
        <v>1.0281246948242189E-2</v>
      </c>
      <c r="AR37" s="81"/>
      <c r="AS37" s="168">
        <f>SUM(AS39:AS49)</f>
        <v>1.1256152343750436E-3</v>
      </c>
      <c r="BI37" s="31">
        <f t="shared" si="22"/>
        <v>3</v>
      </c>
      <c r="BJ37" s="31">
        <v>10</v>
      </c>
      <c r="BK37" s="107">
        <f t="shared" si="23"/>
        <v>5.8140368274686987E-4</v>
      </c>
      <c r="BQ37" s="31">
        <f t="shared" si="24"/>
        <v>8</v>
      </c>
      <c r="BR37" s="31">
        <v>6</v>
      </c>
      <c r="BS37" s="107">
        <f t="shared" si="25"/>
        <v>4.7016706660790856E-5</v>
      </c>
    </row>
    <row r="38" spans="1:71" ht="16.5" thickBot="1" x14ac:dyDescent="0.3">
      <c r="A38" s="111" t="s">
        <v>120</v>
      </c>
      <c r="B38" s="182">
        <f>SUM(BS4:BS47)</f>
        <v>7.3464120282633147E-2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2.3676308943157628E-2</v>
      </c>
      <c r="BQ38" s="31">
        <f>BM11+1</f>
        <v>8</v>
      </c>
      <c r="BR38" s="31">
        <v>7</v>
      </c>
      <c r="BS38" s="107">
        <f t="shared" si="25"/>
        <v>2.6534962442440337E-5</v>
      </c>
    </row>
    <row r="39" spans="1:71" x14ac:dyDescent="0.25">
      <c r="G39" s="128">
        <v>0</v>
      </c>
      <c r="H39" s="129">
        <f>L39*J39</f>
        <v>2.1170003790391047E-3</v>
      </c>
      <c r="I39" s="97">
        <v>0</v>
      </c>
      <c r="J39" s="98">
        <f t="shared" ref="J39:J49" si="29">Y39+AA39+AC39+AE39+AG39+AI39+AK39+AM39+AO39+AQ39+AS39</f>
        <v>1.6398726728122089E-2</v>
      </c>
      <c r="K39" s="102">
        <v>0</v>
      </c>
      <c r="L39" s="98">
        <f>AH18</f>
        <v>0.12909541174368569</v>
      </c>
      <c r="M39" s="85">
        <v>0</v>
      </c>
      <c r="N39" s="173">
        <f>(1-$C$24)^$B$21</f>
        <v>3.125E-2</v>
      </c>
      <c r="O39" s="72">
        <v>0</v>
      </c>
      <c r="P39" s="173">
        <f t="shared" ref="P39:P44" si="30">N39</f>
        <v>3.125E-2</v>
      </c>
      <c r="Q39" s="28">
        <v>0</v>
      </c>
      <c r="R39" s="174">
        <f>P39*N39</f>
        <v>9.765625E-4</v>
      </c>
      <c r="S39" s="72">
        <v>0</v>
      </c>
      <c r="T39" s="175">
        <f>(1-$C$33)^(INT(B23*2*(1-B31)))</f>
        <v>0.98507487500000002</v>
      </c>
      <c r="U39" s="138">
        <v>0</v>
      </c>
      <c r="V39" s="86">
        <f>R39*T39</f>
        <v>9.6198718261718752E-4</v>
      </c>
      <c r="W39" s="134">
        <f>C31</f>
        <v>0.67275832555955561</v>
      </c>
      <c r="X39" s="28">
        <v>0</v>
      </c>
      <c r="Y39" s="176">
        <f>V39</f>
        <v>9.6198718261718752E-4</v>
      </c>
      <c r="Z39" s="28">
        <v>0</v>
      </c>
      <c r="AA39" s="176">
        <f>((1-W39)^Z40)*V40</f>
        <v>3.1527687275617025E-3</v>
      </c>
      <c r="AB39" s="28">
        <v>0</v>
      </c>
      <c r="AC39" s="176">
        <f>(((1-$W$39)^AB41))*V41</f>
        <v>4.6512772963077202E-3</v>
      </c>
      <c r="AD39" s="28">
        <v>0</v>
      </c>
      <c r="AE39" s="176">
        <f>(((1-$W$39)^AB42))*V42</f>
        <v>4.0682473058697476E-3</v>
      </c>
      <c r="AF39" s="28">
        <v>0</v>
      </c>
      <c r="AG39" s="176">
        <f>(((1-$W$39)^AB43))*V43</f>
        <v>2.3366582846844099E-3</v>
      </c>
      <c r="AH39" s="28">
        <v>0</v>
      </c>
      <c r="AI39" s="176">
        <f>(((1-$W$39)^AB44))*V44</f>
        <v>9.2119233008251561E-4</v>
      </c>
      <c r="AJ39" s="28">
        <v>0</v>
      </c>
      <c r="AK39" s="176">
        <f>(((1-$W$39)^AB45))*V45</f>
        <v>2.5259161377901013E-4</v>
      </c>
      <c r="AL39" s="28">
        <v>0</v>
      </c>
      <c r="AM39" s="176">
        <f>(((1-$W$39)^AB46))*V46</f>
        <v>4.7621949186226034E-5</v>
      </c>
      <c r="AN39" s="28">
        <v>0</v>
      </c>
      <c r="AO39" s="176">
        <f>(((1-$W$39)^AB47))*V47</f>
        <v>5.9237372977568796E-6</v>
      </c>
      <c r="AP39" s="28">
        <v>0</v>
      </c>
      <c r="AQ39" s="176">
        <f>(((1-$W$39)^AB48))*V48</f>
        <v>4.4244902924754704E-7</v>
      </c>
      <c r="AR39" s="28">
        <v>0</v>
      </c>
      <c r="AS39" s="176">
        <f>(((1-$W$39)^AB49))*V49</f>
        <v>1.5851706564575541E-8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1.8072694155480962E-2</v>
      </c>
      <c r="BQ39" s="31">
        <f t="shared" ref="BQ39:BQ46" si="31">BQ31+1</f>
        <v>9</v>
      </c>
      <c r="BR39" s="31">
        <v>0</v>
      </c>
      <c r="BS39" s="107">
        <f t="shared" ref="BS39:BS47" si="32">$H$34*H39</f>
        <v>6.189744446359635E-8</v>
      </c>
    </row>
    <row r="40" spans="1:71" x14ac:dyDescent="0.25">
      <c r="G40" s="91">
        <v>1</v>
      </c>
      <c r="H40" s="130">
        <f>L39*J40+L40*J39</f>
        <v>1.7599583572250936E-2</v>
      </c>
      <c r="I40" s="138">
        <v>1</v>
      </c>
      <c r="J40" s="86">
        <f t="shared" si="29"/>
        <v>8.3288661818144122E-2</v>
      </c>
      <c r="K40" s="95">
        <v>1</v>
      </c>
      <c r="L40" s="86">
        <f>AI18</f>
        <v>0.41755677710724071</v>
      </c>
      <c r="M40" s="85">
        <v>1</v>
      </c>
      <c r="N40" s="173">
        <f>(($C$24)^M26)*((1-($C$24))^($B$21-M26))*HLOOKUP($B$21,$AV$24:$BF$34,M26+1)</f>
        <v>0.15625</v>
      </c>
      <c r="O40" s="72">
        <v>1</v>
      </c>
      <c r="P40" s="173">
        <f t="shared" si="30"/>
        <v>0.15625</v>
      </c>
      <c r="Q40" s="28">
        <v>1</v>
      </c>
      <c r="R40" s="174">
        <f>P40*N39+P39*N40</f>
        <v>9.765625E-3</v>
      </c>
      <c r="S40" s="72">
        <v>1</v>
      </c>
      <c r="T40" s="175">
        <f t="shared" ref="T40:T49" si="33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9.6343741455078135E-3</v>
      </c>
      <c r="W40" s="177"/>
      <c r="X40" s="28">
        <v>1</v>
      </c>
      <c r="Y40" s="174"/>
      <c r="Z40" s="28">
        <v>1</v>
      </c>
      <c r="AA40" s="176">
        <f>(1-((1-W39)^Z40))*V40</f>
        <v>6.4816054179461114E-3</v>
      </c>
      <c r="AB40" s="28">
        <v>1</v>
      </c>
      <c r="AC40" s="176">
        <f>((($W$39)^M40)*((1-($W$39))^($U$27-M40))*HLOOKUP($U$27,$AV$24:$BF$34,M40+1))*V41</f>
        <v>1.912461504744346E-2</v>
      </c>
      <c r="AD40" s="28">
        <v>1</v>
      </c>
      <c r="AE40" s="176">
        <f>((($W$39)^M40)*((1-($W$39))^($U$28-M40))*HLOOKUP($U$28,$AV$24:$BF$34,M40+1))*V42</f>
        <v>2.5091063815197618E-2</v>
      </c>
      <c r="AF40" s="28">
        <v>1</v>
      </c>
      <c r="AG40" s="176">
        <f>((($W$39)^M40)*((1-($W$39))^($U$29-M40))*HLOOKUP($U$29,$AV$24:$BF$34,M40+1))*V43</f>
        <v>1.9215233728370876E-2</v>
      </c>
      <c r="AH40" s="28">
        <v>1</v>
      </c>
      <c r="AI40" s="176">
        <f>((($W$39)^M40)*((1-($W$39))^($U$30-M40))*HLOOKUP($U$30,$AV$24:$BF$34,M40+1))*V44</f>
        <v>9.4691455567864537E-3</v>
      </c>
      <c r="AJ40" s="28">
        <v>1</v>
      </c>
      <c r="AK40" s="176">
        <f>((($W$39)^M40)*((1-($W$39))^($U$31-M40))*HLOOKUP($U$31,$AV$24:$BF$34,M40+1))*V45</f>
        <v>3.1157360032506394E-3</v>
      </c>
      <c r="AL40" s="28">
        <v>1</v>
      </c>
      <c r="AM40" s="176">
        <f>((($W$39)^Q40)*((1-($W$39))^($U$32-Q40))*HLOOKUP($U$32,$AV$24:$BF$34,Q40+1))*V46</f>
        <v>6.8532359133148416E-4</v>
      </c>
      <c r="AN40" s="28">
        <v>1</v>
      </c>
      <c r="AO40" s="176">
        <f>((($W$39)^Q40)*((1-($W$39))^($U$33-Q40))*HLOOKUP($U$33,$AV$24:$BF$34,Q40+1))*V47</f>
        <v>9.7426309587445657E-5</v>
      </c>
      <c r="AP40" s="28">
        <v>1</v>
      </c>
      <c r="AQ40" s="176">
        <f>((($W$39)^Q40)*((1-($W$39))^($U$34-Q40))*HLOOKUP($U$34,$AV$24:$BF$34,Q40+1))*V48</f>
        <v>8.1864616331005381E-6</v>
      </c>
      <c r="AR40" s="28">
        <v>1</v>
      </c>
      <c r="AS40" s="176">
        <f>((($W$39)^Q40)*((1-($W$39))^($U$35-Q40))*HLOOKUP($U$35,$AV$24:$BF$34,Q40+1))*V49</f>
        <v>3.2588659692810904E-7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1.0199741638844335E-2</v>
      </c>
      <c r="BQ40" s="31">
        <f t="shared" si="31"/>
        <v>9</v>
      </c>
      <c r="BR40" s="31">
        <v>1</v>
      </c>
      <c r="BS40" s="107">
        <f t="shared" si="32"/>
        <v>5.1458150765201267E-7</v>
      </c>
    </row>
    <row r="41" spans="1:71" x14ac:dyDescent="0.25">
      <c r="G41" s="91">
        <v>2</v>
      </c>
      <c r="H41" s="130">
        <f>L39*J41+J40*L40+J39*L41</f>
        <v>6.5603054256469936E-2</v>
      </c>
      <c r="I41" s="138">
        <v>2</v>
      </c>
      <c r="J41" s="86">
        <f t="shared" si="29"/>
        <v>0.19044330645887322</v>
      </c>
      <c r="K41" s="95">
        <v>2</v>
      </c>
      <c r="L41" s="86">
        <f>AJ18</f>
        <v>0.38051442044416584</v>
      </c>
      <c r="M41" s="85">
        <v>2</v>
      </c>
      <c r="N41" s="173">
        <f>(($C$24)^M27)*((1-($C$24))^($B$21-M27))*HLOOKUP($B$21,$AV$24:$BF$34,M27+1)</f>
        <v>0.3125</v>
      </c>
      <c r="O41" s="72">
        <v>2</v>
      </c>
      <c r="P41" s="173">
        <f t="shared" si="30"/>
        <v>0.3125</v>
      </c>
      <c r="Q41" s="28">
        <v>2</v>
      </c>
      <c r="R41" s="174">
        <f>P41*N39+P40*N40+P39*N41</f>
        <v>4.39453125E-2</v>
      </c>
      <c r="S41" s="72">
        <v>2</v>
      </c>
      <c r="T41" s="175">
        <f t="shared" si="33"/>
        <v>7.4625000000000011E-5</v>
      </c>
      <c r="U41" s="138">
        <v>2</v>
      </c>
      <c r="V41" s="86">
        <f>R41*T39+T40*R40+R39*T41</f>
        <v>4.3434519287109383E-2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1.9658626943358203E-2</v>
      </c>
      <c r="AD41" s="28">
        <v>2</v>
      </c>
      <c r="AE41" s="176">
        <f>((($W$39)^M41)*((1-($W$39))^($U$28-M41))*HLOOKUP($U$28,$AV$24:$BF$34,M41+1))*V42</f>
        <v>5.158335076876764E-2</v>
      </c>
      <c r="AF41" s="28">
        <v>2</v>
      </c>
      <c r="AG41" s="176">
        <f>((($W$39)^M41)*((1-($W$39))^($U$29-M41))*HLOOKUP($U$29,$AV$24:$BF$34,M41+1))*V43</f>
        <v>5.9255327841901816E-2</v>
      </c>
      <c r="AH41" s="28">
        <v>2</v>
      </c>
      <c r="AI41" s="176">
        <f>((($W$39)^M41)*((1-($W$39))^($U$30-M41))*HLOOKUP($U$30,$AV$24:$BF$34,M41+1))*V44</f>
        <v>3.8934200664730655E-2</v>
      </c>
      <c r="AJ41" s="28">
        <v>2</v>
      </c>
      <c r="AK41" s="176">
        <f>((($W$39)^M41)*((1-($W$39))^($U$31-M41))*HLOOKUP($U$31,$AV$24:$BF$34,M41+1))*V45</f>
        <v>1.6013679645301444E-2</v>
      </c>
      <c r="AL41" s="28">
        <v>2</v>
      </c>
      <c r="AM41" s="176">
        <f>((($W$39)^Q41)*((1-($W$39))^($U$32-Q41))*HLOOKUP($U$32,$AV$24:$BF$34,Q41+1))*V46</f>
        <v>4.2267582748346392E-3</v>
      </c>
      <c r="AN41" s="28">
        <v>2</v>
      </c>
      <c r="AO41" s="176">
        <f>((($W$39)^Q41)*((1-($W$39))^($U$33-Q41))*HLOOKUP($U$33,$AV$24:$BF$34,Q41+1))*V47</f>
        <v>7.0102704233653153E-4</v>
      </c>
      <c r="AP41" s="28">
        <v>2</v>
      </c>
      <c r="AQ41" s="176">
        <f>((($W$39)^Q41)*((1-($W$39))^($U$34-Q41))*HLOOKUP($U$34,$AV$24:$BF$34,Q41+1))*V48</f>
        <v>6.732040141231574E-5</v>
      </c>
      <c r="AR41" s="28">
        <v>2</v>
      </c>
      <c r="AS41" s="176">
        <f>((($W$39)^Q41)*((1-($W$39))^($U$35-Q41))*HLOOKUP($U$35,$AV$24:$BF$34,Q41+1))*V49</f>
        <v>3.0148762299589279E-6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4.2639808389382987E-3</v>
      </c>
      <c r="BQ41" s="31">
        <f t="shared" si="31"/>
        <v>9</v>
      </c>
      <c r="BR41" s="31">
        <v>2</v>
      </c>
      <c r="BS41" s="107">
        <f t="shared" si="32"/>
        <v>1.9181203025222217E-6</v>
      </c>
    </row>
    <row r="42" spans="1:71" ht="15" customHeight="1" x14ac:dyDescent="0.25">
      <c r="G42" s="91">
        <v>3</v>
      </c>
      <c r="H42" s="130">
        <f>J42*L39+J41*L40+L42*J39+L41*J40</f>
        <v>0.14574089120456177</v>
      </c>
      <c r="I42" s="138">
        <v>3</v>
      </c>
      <c r="J42" s="86">
        <f t="shared" si="29"/>
        <v>0.2582050418025405</v>
      </c>
      <c r="K42" s="95">
        <v>3</v>
      </c>
      <c r="L42" s="86">
        <f>AK18</f>
        <v>7.2833390704907797E-2</v>
      </c>
      <c r="M42" s="85">
        <v>3</v>
      </c>
      <c r="N42" s="173">
        <f>(($C$24)^M28)*((1-($C$24))^($B$21-M28))*HLOOKUP($B$21,$AV$24:$BF$34,M28+1)</f>
        <v>0.3125</v>
      </c>
      <c r="O42" s="72">
        <v>3</v>
      </c>
      <c r="P42" s="173">
        <f t="shared" si="30"/>
        <v>0.3125</v>
      </c>
      <c r="Q42" s="28">
        <v>3</v>
      </c>
      <c r="R42" s="174">
        <f>P42*N39+P41*N40+P40*N41+P39*N42</f>
        <v>0.1171875</v>
      </c>
      <c r="S42" s="72">
        <v>3</v>
      </c>
      <c r="T42" s="175">
        <f t="shared" si="33"/>
        <v>1.2500000000000002E-7</v>
      </c>
      <c r="U42" s="138">
        <v>3</v>
      </c>
      <c r="V42" s="86">
        <f>R42*T39+R41*T40+R40*T41+R39*T42</f>
        <v>0.11609179516601563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3.5349133276180625E-2</v>
      </c>
      <c r="AF42" s="28">
        <v>3</v>
      </c>
      <c r="AG42" s="176">
        <f>((($W$39)^M42)*((1-($W$39))^($U$29-M42))*HLOOKUP($U$29,$AV$24:$BF$34,M42+1))*V43</f>
        <v>8.1213199607630113E-2</v>
      </c>
      <c r="AH42" s="28">
        <v>3</v>
      </c>
      <c r="AI42" s="176">
        <f>((($W$39)^M42)*((1-($W$39))^($U$30-M42))*HLOOKUP($U$30,$AV$24:$BF$34,M42+1))*V44</f>
        <v>8.00427014407388E-2</v>
      </c>
      <c r="AJ42" s="28">
        <v>3</v>
      </c>
      <c r="AK42" s="176">
        <f>((($W$39)^M42)*((1-($W$39))^($U$31-M42))*HLOOKUP($U$31,$AV$24:$BF$34,M42+1))*V45</f>
        <v>4.3895535097077241E-2</v>
      </c>
      <c r="AL42" s="28">
        <v>3</v>
      </c>
      <c r="AM42" s="176">
        <f>((($W$39)^Q42)*((1-($W$39))^($U$32-Q42))*HLOOKUP($U$32,$AV$24:$BF$34,Q42+1))*V46</f>
        <v>1.4482603335822276E-2</v>
      </c>
      <c r="AN42" s="28">
        <v>3</v>
      </c>
      <c r="AO42" s="176">
        <f>((($W$39)^Q42)*((1-($W$39))^($U$33-Q42))*HLOOKUP($U$33,$AV$24:$BF$34,Q42+1))*V47</f>
        <v>2.8824065882239857E-3</v>
      </c>
      <c r="AP42" s="28">
        <v>3</v>
      </c>
      <c r="AQ42" s="176">
        <f>((($W$39)^Q42)*((1-($W$39))^($U$34-Q42))*HLOOKUP($U$34,$AV$24:$BF$34,Q42+1))*V48</f>
        <v>3.2293413754337739E-4</v>
      </c>
      <c r="AR42" s="28">
        <v>3</v>
      </c>
      <c r="AS42" s="176">
        <f>((($W$39)^Q42)*((1-($W$39))^($U$35-Q42))*HLOOKUP($U$35,$AV$24:$BF$34,Q42+1))*V49</f>
        <v>1.652831932407686E-5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1.306557106391012E-3</v>
      </c>
      <c r="BQ42" s="31">
        <f t="shared" si="31"/>
        <v>9</v>
      </c>
      <c r="BR42" s="31">
        <v>3</v>
      </c>
      <c r="BS42" s="107">
        <f t="shared" si="32"/>
        <v>4.2612126141913958E-6</v>
      </c>
    </row>
    <row r="43" spans="1:71" ht="15" customHeight="1" x14ac:dyDescent="0.25">
      <c r="G43" s="91">
        <v>4</v>
      </c>
      <c r="H43" s="130">
        <f>J43*L39+J42*L40+J41*L41+J40*L42</f>
        <v>0.21603163645427509</v>
      </c>
      <c r="I43" s="138">
        <v>4</v>
      </c>
      <c r="J43" s="86">
        <f t="shared" si="29"/>
        <v>0.22993653247059839</v>
      </c>
      <c r="K43" s="95">
        <v>4</v>
      </c>
      <c r="L43" s="86"/>
      <c r="M43" s="85">
        <v>4</v>
      </c>
      <c r="N43" s="173">
        <f>(($C$24)^M29)*((1-($C$24))^($B$21-M29))*HLOOKUP($B$21,$AV$24:$BF$34,M29+1)</f>
        <v>0.15625</v>
      </c>
      <c r="O43" s="72">
        <v>4</v>
      </c>
      <c r="P43" s="173">
        <f t="shared" si="30"/>
        <v>0.15625</v>
      </c>
      <c r="Q43" s="28">
        <v>4</v>
      </c>
      <c r="R43" s="174">
        <f>P43*N39+P42*N40+P41*N41+P40*N42+P39*N43</f>
        <v>0.205078125</v>
      </c>
      <c r="S43" s="72">
        <v>4</v>
      </c>
      <c r="T43" s="175">
        <f t="shared" si="33"/>
        <v>0</v>
      </c>
      <c r="U43" s="138">
        <v>4</v>
      </c>
      <c r="V43" s="86">
        <f>T43*R39+T42*R40+T41*R41+T40*R42+T39*R43</f>
        <v>0.20376086730957033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4.1740447846983122E-2</v>
      </c>
      <c r="AH43" s="28">
        <v>4</v>
      </c>
      <c r="AI43" s="176">
        <f>((($W$39)^M43)*((1-($W$39))^($U$30-M43))*HLOOKUP($U$30,$AV$24:$BF$34,M43+1))*V44</f>
        <v>8.2277713996257926E-2</v>
      </c>
      <c r="AJ43" s="28">
        <v>4</v>
      </c>
      <c r="AK43" s="176">
        <f>((($W$39)^M43)*((1-($W$39))^($U$31-M43))*HLOOKUP($U$31,$AV$24:$BF$34,M43+1))*V45</f>
        <v>6.7681828900489349E-2</v>
      </c>
      <c r="AL43" s="28">
        <v>4</v>
      </c>
      <c r="AM43" s="176">
        <f>((($W$39)^Q43)*((1-($W$39))^($U$32-Q43))*HLOOKUP($U$32,$AV$24:$BF$34,Q43+1))*V46</f>
        <v>2.9773994973626861E-2</v>
      </c>
      <c r="AN43" s="28">
        <v>4</v>
      </c>
      <c r="AO43" s="176">
        <f>((($W$39)^Q43)*((1-($W$39))^($U$33-Q43))*HLOOKUP($U$33,$AV$24:$BF$34,Q43+1))*V47</f>
        <v>7.407228286216927E-3</v>
      </c>
      <c r="AP43" s="28">
        <v>4</v>
      </c>
      <c r="AQ43" s="176">
        <f>((($W$39)^Q43)*((1-($W$39))^($U$34-Q43))*HLOOKUP($U$34,$AV$24:$BF$34,Q43+1))*V48</f>
        <v>9.9585404278592694E-4</v>
      </c>
      <c r="AR43" s="28">
        <v>4</v>
      </c>
      <c r="AS43" s="176">
        <f>((($W$39)^Q43)*((1-($W$39))^($U$35-Q43))*HLOOKUP($U$35,$AV$24:$BF$34,Q43+1))*V49</f>
        <v>5.9464424238257363E-5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2.858982160742661E-4</v>
      </c>
      <c r="BQ43" s="31">
        <f t="shared" si="31"/>
        <v>9</v>
      </c>
      <c r="BR43" s="31">
        <v>4</v>
      </c>
      <c r="BS43" s="107">
        <f t="shared" si="32"/>
        <v>6.3163929266171035E-6</v>
      </c>
    </row>
    <row r="44" spans="1:71" ht="15" customHeight="1" thickBot="1" x14ac:dyDescent="0.3">
      <c r="G44" s="91">
        <v>5</v>
      </c>
      <c r="H44" s="130">
        <f>J44*L39+J43*L40+J42*L41+J41*L42</f>
        <v>0.22628250177965134</v>
      </c>
      <c r="I44" s="138">
        <v>5</v>
      </c>
      <c r="J44" s="86">
        <f t="shared" si="29"/>
        <v>0.14059036268725228</v>
      </c>
      <c r="K44" s="95">
        <v>5</v>
      </c>
      <c r="L44" s="86"/>
      <c r="M44" s="85">
        <v>5</v>
      </c>
      <c r="N44" s="173">
        <f>(($C$24)^M30)*((1-($C$24))^($B$21-M30))*HLOOKUP($B$21,$AV$24:$BF$34,M30+1)</f>
        <v>3.125E-2</v>
      </c>
      <c r="O44" s="72">
        <v>5</v>
      </c>
      <c r="P44" s="173">
        <f t="shared" si="30"/>
        <v>3.125E-2</v>
      </c>
      <c r="Q44" s="28">
        <v>5</v>
      </c>
      <c r="R44" s="174">
        <f>P44*N39+P43*N40+P42*N41+P41*N42+P40*N43+P39*N44</f>
        <v>0.24609375</v>
      </c>
      <c r="S44" s="72">
        <v>5</v>
      </c>
      <c r="T44" s="175">
        <f t="shared" si="33"/>
        <v>0</v>
      </c>
      <c r="U44" s="138">
        <v>5</v>
      </c>
      <c r="V44" s="86">
        <f>T44*R39+T43*R40+T42*R41+T41*R42+T40*R43+T39*R44</f>
        <v>0.24547500769042968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3.3830053701833347E-2</v>
      </c>
      <c r="AJ44" s="28">
        <v>5</v>
      </c>
      <c r="AK44" s="176">
        <f>((($W$39)^M44)*((1-($W$39))^($U$31-M44))*HLOOKUP($U$31,$AV$24:$BF$34,M44+1))*V45</f>
        <v>5.5657353495406743E-2</v>
      </c>
      <c r="AL44" s="28">
        <v>5</v>
      </c>
      <c r="AM44" s="176">
        <f>((($W$39)^Q44)*((1-($W$39))^($U$32-Q44))*HLOOKUP($U$32,$AV$24:$BF$34,Q44+1))*V46</f>
        <v>3.672644024559521E-2</v>
      </c>
      <c r="AN44" s="28">
        <v>5</v>
      </c>
      <c r="AO44" s="176">
        <f>((($W$39)^Q44)*((1-($W$39))^($U$33-Q44))*HLOOKUP($U$33,$AV$24:$BF$34,Q44+1))*V47</f>
        <v>1.2182493583419421E-2</v>
      </c>
      <c r="AP44" s="28">
        <v>5</v>
      </c>
      <c r="AQ44" s="176">
        <f>((($W$39)^Q44)*((1-($W$39))^($U$34-Q44))*HLOOKUP($U$34,$AV$24:$BF$34,Q44+1))*V48</f>
        <v>2.0473220578398669E-3</v>
      </c>
      <c r="AR44" s="28">
        <v>5</v>
      </c>
      <c r="AS44" s="176">
        <f>((($W$39)^Q44)*((1-($W$39))^($U$35-Q44))*HLOOKUP($U$35,$AV$24:$BF$34,Q44+1))*V49</f>
        <v>1.466996031576916E-4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6.375188371418445E-3</v>
      </c>
      <c r="BQ44" s="31">
        <f t="shared" si="31"/>
        <v>9</v>
      </c>
      <c r="BR44" s="31">
        <v>5</v>
      </c>
      <c r="BS44" s="107">
        <f t="shared" si="32"/>
        <v>6.6161105711974412E-6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0.17272685777242217</v>
      </c>
      <c r="I45" s="138">
        <v>6</v>
      </c>
      <c r="J45" s="86">
        <f t="shared" si="29"/>
        <v>5.9818423044771037E-2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0.205078125</v>
      </c>
      <c r="S45" s="72">
        <v>6</v>
      </c>
      <c r="T45" s="175">
        <f t="shared" si="33"/>
        <v>0</v>
      </c>
      <c r="U45" s="138">
        <v>6</v>
      </c>
      <c r="V45" s="86">
        <f>T45*R39+T44*R40+T43*R41+T42*R42+T41*R43+T40*R44+T39*R45</f>
        <v>0.20568721142578125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1.9070486670476849E-2</v>
      </c>
      <c r="AL45" s="28">
        <v>6</v>
      </c>
      <c r="AM45" s="176">
        <f>((($W$39)^Q45)*((1-($W$39))^($U$32-Q45))*HLOOKUP($U$32,$AV$24:$BF$34,Q45+1))*V46</f>
        <v>2.5167962368727769E-2</v>
      </c>
      <c r="AN45" s="28">
        <v>6</v>
      </c>
      <c r="AO45" s="176">
        <f>((($W$39)^Q45)*((1-($W$39))^($U$33-Q45))*HLOOKUP($U$33,$AV$24:$BF$34,Q45+1))*V47</f>
        <v>1.2522662338676046E-2</v>
      </c>
      <c r="AP45" s="28">
        <v>6</v>
      </c>
      <c r="AQ45" s="176">
        <f>((($W$39)^Q45)*((1-($W$39))^($U$34-Q45))*HLOOKUP($U$34,$AV$24:$BF$34,Q45+1))*V48</f>
        <v>2.8059852337341601E-3</v>
      </c>
      <c r="AR45" s="28">
        <v>6</v>
      </c>
      <c r="AS45" s="176">
        <f>((($W$39)^Q45)*((1-($W$39))^($U$35-Q45))*HLOOKUP($U$35,$AV$24:$BF$34,Q45+1))*V49</f>
        <v>2.5132643315621203E-4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3.5979845466323295E-3</v>
      </c>
      <c r="BQ45" s="31">
        <f t="shared" si="31"/>
        <v>9</v>
      </c>
      <c r="BR45" s="31">
        <v>6</v>
      </c>
      <c r="BS45" s="107">
        <f t="shared" si="32"/>
        <v>5.0502357922074407E-6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9.7482384652308213E-2</v>
      </c>
      <c r="I46" s="138">
        <v>7</v>
      </c>
      <c r="J46" s="86">
        <f t="shared" si="29"/>
        <v>1.7514790020947545E-2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0.1171875</v>
      </c>
      <c r="S46" s="72">
        <v>7</v>
      </c>
      <c r="T46" s="175">
        <f t="shared" si="33"/>
        <v>0</v>
      </c>
      <c r="U46" s="138">
        <v>7</v>
      </c>
      <c r="V46" s="86">
        <f>T46*R39+T45*R40+T44*R41+T43*R42+T42*R43+T41*R44+T40*R45+T39*R46</f>
        <v>0.11850233935546875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7.3916346163442909E-3</v>
      </c>
      <c r="AN46" s="28">
        <v>7</v>
      </c>
      <c r="AO46" s="176">
        <f>((($W$39)^Q46)*((1-($W$39))^($U$33-Q46))*HLOOKUP($U$33,$AV$24:$BF$34,Q46+1))*V47</f>
        <v>7.3556168811156585E-3</v>
      </c>
      <c r="AP46" s="28">
        <v>7</v>
      </c>
      <c r="AQ46" s="176">
        <f>((($W$39)^Q46)*((1-($W$39))^($U$34-Q46))*HLOOKUP($U$34,$AV$24:$BF$34,Q46+1))*V48</f>
        <v>2.4722880560714361E-3</v>
      </c>
      <c r="AR46" s="28">
        <v>7</v>
      </c>
      <c r="AS46" s="176">
        <f>((($W$39)^Q46)*((1-($W$39))^($U$35-Q46))*HLOOKUP($U$35,$AV$24:$BF$34,Q46+1))*V49</f>
        <v>2.9525046741615943E-4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1.5041299778819324E-3</v>
      </c>
      <c r="BQ46" s="31">
        <f t="shared" si="31"/>
        <v>9</v>
      </c>
      <c r="BR46" s="31">
        <v>7</v>
      </c>
      <c r="BS46" s="107">
        <f t="shared" si="32"/>
        <v>2.8502170098495423E-6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4.0752308735787855E-2</v>
      </c>
      <c r="I47" s="138">
        <v>8</v>
      </c>
      <c r="J47" s="86">
        <f t="shared" si="29"/>
        <v>3.3885330649019887E-3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4.39453125E-2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4.5045036254882813E-2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1.890251488009045E-3</v>
      </c>
      <c r="AP47" s="28">
        <v>8</v>
      </c>
      <c r="AQ47" s="176">
        <f>((($W$39)^Q47)*((1-($W$39))^($U$34-Q47))*HLOOKUP($U$34,$AV$24:$BF$34,Q47+1))*V48</f>
        <v>1.2706605719973848E-3</v>
      </c>
      <c r="AR47" s="28">
        <v>8</v>
      </c>
      <c r="AS47" s="176">
        <f>((($W$39)^Q47)*((1-($W$39))^($U$35-Q47))*HLOOKUP($U$35,$AV$24:$BF$34,Q47+1))*V49</f>
        <v>2.2762100489555909E-4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4.6089130926458931E-4</v>
      </c>
      <c r="BQ47" s="31">
        <f>BM12+1</f>
        <v>9</v>
      </c>
      <c r="BR47" s="31">
        <v>8</v>
      </c>
      <c r="BS47" s="107">
        <f t="shared" si="32"/>
        <v>1.1915273099203193E-6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1.2487208688733653E-2</v>
      </c>
      <c r="I48" s="138">
        <v>9</v>
      </c>
      <c r="J48" s="86">
        <f t="shared" si="29"/>
        <v>3.9424322949234403E-4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9.765625E-3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1.0281246948242189E-2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2.9025353619537367E-4</v>
      </c>
      <c r="AR48" s="28">
        <v>9</v>
      </c>
      <c r="AS48" s="176">
        <f>((($W$39)^Q48)*((1-($W$39))^($U$35-Q48))*HLOOKUP($U$35,$AV$24:$BF$34,Q48+1))*V49</f>
        <v>1.0398969329697035E-4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1.0085131562817805E-4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2.732426061128947E-3</v>
      </c>
      <c r="I49" s="94">
        <v>10</v>
      </c>
      <c r="J49" s="89">
        <f t="shared" si="29"/>
        <v>2.1378674356665328E-5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9.765625E-4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1.1256152343750436E-3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2.1378674356665328E-5</v>
      </c>
      <c r="BI49" s="31">
        <f>BQ14+1</f>
        <v>6</v>
      </c>
      <c r="BJ49" s="31">
        <v>0</v>
      </c>
      <c r="BK49" s="107">
        <f>$H$31*H39</f>
        <v>2.0347734506252732E-5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85"/>
      <c r="J50" s="285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85"/>
      <c r="X50" s="157"/>
      <c r="Y50" s="157"/>
      <c r="BI50" s="31">
        <f>BI45+1</f>
        <v>6</v>
      </c>
      <c r="BJ50" s="31">
        <v>7</v>
      </c>
      <c r="BK50" s="107">
        <f>$H$31*H46</f>
        <v>9.3696047557719115E-4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3.9169438365855772E-4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1.2002189968329299E-4</v>
      </c>
    </row>
    <row r="53" spans="1:63" x14ac:dyDescent="0.25">
      <c r="BI53" s="31">
        <f>BI48+1</f>
        <v>6</v>
      </c>
      <c r="BJ53" s="31">
        <v>10</v>
      </c>
      <c r="BK53" s="107">
        <f>$H$31*H49</f>
        <v>2.6262952335914864E-5</v>
      </c>
    </row>
    <row r="54" spans="1:63" x14ac:dyDescent="0.25">
      <c r="BI54" s="31">
        <f>BI51+1</f>
        <v>7</v>
      </c>
      <c r="BJ54" s="31">
        <v>8</v>
      </c>
      <c r="BK54" s="107">
        <f>$H$32*H47</f>
        <v>7.6243772766841343E-5</v>
      </c>
    </row>
    <row r="55" spans="1:63" x14ac:dyDescent="0.25">
      <c r="BI55" s="31">
        <f>BI52+1</f>
        <v>7</v>
      </c>
      <c r="BJ55" s="31">
        <v>9</v>
      </c>
      <c r="BK55" s="107">
        <f>$H$32*H48</f>
        <v>2.3362404027918185E-5</v>
      </c>
    </row>
    <row r="56" spans="1:63" x14ac:dyDescent="0.25">
      <c r="BI56" s="31">
        <f>BI53+1</f>
        <v>7</v>
      </c>
      <c r="BJ56" s="31">
        <v>10</v>
      </c>
      <c r="BK56" s="107">
        <f>$H$32*H49</f>
        <v>5.1121145812276198E-6</v>
      </c>
    </row>
    <row r="57" spans="1:63" x14ac:dyDescent="0.25">
      <c r="BI57" s="31">
        <f>BI55+1</f>
        <v>8</v>
      </c>
      <c r="BJ57" s="31">
        <v>9</v>
      </c>
      <c r="BK57" s="107">
        <f>$H$33*H48</f>
        <v>3.3990511695860159E-6</v>
      </c>
    </row>
    <row r="58" spans="1:63" x14ac:dyDescent="0.25">
      <c r="BI58" s="31">
        <f>BI56+1</f>
        <v>8</v>
      </c>
      <c r="BJ58" s="31">
        <v>10</v>
      </c>
      <c r="BK58" s="107">
        <f>$H$33*H49</f>
        <v>7.4377358706812271E-7</v>
      </c>
    </row>
    <row r="59" spans="1:63" x14ac:dyDescent="0.25">
      <c r="BI59" s="31">
        <f>BI58+1</f>
        <v>9</v>
      </c>
      <c r="BJ59" s="31">
        <v>10</v>
      </c>
      <c r="BK59" s="107">
        <f>$H$34*H49</f>
        <v>7.989143131206221E-8</v>
      </c>
    </row>
  </sheetData>
  <mergeCells count="1">
    <mergeCell ref="B3:C3"/>
  </mergeCells>
  <conditionalFormatting sqref="H49">
    <cfRule type="cellIs" dxfId="97" priority="1" operator="greaterThan">
      <formula>0.15</formula>
    </cfRule>
  </conditionalFormatting>
  <conditionalFormatting sqref="H39:H49">
    <cfRule type="cellIs" dxfId="96" priority="2" operator="greaterThan">
      <formula>0.15</formula>
    </cfRule>
  </conditionalFormatting>
  <conditionalFormatting sqref="H49">
    <cfRule type="cellIs" dxfId="95" priority="3" operator="greaterThan">
      <formula>0.15</formula>
    </cfRule>
  </conditionalFormatting>
  <conditionalFormatting sqref="H39:H49">
    <cfRule type="cellIs" dxfId="94" priority="4" operator="greaterThan">
      <formula>0.15</formula>
    </cfRule>
  </conditionalFormatting>
  <conditionalFormatting sqref="H35">
    <cfRule type="cellIs" dxfId="93" priority="5" operator="greaterThan">
      <formula>0.15</formula>
    </cfRule>
  </conditionalFormatting>
  <conditionalFormatting sqref="H25:H35">
    <cfRule type="cellIs" dxfId="92" priority="6" operator="greaterThan">
      <formula>0.15</formula>
    </cfRule>
  </conditionalFormatting>
  <conditionalFormatting sqref="H35">
    <cfRule type="cellIs" dxfId="91" priority="7" operator="greaterThan">
      <formula>0.15</formula>
    </cfRule>
  </conditionalFormatting>
  <conditionalFormatting sqref="H25:H35">
    <cfRule type="cellIs" dxfId="90" priority="8" operator="greaterThan">
      <formula>0.15</formula>
    </cfRule>
  </conditionalFormatting>
  <conditionalFormatting sqref="V49">
    <cfRule type="cellIs" dxfId="89" priority="9" operator="greaterThan">
      <formula>0.15</formula>
    </cfRule>
  </conditionalFormatting>
  <conditionalFormatting sqref="V35">
    <cfRule type="cellIs" dxfId="88" priority="10" operator="greaterThan">
      <formula>0.15</formula>
    </cfRule>
  </conditionalFormatting>
  <conditionalFormatting sqref="V25:V35 V39:V49">
    <cfRule type="cellIs" dxfId="87" priority="11" operator="greaterThan">
      <formula>0.15</formula>
    </cfRule>
  </conditionalFormatting>
  <conditionalFormatting sqref="V49">
    <cfRule type="cellIs" dxfId="86" priority="12" operator="greaterThan">
      <formula>0.15</formula>
    </cfRule>
  </conditionalFormatting>
  <conditionalFormatting sqref="V35">
    <cfRule type="cellIs" dxfId="85" priority="13" operator="greaterThan">
      <formula>0.15</formula>
    </cfRule>
  </conditionalFormatting>
  <conditionalFormatting sqref="V25:V35 V39:V49">
    <cfRule type="cellIs" dxfId="84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4D98B-6D19-4530-8BC8-F04AC0B98E88}">
  <sheetPr>
    <tabColor rgb="FF92D050"/>
  </sheetPr>
  <dimension ref="A1:BS59"/>
  <sheetViews>
    <sheetView zoomScale="90" zoomScaleNormal="90" workbookViewId="0">
      <selection activeCell="E14" sqref="E14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87" t="s">
        <v>186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0</v>
      </c>
      <c r="Q1" s="263">
        <f>COUNTIF(F10:H10,"CAB")+COUNTIF(E9:I9,"CAB")</f>
        <v>0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87" t="s">
        <v>188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3.0700000000000003</v>
      </c>
      <c r="S2" s="166">
        <f>SUM(S4:S15)</f>
        <v>3.67</v>
      </c>
      <c r="T2" s="219">
        <f>SUM(T4:T16)</f>
        <v>0.47939882141903795</v>
      </c>
      <c r="U2" s="219">
        <f>SUM(U4:U16)</f>
        <v>1.013701028759713</v>
      </c>
      <c r="V2" s="157"/>
      <c r="W2" s="157"/>
      <c r="X2" s="253">
        <f>SUM(X4:X16)</f>
        <v>0.25753393148192261</v>
      </c>
      <c r="Y2" s="254">
        <f>SUM(Y4:Y16)</f>
        <v>0.56248716102198248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86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189</v>
      </c>
      <c r="B3" s="292" t="s">
        <v>5</v>
      </c>
      <c r="C3" s="292"/>
      <c r="D3" s="31" t="str">
        <f>IF(B3="Sol","SI",IF(B3="Lluvia","SI","NO"))</f>
        <v>SI</v>
      </c>
      <c r="E3" s="211"/>
      <c r="F3" s="212"/>
      <c r="G3" s="281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1" t="s">
        <v>151</v>
      </c>
      <c r="F4" s="281" t="s">
        <v>151</v>
      </c>
      <c r="G4" s="281" t="s">
        <v>151</v>
      </c>
      <c r="H4" s="281" t="s">
        <v>33</v>
      </c>
      <c r="I4" s="281" t="s">
        <v>151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1</v>
      </c>
      <c r="Q4" s="214">
        <f>COUNTIF(E8:I9,"IMP")</f>
        <v>2</v>
      </c>
      <c r="R4" s="221">
        <f t="shared" ref="R4:R14" si="0">IF(P4+Q4=0,0,N4)</f>
        <v>0.45</v>
      </c>
      <c r="S4" s="221">
        <f t="shared" ref="S4:S16" si="1">R4*$N$2/$R$2</f>
        <v>0.53794788273615635</v>
      </c>
      <c r="T4" s="226">
        <f>IF(S4=0,0,S4*(P4^2.7/(P4^2.7+Q4^2.7))*P4/L4)</f>
        <v>1.1957555510739445E-2</v>
      </c>
      <c r="U4" s="228">
        <f>IF(S4=0,0,S4*Q4^2.7/(P4^2.7+Q4^2.7)*Q4/L4)</f>
        <v>0.15540084989057321</v>
      </c>
      <c r="V4" s="218">
        <f>$G$17</f>
        <v>0.56999999999999995</v>
      </c>
      <c r="W4" s="216">
        <f>$H$17</f>
        <v>0.56999999999999995</v>
      </c>
      <c r="X4" s="251">
        <f>V4*T4</f>
        <v>6.8158066411214829E-3</v>
      </c>
      <c r="Y4" s="252">
        <f>W4*U4</f>
        <v>8.8578484437626726E-2</v>
      </c>
      <c r="Z4" s="190"/>
      <c r="AA4" s="244">
        <f>X4</f>
        <v>6.8158066411214829E-3</v>
      </c>
      <c r="AB4" s="245">
        <f>1-AA4</f>
        <v>0.99318419335887853</v>
      </c>
      <c r="AC4" s="245">
        <f>PRODUCT(AB5:AB16)*AA4</f>
        <v>5.2762129065816307E-3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8.8578484437626726E-2</v>
      </c>
      <c r="AH4" s="247">
        <f t="shared" ref="AH4:AH16" si="2">(1-AG4)</f>
        <v>0.91142151556237327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3.2622165436359377E-4</v>
      </c>
      <c r="BM4" s="31">
        <v>0</v>
      </c>
      <c r="BN4" s="31">
        <v>0</v>
      </c>
      <c r="BO4" s="107">
        <f>H25*H39</f>
        <v>1.2168529404780357E-4</v>
      </c>
      <c r="BQ4" s="31">
        <v>1</v>
      </c>
      <c r="BR4" s="31">
        <v>0</v>
      </c>
      <c r="BS4" s="107">
        <f>$H$26*H39</f>
        <v>1.0816274509973139E-3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1" t="s">
        <v>138</v>
      </c>
      <c r="F5" s="281" t="s">
        <v>151</v>
      </c>
      <c r="G5" s="281" t="s">
        <v>1</v>
      </c>
      <c r="H5" s="281" t="s">
        <v>151</v>
      </c>
      <c r="I5" s="281" t="s">
        <v>2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1</v>
      </c>
      <c r="Q5" s="214">
        <f>COUNTIF(E10:I11,"IMP")</f>
        <v>1</v>
      </c>
      <c r="R5" s="221">
        <f t="shared" si="0"/>
        <v>0.35</v>
      </c>
      <c r="S5" s="221">
        <f t="shared" si="1"/>
        <v>0.41840390879478823</v>
      </c>
      <c r="T5" s="226">
        <f t="shared" ref="T5:T9" si="5">IF(S5=0,0,S5*(P5^2.7/(P5^2.7+Q5^2.7))*P5/L5)</f>
        <v>2.6150244299674264E-2</v>
      </c>
      <c r="U5" s="228">
        <f t="shared" ref="U5:U9" si="6">IF(S5=0,0,S5*Q5^2.7/(P5^2.7+Q5^2.7)*Q5/L5)</f>
        <v>2.6150244299674264E-2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1.4905639250814329E-2</v>
      </c>
      <c r="Y5" s="252">
        <f t="shared" si="7"/>
        <v>1.4905639250814329E-2</v>
      </c>
      <c r="Z5" s="199"/>
      <c r="AA5" s="244">
        <f t="shared" ref="AA5:AA16" si="8">X5</f>
        <v>1.4905639250814329E-2</v>
      </c>
      <c r="AB5" s="245">
        <f t="shared" ref="AB5:AB16" si="9">1-AA5</f>
        <v>0.98509436074918566</v>
      </c>
      <c r="AC5" s="245">
        <f>PRODUCT(AB6:AB16)*AA5*PRODUCT(AB4)</f>
        <v>1.1633425765737658E-2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2.866708744410469E-3</v>
      </c>
      <c r="AE5" s="183"/>
      <c r="AF5" s="197"/>
      <c r="AG5" s="246">
        <f t="shared" ref="AG5:AG16" si="10">Y5</f>
        <v>1.4905639250814329E-2</v>
      </c>
      <c r="AH5" s="247">
        <f t="shared" si="2"/>
        <v>0.98509436074918566</v>
      </c>
      <c r="AI5" s="247">
        <f>AG5*PRODUCT(AH3:AH4)*PRODUCT(AH6:AH17)</f>
        <v>8.2845011812474282E-3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4.4292255097921895E-3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4.0448411986997922E-4</v>
      </c>
      <c r="BM5" s="31">
        <v>1</v>
      </c>
      <c r="BN5" s="31">
        <v>1</v>
      </c>
      <c r="BO5" s="107">
        <f>$H$26*H40</f>
        <v>2.8996954745476875E-3</v>
      </c>
      <c r="BQ5" s="31">
        <f>BQ4+1</f>
        <v>2</v>
      </c>
      <c r="BR5" s="31">
        <v>0</v>
      </c>
      <c r="BS5" s="107">
        <f>$H$27*H39</f>
        <v>4.3537921283265234E-3</v>
      </c>
    </row>
    <row r="6" spans="1:71" ht="15.75" x14ac:dyDescent="0.25">
      <c r="A6" s="2" t="s">
        <v>31</v>
      </c>
      <c r="B6" s="269">
        <v>13.25</v>
      </c>
      <c r="C6" s="270">
        <v>8</v>
      </c>
      <c r="E6" s="211"/>
      <c r="F6" s="281" t="s">
        <v>1</v>
      </c>
      <c r="G6" s="281" t="s">
        <v>1</v>
      </c>
      <c r="H6" s="281" t="s">
        <v>33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2</v>
      </c>
      <c r="Q6" s="214">
        <f>COUNTIF(E9:I11,"IMP")</f>
        <v>2</v>
      </c>
      <c r="R6" s="221">
        <f t="shared" si="0"/>
        <v>0.45</v>
      </c>
      <c r="S6" s="221">
        <f t="shared" si="1"/>
        <v>0.53794788273615635</v>
      </c>
      <c r="T6" s="226">
        <f t="shared" si="5"/>
        <v>4.1380606364319721E-2</v>
      </c>
      <c r="U6" s="228">
        <f t="shared" si="6"/>
        <v>4.1380606364319721E-2</v>
      </c>
      <c r="V6" s="218">
        <f>$G$18</f>
        <v>0.45</v>
      </c>
      <c r="W6" s="216">
        <f>$H$18</f>
        <v>0.45</v>
      </c>
      <c r="X6" s="251">
        <f t="shared" si="7"/>
        <v>1.8621272863943876E-2</v>
      </c>
      <c r="Y6" s="252">
        <f t="shared" si="7"/>
        <v>1.8621272863943876E-2</v>
      </c>
      <c r="Z6" s="199"/>
      <c r="AA6" s="244">
        <f t="shared" si="8"/>
        <v>1.8621272863943876E-2</v>
      </c>
      <c r="AB6" s="245">
        <f t="shared" si="9"/>
        <v>0.98137872713605612</v>
      </c>
      <c r="AC6" s="245">
        <f>PRODUCT(AB7:AB16)*AA6*PRODUCT(AB4:AB5)</f>
        <v>1.4588397017124289E-2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3.3180636933369499E-3</v>
      </c>
      <c r="AE6" s="183"/>
      <c r="AF6" s="197"/>
      <c r="AG6" s="246">
        <f t="shared" si="10"/>
        <v>1.8621272863943876E-2</v>
      </c>
      <c r="AH6" s="247">
        <f t="shared" si="2"/>
        <v>0.98137872713605612</v>
      </c>
      <c r="AI6" s="247">
        <f>AG6*PRODUCT(AH3:AH5)*PRODUCT(AH7:AH17)</f>
        <v>1.0388822239861451E-2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5.3571558797873E-3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3.2713711392237871E-4</v>
      </c>
      <c r="BM6" s="31">
        <f>BI14+1</f>
        <v>2</v>
      </c>
      <c r="BN6" s="31">
        <v>2</v>
      </c>
      <c r="BO6" s="107">
        <f>$H$27*H41</f>
        <v>1.4472083836450935E-2</v>
      </c>
      <c r="BQ6" s="31">
        <f>BM5+1</f>
        <v>2</v>
      </c>
      <c r="BR6" s="31">
        <v>1</v>
      </c>
      <c r="BS6" s="107">
        <f>$H$27*H40</f>
        <v>1.1671922083698223E-2</v>
      </c>
    </row>
    <row r="7" spans="1:71" ht="15.75" x14ac:dyDescent="0.25">
      <c r="A7" s="5" t="s">
        <v>36</v>
      </c>
      <c r="B7" s="269">
        <v>4.75</v>
      </c>
      <c r="C7" s="270">
        <v>6.75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2</v>
      </c>
      <c r="Q7" s="214">
        <f>COUNTIF(E4:I4,"IMP")+COUNTIF(F5:H5,"IMP")</f>
        <v>1</v>
      </c>
      <c r="R7" s="221">
        <f t="shared" si="0"/>
        <v>0.04</v>
      </c>
      <c r="S7" s="221">
        <f t="shared" si="1"/>
        <v>4.7817589576547234E-2</v>
      </c>
      <c r="T7" s="226">
        <f t="shared" si="5"/>
        <v>1.036005665937155E-2</v>
      </c>
      <c r="U7" s="228">
        <f t="shared" si="6"/>
        <v>7.9717036738262989E-4</v>
      </c>
      <c r="V7" s="218">
        <f>$G$18</f>
        <v>0.45</v>
      </c>
      <c r="W7" s="216">
        <f>$H$18</f>
        <v>0.45</v>
      </c>
      <c r="X7" s="251">
        <f t="shared" si="7"/>
        <v>4.662025496717198E-3</v>
      </c>
      <c r="Y7" s="252">
        <f t="shared" si="7"/>
        <v>3.5872666532218343E-4</v>
      </c>
      <c r="Z7" s="199"/>
      <c r="AA7" s="244">
        <f t="shared" si="8"/>
        <v>4.662025496717198E-3</v>
      </c>
      <c r="AB7" s="245">
        <f t="shared" si="9"/>
        <v>0.99533797450328276</v>
      </c>
      <c r="AC7" s="245">
        <f>PRODUCT(AB8:AB$16)*AA7*PRODUCT(AB$4:AB6)</f>
        <v>3.6011310008625583E-3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8.0219345600940741E-4</v>
      </c>
      <c r="AE7" s="183"/>
      <c r="AF7" s="197"/>
      <c r="AG7" s="246">
        <f t="shared" si="10"/>
        <v>3.5872666532218343E-4</v>
      </c>
      <c r="AH7" s="247">
        <f t="shared" si="2"/>
        <v>0.99964127333467778</v>
      </c>
      <c r="AI7" s="247">
        <f>AG7*PRODUCT(AH3:AH6)*PRODUCT(AH8:AH17)</f>
        <v>1.9647761258525704E-4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1.0124619403408706E-4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2.0198666494896026E-4</v>
      </c>
      <c r="BM7" s="31">
        <f>BI23+1</f>
        <v>3</v>
      </c>
      <c r="BN7" s="31">
        <v>3</v>
      </c>
      <c r="BO7" s="107">
        <f>$H$28*H42</f>
        <v>2.8156805834337703E-2</v>
      </c>
      <c r="BQ7" s="31">
        <f>BQ5+1</f>
        <v>3</v>
      </c>
      <c r="BR7" s="31">
        <v>0</v>
      </c>
      <c r="BS7" s="107">
        <f>$H$28*H39</f>
        <v>1.0473495826619234E-2</v>
      </c>
    </row>
    <row r="8" spans="1:71" ht="15.75" x14ac:dyDescent="0.25">
      <c r="A8" s="5" t="s">
        <v>39</v>
      </c>
      <c r="B8" s="269">
        <v>7</v>
      </c>
      <c r="C8" s="270">
        <v>9.25</v>
      </c>
      <c r="E8" s="213"/>
      <c r="F8" s="214"/>
      <c r="G8" s="282" t="s">
        <v>33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3</v>
      </c>
      <c r="Q8" s="214">
        <f>COUNTIF(E10:I11,"RAP")</f>
        <v>5</v>
      </c>
      <c r="R8" s="221">
        <f t="shared" si="0"/>
        <v>0.5</v>
      </c>
      <c r="S8" s="221">
        <f t="shared" si="1"/>
        <v>0.59771986970684043</v>
      </c>
      <c r="T8" s="226">
        <f t="shared" si="5"/>
        <v>4.508290716102975E-2</v>
      </c>
      <c r="U8" s="228">
        <f t="shared" si="6"/>
        <v>0.29843673996505904</v>
      </c>
      <c r="V8" s="218">
        <f>$G$17</f>
        <v>0.56999999999999995</v>
      </c>
      <c r="W8" s="216">
        <f>$H$17</f>
        <v>0.56999999999999995</v>
      </c>
      <c r="X8" s="251">
        <f t="shared" si="7"/>
        <v>2.5697257081786957E-2</v>
      </c>
      <c r="Y8" s="252">
        <f t="shared" si="7"/>
        <v>0.17010894178008365</v>
      </c>
      <c r="Z8" s="199"/>
      <c r="AA8" s="244">
        <f t="shared" si="8"/>
        <v>2.5697257081786957E-2</v>
      </c>
      <c r="AB8" s="245">
        <f t="shared" si="9"/>
        <v>0.97430274291821306</v>
      </c>
      <c r="AC8" s="245">
        <f>PRODUCT(AB9:AB$16)*AA8*PRODUCT(AB$4:AB7)</f>
        <v>2.0278120236132298E-2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3.9823492307632406E-3</v>
      </c>
      <c r="AE8" s="183"/>
      <c r="AF8" s="197"/>
      <c r="AG8" s="246">
        <f t="shared" si="10"/>
        <v>0.17010894178008365</v>
      </c>
      <c r="AH8" s="247">
        <f t="shared" si="2"/>
        <v>0.82989105821991638</v>
      </c>
      <c r="AI8" s="247">
        <f>AG8*PRODUCT(AH3:AH7)*PRODUCT(AH9:AH17)</f>
        <v>0.11222759304141182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3.4827485642484869E-2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1.0061038887843048E-4</v>
      </c>
      <c r="BM8" s="31">
        <f>BI31+1</f>
        <v>4</v>
      </c>
      <c r="BN8" s="31">
        <v>4</v>
      </c>
      <c r="BO8" s="107">
        <f>$H$29*H43</f>
        <v>2.7770049763249729E-2</v>
      </c>
      <c r="BQ8" s="31">
        <f>BQ6+1</f>
        <v>3</v>
      </c>
      <c r="BR8" s="31">
        <v>1</v>
      </c>
      <c r="BS8" s="107">
        <f>$H$28*H40</f>
        <v>2.8078011909867206E-2</v>
      </c>
    </row>
    <row r="9" spans="1:71" ht="15.75" x14ac:dyDescent="0.25">
      <c r="A9" s="5" t="s">
        <v>42</v>
      </c>
      <c r="B9" s="269">
        <v>5</v>
      </c>
      <c r="C9" s="270">
        <v>11.5</v>
      </c>
      <c r="E9" s="282" t="s">
        <v>151</v>
      </c>
      <c r="F9" s="282" t="s">
        <v>33</v>
      </c>
      <c r="G9" s="282" t="s">
        <v>151</v>
      </c>
      <c r="H9" s="282" t="s">
        <v>151</v>
      </c>
      <c r="I9" s="282" t="s">
        <v>6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3</v>
      </c>
      <c r="Q9" s="214">
        <f>COUNTIF(E10:I11,"RAP")</f>
        <v>5</v>
      </c>
      <c r="R9" s="221">
        <f t="shared" si="0"/>
        <v>0.5</v>
      </c>
      <c r="S9" s="221">
        <f t="shared" si="1"/>
        <v>0.59771986970684043</v>
      </c>
      <c r="T9" s="226">
        <f t="shared" si="5"/>
        <v>4.508290716102975E-2</v>
      </c>
      <c r="U9" s="228">
        <f t="shared" si="6"/>
        <v>0.29843673996505904</v>
      </c>
      <c r="V9" s="218">
        <f>$G$17</f>
        <v>0.56999999999999995</v>
      </c>
      <c r="W9" s="216">
        <f>$H$17</f>
        <v>0.56999999999999995</v>
      </c>
      <c r="X9" s="251">
        <f t="shared" si="7"/>
        <v>2.5697257081786957E-2</v>
      </c>
      <c r="Y9" s="252">
        <f t="shared" si="7"/>
        <v>0.17010894178008365</v>
      </c>
      <c r="Z9" s="199"/>
      <c r="AA9" s="244">
        <f t="shared" si="8"/>
        <v>2.5697257081786957E-2</v>
      </c>
      <c r="AB9" s="245">
        <f t="shared" si="9"/>
        <v>0.97430274291821306</v>
      </c>
      <c r="AC9" s="245">
        <f>PRODUCT(AB10:AB$16)*AA9*PRODUCT(AB$4:AB8)</f>
        <v>2.0278120236132291E-2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3.4475133467109045E-3</v>
      </c>
      <c r="AE9" s="183"/>
      <c r="AF9" s="197"/>
      <c r="AG9" s="246">
        <f t="shared" si="10"/>
        <v>0.17010894178008365</v>
      </c>
      <c r="AH9" s="247">
        <f t="shared" si="2"/>
        <v>0.82989105821991638</v>
      </c>
      <c r="AI9" s="247">
        <f>AG9*PRODUCT(AH3:AH8)*PRODUCT(AH10:AH17)</f>
        <v>0.11222759304141182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1.1823361303864195E-2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3.9937596809260087E-5</v>
      </c>
      <c r="BM9" s="31">
        <f>BI38+1</f>
        <v>5</v>
      </c>
      <c r="BN9" s="31">
        <v>5</v>
      </c>
      <c r="BO9" s="107">
        <f>$H$30*H44</f>
        <v>1.5411073070526759E-2</v>
      </c>
      <c r="BQ9" s="31">
        <f>BM6+1</f>
        <v>3</v>
      </c>
      <c r="BR9" s="31">
        <v>2</v>
      </c>
      <c r="BS9" s="107">
        <f>$H$28*H41</f>
        <v>3.4814089693761548E-2</v>
      </c>
    </row>
    <row r="10" spans="1:71" ht="15.75" x14ac:dyDescent="0.25">
      <c r="A10" s="6" t="s">
        <v>45</v>
      </c>
      <c r="B10" s="269">
        <v>7.25</v>
      </c>
      <c r="C10" s="270">
        <v>11.25</v>
      </c>
      <c r="E10" s="282" t="s">
        <v>1</v>
      </c>
      <c r="F10" s="282" t="s">
        <v>1</v>
      </c>
      <c r="G10" s="282" t="s">
        <v>33</v>
      </c>
      <c r="H10" s="282" t="s">
        <v>1</v>
      </c>
      <c r="I10" s="282" t="s">
        <v>1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0.22713355048859935</v>
      </c>
      <c r="T10" s="226">
        <f>S10*G13</f>
        <v>0.14162444912818548</v>
      </c>
      <c r="U10" s="228">
        <f>S10*G14</f>
        <v>8.5509101360413869E-2</v>
      </c>
      <c r="V10" s="218">
        <f>$G$18</f>
        <v>0.45</v>
      </c>
      <c r="W10" s="216">
        <f>$H$18</f>
        <v>0.45</v>
      </c>
      <c r="X10" s="251">
        <f t="shared" si="7"/>
        <v>6.3731002107683468E-2</v>
      </c>
      <c r="Y10" s="252">
        <f t="shared" si="7"/>
        <v>3.8479095612186244E-2</v>
      </c>
      <c r="Z10" s="199"/>
      <c r="AA10" s="244">
        <f t="shared" si="8"/>
        <v>6.3731002107683468E-2</v>
      </c>
      <c r="AB10" s="245">
        <f t="shared" si="9"/>
        <v>0.93626899789231655</v>
      </c>
      <c r="AC10" s="245">
        <f>PRODUCT(AB11:AB$16)*AA10*PRODUCT(AB$4:AB9)</f>
        <v>5.2334123385336148E-2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5.3350646005919065E-3</v>
      </c>
      <c r="AE10" s="183"/>
      <c r="AF10" s="197"/>
      <c r="AG10" s="246">
        <f t="shared" si="10"/>
        <v>3.8479095612186244E-2</v>
      </c>
      <c r="AH10" s="247">
        <f t="shared" si="2"/>
        <v>0.96152090438781379</v>
      </c>
      <c r="AI10" s="247">
        <f>AG10*PRODUCT(AH3:AH9)*PRODUCT(AH11:AH17)</f>
        <v>2.191087475756626E-2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1.4314955714023619E-3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1.2230514282887216E-5</v>
      </c>
      <c r="BM10" s="31">
        <f>BI44+1</f>
        <v>6</v>
      </c>
      <c r="BN10" s="31">
        <v>6</v>
      </c>
      <c r="BO10" s="107">
        <f>$H$31*H45</f>
        <v>4.8576637957372824E-3</v>
      </c>
      <c r="BQ10" s="31">
        <f>BQ7+1</f>
        <v>4</v>
      </c>
      <c r="BR10" s="31">
        <v>0</v>
      </c>
      <c r="BS10" s="107">
        <f>$H$29*H39</f>
        <v>1.6729850319658814E-2</v>
      </c>
    </row>
    <row r="11" spans="1:71" ht="15.75" x14ac:dyDescent="0.25">
      <c r="A11" s="6" t="s">
        <v>48</v>
      </c>
      <c r="B11" s="269">
        <v>13.25</v>
      </c>
      <c r="C11" s="270">
        <v>15.5</v>
      </c>
      <c r="E11" s="213"/>
      <c r="F11" s="282" t="s">
        <v>6</v>
      </c>
      <c r="G11" s="282" t="s">
        <v>1</v>
      </c>
      <c r="H11" s="282" t="s">
        <v>2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1</v>
      </c>
      <c r="Q11" s="214">
        <f>COUNTIF(E9:I11,"CAB")</f>
        <v>0</v>
      </c>
      <c r="R11" s="221">
        <f t="shared" si="0"/>
        <v>0.19</v>
      </c>
      <c r="S11" s="221">
        <f t="shared" si="1"/>
        <v>0.22713355048859935</v>
      </c>
      <c r="T11" s="226">
        <f>IF(P11&gt;0,IF(Q11&gt;0,G13^2.7/(G14^2.7+G13^2.7),1),0)*P11/L11*S11</f>
        <v>2.5237061165399925E-2</v>
      </c>
      <c r="U11" s="228">
        <f>IF(Q11&gt;0,IF(P11&gt;0,G14^2.7/(G14^2.7+G13^2.7),1),0)*Q11/L11*S11</f>
        <v>0</v>
      </c>
      <c r="V11" s="218">
        <f>IF(P11-Q11&gt;3,0.9,IF(P11-Q11=3,0.83,IF(P11-Q11=2,0.75,IF(P11-Q11=1,0.65,IF(P11-Q11=0,0.44,IF(P11-Q11=-1,0.16,IF(P11-Q11&lt;-1,0.05,0.02)))))))</f>
        <v>0.65</v>
      </c>
      <c r="W11" s="216">
        <f>IF(Q11-P11&gt;3,0.9,IF(Q11-P11=3,0.83,IF(Q11-P11=2,0.75,IF(Q11-P11=1,0.65,IF(Q11-P11=0,0.44,IF(Q11-P11=-1,0.16,IF(Q11-P11&lt;-1,0.05,0.02)))))))</f>
        <v>0.16</v>
      </c>
      <c r="X11" s="251">
        <f t="shared" si="7"/>
        <v>1.6404089757509951E-2</v>
      </c>
      <c r="Y11" s="252">
        <f t="shared" si="7"/>
        <v>0</v>
      </c>
      <c r="Z11" s="199"/>
      <c r="AA11" s="244">
        <f t="shared" si="8"/>
        <v>1.6404089757509951E-2</v>
      </c>
      <c r="AB11" s="245">
        <f t="shared" si="9"/>
        <v>0.98359591024249005</v>
      </c>
      <c r="AC11" s="245">
        <f>PRODUCT(AB12:AB$16)*AA11*PRODUCT(AB$4:AB10)</f>
        <v>1.2822428094969945E-2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1.0933004694856393E-3</v>
      </c>
      <c r="AE11" s="183"/>
      <c r="AF11" s="197"/>
      <c r="AG11" s="246">
        <f t="shared" si="10"/>
        <v>0</v>
      </c>
      <c r="AH11" s="247">
        <f t="shared" si="2"/>
        <v>1</v>
      </c>
      <c r="AI11" s="247">
        <f>AG11*PRODUCT(AH3:AH10)*PRODUCT(AH12:AH17)</f>
        <v>0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2.8095716405564983E-6</v>
      </c>
      <c r="BM11" s="31">
        <f>BI50+1</f>
        <v>7</v>
      </c>
      <c r="BN11" s="31">
        <v>7</v>
      </c>
      <c r="BO11" s="107">
        <f>$H$32*H46</f>
        <v>8.4515499446744598E-4</v>
      </c>
      <c r="BQ11" s="31">
        <f>BQ8+1</f>
        <v>4</v>
      </c>
      <c r="BR11" s="31">
        <v>1</v>
      </c>
      <c r="BS11" s="107">
        <f>$H$29*H40</f>
        <v>4.4850443853884148E-2</v>
      </c>
    </row>
    <row r="12" spans="1:71" ht="15.75" x14ac:dyDescent="0.25">
      <c r="A12" s="6" t="s">
        <v>52</v>
      </c>
      <c r="B12" s="269">
        <v>9.75</v>
      </c>
      <c r="C12" s="270">
        <v>14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1</v>
      </c>
      <c r="Q12" s="214">
        <f>COUNTIF(F11:H11,"IMP")+COUNTIF(E10,"IMP")+COUNTIF(I10,"IMP")</f>
        <v>0</v>
      </c>
      <c r="R12" s="221">
        <f t="shared" si="0"/>
        <v>0.04</v>
      </c>
      <c r="S12" s="221">
        <f t="shared" si="1"/>
        <v>4.7817589576547234E-2</v>
      </c>
      <c r="T12" s="226">
        <f t="shared" ref="T12" si="11">IF(S12=0,0,S12*(P12^2.7/(P12^2.7+Q12^2.7))*P12/L12)</f>
        <v>9.5635179153094468E-3</v>
      </c>
      <c r="U12" s="228">
        <f>IF(S12=0,0,S12*Q12^2.7/(P12^2.7+Q12^2.7)*Q12/L12)</f>
        <v>0</v>
      </c>
      <c r="V12" s="218">
        <f>$G$18</f>
        <v>0.45</v>
      </c>
      <c r="W12" s="216">
        <f>$H$18</f>
        <v>0.45</v>
      </c>
      <c r="X12" s="251">
        <f t="shared" si="7"/>
        <v>4.3035830618892513E-3</v>
      </c>
      <c r="Y12" s="252">
        <f t="shared" si="7"/>
        <v>0</v>
      </c>
      <c r="Z12" s="199"/>
      <c r="AA12" s="244">
        <f t="shared" si="8"/>
        <v>4.3035830618892513E-3</v>
      </c>
      <c r="AB12" s="245">
        <f t="shared" si="9"/>
        <v>0.99569641693811073</v>
      </c>
      <c r="AC12" s="245">
        <f>PRODUCT(AB13:AB$16)*AA12*PRODUCT(AB$4:AB11)</f>
        <v>3.3230593274900409E-3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2.6897677901935302E-4</v>
      </c>
      <c r="AE12" s="183"/>
      <c r="AF12" s="197"/>
      <c r="AG12" s="246">
        <f t="shared" si="10"/>
        <v>0</v>
      </c>
      <c r="AH12" s="247">
        <f t="shared" si="2"/>
        <v>1</v>
      </c>
      <c r="AI12" s="247">
        <f>AG12*PRODUCT(AH3:AH11)*PRODUCT(AH13:AH17)</f>
        <v>0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4.7268053002681424E-7</v>
      </c>
      <c r="BM12" s="31">
        <f>BI54+1</f>
        <v>8</v>
      </c>
      <c r="BN12" s="31">
        <v>8</v>
      </c>
      <c r="BO12" s="107">
        <f>$H$33*H47</f>
        <v>7.8118797090199807E-5</v>
      </c>
      <c r="BQ12" s="31">
        <f>BQ9+1</f>
        <v>4</v>
      </c>
      <c r="BR12" s="31">
        <v>2</v>
      </c>
      <c r="BS12" s="107">
        <f>$H$29*H41</f>
        <v>5.5610325266135394E-2</v>
      </c>
    </row>
    <row r="13" spans="1:71" ht="15.75" x14ac:dyDescent="0.25">
      <c r="A13" s="7" t="s">
        <v>55</v>
      </c>
      <c r="B13" s="269">
        <v>8.5</v>
      </c>
      <c r="C13" s="270">
        <v>11.25</v>
      </c>
      <c r="E13" s="210"/>
      <c r="F13" s="210" t="s">
        <v>152</v>
      </c>
      <c r="G13" s="217">
        <f>B22</f>
        <v>0.62352941176470589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1</v>
      </c>
      <c r="Q13" s="214">
        <f>COUNTIF(E10:I11,"CAB")</f>
        <v>0</v>
      </c>
      <c r="R13" s="221">
        <f t="shared" si="0"/>
        <v>0.18</v>
      </c>
      <c r="S13" s="221">
        <f t="shared" si="1"/>
        <v>0.21517915309446253</v>
      </c>
      <c r="T13" s="226">
        <f>IF((Q13+P13)=0,0,S13*P14/4*P13/L13)</f>
        <v>1.5369939506747324E-2</v>
      </c>
      <c r="U13" s="228">
        <f>IF(P13+Q13=0,0,S13*Q14/4*Q13/L13)</f>
        <v>0</v>
      </c>
      <c r="V13" s="218">
        <v>1</v>
      </c>
      <c r="W13" s="216">
        <v>1</v>
      </c>
      <c r="X13" s="251">
        <f t="shared" si="7"/>
        <v>1.5369939506747324E-2</v>
      </c>
      <c r="Y13" s="252">
        <f t="shared" si="7"/>
        <v>0</v>
      </c>
      <c r="Z13" s="199"/>
      <c r="AA13" s="244">
        <f t="shared" si="8"/>
        <v>1.5369939506747324E-2</v>
      </c>
      <c r="AB13" s="245">
        <f t="shared" si="9"/>
        <v>0.98463006049325263</v>
      </c>
      <c r="AC13" s="245">
        <f>PRODUCT(AB14:AB$16)*AA13*PRODUCT(AB$4:AB12)</f>
        <v>1.2001455450171348E-2</v>
      </c>
      <c r="AD13" s="245">
        <f>AA13*AA14*PRODUCT(AB3:AB12)*PRODUCT(AB15:AB17)+AA13*AA15*PRODUCT(AB3:AB12)*AB14*PRODUCT(AB16:AB17)+AA13*AA16*PRODUCT(AB3:AB12)*AB14*AB15*AB17+AA13*AA17*PRODUCT(AB3:AB12)*AB14*AB15*AB16</f>
        <v>7.8408692110160593E-4</v>
      </c>
      <c r="AE13" s="183"/>
      <c r="AF13" s="197"/>
      <c r="AG13" s="246">
        <f t="shared" si="10"/>
        <v>0</v>
      </c>
      <c r="AH13" s="247">
        <f t="shared" si="2"/>
        <v>1</v>
      </c>
      <c r="AI13" s="247">
        <f>AG13*PRODUCT(AH3:AH12)*PRODUCT(AH14:AH17)</f>
        <v>0</v>
      </c>
      <c r="AJ13" s="247">
        <f>AG13*AG14*PRODUCT(AH3:AH12)*PRODUCT(AH15:AH17)+AG13*AG15*PRODUCT(AH3:AH12)*AH14*PRODUCT(AH16:AH17)+AG13*AG16*PRODUCT(AH3:AH12)*AH14*AH15*AH17+AG13*AG17*PRODUCT(AH3:AH12)*AH14*AH15*AH16</f>
        <v>0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5.6596485314809918E-8</v>
      </c>
      <c r="BM13" s="31">
        <f>BI57+1</f>
        <v>9</v>
      </c>
      <c r="BN13" s="31">
        <v>9</v>
      </c>
      <c r="BO13" s="107">
        <f>$H$34*H48</f>
        <v>3.6645541038014559E-6</v>
      </c>
      <c r="BQ13" s="31">
        <f>BM7+1</f>
        <v>4</v>
      </c>
      <c r="BR13" s="31">
        <v>3</v>
      </c>
      <c r="BS13" s="107">
        <f>$H$29*H42</f>
        <v>4.4976305417617199E-2</v>
      </c>
    </row>
    <row r="14" spans="1:71" ht="15.75" x14ac:dyDescent="0.25">
      <c r="A14" s="7" t="s">
        <v>58</v>
      </c>
      <c r="B14" s="269">
        <v>8.25</v>
      </c>
      <c r="C14" s="270">
        <v>10.75</v>
      </c>
      <c r="E14" s="210"/>
      <c r="F14" s="210" t="s">
        <v>153</v>
      </c>
      <c r="G14" s="215">
        <f>C22</f>
        <v>0.37647058823529411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0.21517915309446253</v>
      </c>
      <c r="T14" s="226">
        <f>S14*P14^2.7/(Q14^2.7+P14^2.7)</f>
        <v>0.10758957654723127</v>
      </c>
      <c r="U14" s="228">
        <f>S14*Q14^2.7/(Q14^2.7+P14^2.7)</f>
        <v>0.10758957654723127</v>
      </c>
      <c r="V14" s="218">
        <f>$G$17</f>
        <v>0.56999999999999995</v>
      </c>
      <c r="W14" s="216">
        <f>$H$17</f>
        <v>0.56999999999999995</v>
      </c>
      <c r="X14" s="251">
        <f t="shared" si="7"/>
        <v>6.1326058631921816E-2</v>
      </c>
      <c r="Y14" s="252">
        <f t="shared" si="7"/>
        <v>6.1326058631921816E-2</v>
      </c>
      <c r="Z14" s="199"/>
      <c r="AA14" s="244">
        <f t="shared" si="8"/>
        <v>6.1326058631921816E-2</v>
      </c>
      <c r="AB14" s="245">
        <f t="shared" si="9"/>
        <v>0.93867394136807814</v>
      </c>
      <c r="AC14" s="245">
        <f>PRODUCT(AB15:AB$16)*AA14*PRODUCT(AB$4:AB13)</f>
        <v>5.0230227140277479E-2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6.1326058631921816E-2</v>
      </c>
      <c r="AH14" s="247">
        <f t="shared" si="2"/>
        <v>0.93867394136807814</v>
      </c>
      <c r="AI14" s="247">
        <f>AG14*PRODUCT(AH3:AH13)*PRODUCT(AH15:AH17)</f>
        <v>3.5770407140391376E-2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3.5953492241386784E-3</v>
      </c>
      <c r="BM14" s="31">
        <f>BQ39+1</f>
        <v>10</v>
      </c>
      <c r="BN14" s="31">
        <v>10</v>
      </c>
      <c r="BO14" s="107">
        <f>$H$35*H49</f>
        <v>8.255835190909699E-8</v>
      </c>
      <c r="BQ14" s="31">
        <f>BQ10+1</f>
        <v>5</v>
      </c>
      <c r="BR14" s="31">
        <v>0</v>
      </c>
      <c r="BS14" s="107">
        <f>$H$30*H39</f>
        <v>1.8639237747557054E-2</v>
      </c>
    </row>
    <row r="15" spans="1:71" ht="15.75" x14ac:dyDescent="0.25">
      <c r="A15" s="162" t="s">
        <v>62</v>
      </c>
      <c r="B15" s="271">
        <v>5</v>
      </c>
      <c r="C15" s="272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1</v>
      </c>
      <c r="Q15" s="214">
        <f>COUNTIF(E10:I11,"TEC")</f>
        <v>1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2.9078327453395934E-3</v>
      </c>
      <c r="BQ15" s="31">
        <f>BQ11+1</f>
        <v>5</v>
      </c>
      <c r="BR15" s="31">
        <v>1</v>
      </c>
      <c r="BS15" s="107">
        <f>$H$30*H40</f>
        <v>4.9969250776480012E-2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79">
        <v>0.7</v>
      </c>
      <c r="H16" s="280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185</v>
      </c>
      <c r="P16" s="212">
        <f>COUNTIF(F6:H6,"POT")</f>
        <v>0</v>
      </c>
      <c r="Q16" s="214">
        <f>COUNTIF(F11:H11,"POT")</f>
        <v>1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4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1.7954044755676525E-3</v>
      </c>
      <c r="BQ16" s="31">
        <f>BQ12+1</f>
        <v>5</v>
      </c>
      <c r="BR16" s="31">
        <v>2</v>
      </c>
      <c r="BS16" s="107">
        <f>$H$30*H41</f>
        <v>6.1957163635616763E-2</v>
      </c>
    </row>
    <row r="17" spans="1:71" x14ac:dyDescent="0.25">
      <c r="A17" s="161" t="s">
        <v>69</v>
      </c>
      <c r="B17" s="273" t="s">
        <v>184</v>
      </c>
      <c r="C17" s="274" t="s">
        <v>70</v>
      </c>
      <c r="E17" s="210"/>
      <c r="F17" s="210" t="s">
        <v>154</v>
      </c>
      <c r="G17" s="279">
        <v>0.56999999999999995</v>
      </c>
      <c r="H17" s="280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8.9429835641170068E-4</v>
      </c>
      <c r="BQ17" s="31">
        <f>BQ13+1</f>
        <v>5</v>
      </c>
      <c r="BR17" s="31">
        <v>3</v>
      </c>
      <c r="BS17" s="107">
        <f>$H$30*H42</f>
        <v>5.0109476992786506E-2</v>
      </c>
    </row>
    <row r="18" spans="1:71" x14ac:dyDescent="0.25">
      <c r="A18" s="161" t="s">
        <v>73</v>
      </c>
      <c r="B18" s="273">
        <v>20</v>
      </c>
      <c r="C18" s="274">
        <v>20</v>
      </c>
      <c r="E18" s="210"/>
      <c r="F18" s="209" t="s">
        <v>3</v>
      </c>
      <c r="G18" s="279">
        <v>0.45</v>
      </c>
      <c r="H18" s="280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0.76883801661819773</v>
      </c>
      <c r="AC18" s="159">
        <f>SUM(AC4:AC16)</f>
        <v>0.20636670056081569</v>
      </c>
      <c r="AD18" s="159">
        <f>SUM(AD3:AD17)</f>
        <v>2.1898257241429478E-2</v>
      </c>
      <c r="AE18" s="159">
        <f>IF((1-AB18-AC18-AD18)&lt;0,(1-AB18-AC18-AD18)-1,1-AB18-AC18-AD18)</f>
        <v>2.8970255795571082E-3</v>
      </c>
      <c r="AF18" s="197"/>
      <c r="AG18" s="157"/>
      <c r="AH18" s="160">
        <f>PRODUCT(AH3:AH17)</f>
        <v>0.54751193544557009</v>
      </c>
      <c r="AI18" s="159">
        <f>SUM(AI3:AI17)</f>
        <v>0.30100626901447541</v>
      </c>
      <c r="AJ18" s="159">
        <f>SUM(AJ3:AJ17)</f>
        <v>5.7969970101365002E-2</v>
      </c>
      <c r="AK18" s="159">
        <f>IF((1-AH18-AI18-AJ18)&lt;0,(1-AH18-AI18-AJ18)-1,(1-AH18-AI18-AJ18))</f>
        <v>9.3511825438589491E-2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3.5499442536407428E-4</v>
      </c>
      <c r="BQ18" s="31">
        <f>BM8+1</f>
        <v>5</v>
      </c>
      <c r="BR18" s="31">
        <v>4</v>
      </c>
      <c r="BS18" s="107">
        <f>$H$30*H43</f>
        <v>3.0939461495986548E-2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1.0871371180636368E-4</v>
      </c>
      <c r="BQ19" s="31">
        <f>BQ15+1</f>
        <v>6</v>
      </c>
      <c r="BR19" s="31">
        <v>1</v>
      </c>
      <c r="BS19" s="107">
        <f>$H$31*H40</f>
        <v>3.9678780056693896E-2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2.497351743075579E-5</v>
      </c>
      <c r="BQ20" s="31">
        <f>BQ16+1</f>
        <v>6</v>
      </c>
      <c r="BR20" s="31">
        <v>2</v>
      </c>
      <c r="BS20" s="107">
        <f>$H$31*H41</f>
        <v>4.9197949351511304E-2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4.2015285481260725E-6</v>
      </c>
      <c r="BQ21" s="31">
        <f>BQ17+1</f>
        <v>6</v>
      </c>
      <c r="BR21" s="31">
        <v>3</v>
      </c>
      <c r="BS21" s="107">
        <f>$H$31*H42</f>
        <v>3.9790128638242502E-2</v>
      </c>
    </row>
    <row r="22" spans="1:71" x14ac:dyDescent="0.25">
      <c r="A22" s="26" t="s">
        <v>81</v>
      </c>
      <c r="B22" s="169">
        <f>(B6)/((B6)+(C6))</f>
        <v>0.62352941176470589</v>
      </c>
      <c r="C22" s="170">
        <f>1-B22</f>
        <v>0.37647058823529411</v>
      </c>
      <c r="V22" s="171">
        <f>SUM(V25:V35)</f>
        <v>1</v>
      </c>
      <c r="AS22" s="82">
        <f>Y23+AA23+AC23+AE23+AG23+AI23+AK23+AM23+AO23+AQ23+AS23</f>
        <v>1</v>
      </c>
      <c r="BI22" s="31">
        <v>1</v>
      </c>
      <c r="BJ22" s="31">
        <v>10</v>
      </c>
      <c r="BK22" s="107">
        <f t="shared" si="12"/>
        <v>5.0307075004820368E-7</v>
      </c>
      <c r="BQ22" s="31">
        <f>BQ18+1</f>
        <v>6</v>
      </c>
      <c r="BR22" s="31">
        <v>4</v>
      </c>
      <c r="BS22" s="107">
        <f>$H$31*H43</f>
        <v>2.4567910638949114E-2</v>
      </c>
    </row>
    <row r="23" spans="1:71" ht="15.75" thickBot="1" x14ac:dyDescent="0.3">
      <c r="A23" s="40" t="s">
        <v>82</v>
      </c>
      <c r="B23" s="56">
        <f>((B22^2.8)/((B22^2.8)+(C22^2.8)))*B21</f>
        <v>4.0210020200357564</v>
      </c>
      <c r="C23" s="57">
        <f>B21-B23</f>
        <v>0.97899797996424365</v>
      </c>
      <c r="D23" s="149">
        <f>SUM(D25:D30)</f>
        <v>1</v>
      </c>
      <c r="E23" s="149">
        <f>SUM(E25:E30)</f>
        <v>1</v>
      </c>
      <c r="H23" s="229">
        <f>SUM(H25:H35)</f>
        <v>0.99969163203447542</v>
      </c>
      <c r="I23" s="81"/>
      <c r="J23" s="229">
        <f>SUM(J25:J35)</f>
        <v>0.99999999999999989</v>
      </c>
      <c r="K23" s="229"/>
      <c r="L23" s="229">
        <f>SUM(L25:L35)</f>
        <v>1</v>
      </c>
      <c r="M23" s="81"/>
      <c r="N23" s="229">
        <f>SUM(N25:N35)</f>
        <v>0.99999999999999989</v>
      </c>
      <c r="O23" s="81"/>
      <c r="P23" s="229">
        <f>SUM(P25:P35)</f>
        <v>0.99999999999999989</v>
      </c>
      <c r="Q23" s="81"/>
      <c r="R23" s="229">
        <f>SUM(R25:R35)</f>
        <v>0.99999999999999978</v>
      </c>
      <c r="S23" s="81"/>
      <c r="T23" s="229">
        <f>SUM(T25:T35)</f>
        <v>1.0050760126517704</v>
      </c>
      <c r="V23" s="171">
        <f>SUM(V25:V34)</f>
        <v>0.88994094757017694</v>
      </c>
      <c r="Y23" s="168">
        <f>SUM(Y25:Y35)</f>
        <v>8.2816698553003587E-8</v>
      </c>
      <c r="Z23" s="81"/>
      <c r="AA23" s="168">
        <f>SUM(AA25:AA35)</f>
        <v>3.4019156463304519E-6</v>
      </c>
      <c r="AB23" s="81"/>
      <c r="AC23" s="168">
        <f>SUM(AC25:AC35)</f>
        <v>6.2885932992391615E-5</v>
      </c>
      <c r="AD23" s="81"/>
      <c r="AE23" s="168">
        <f>SUM(AE25:AE35)</f>
        <v>6.8889965040709871E-4</v>
      </c>
      <c r="AF23" s="81"/>
      <c r="AG23" s="168">
        <f>SUM(AG25:AG35)</f>
        <v>4.9528022728942897E-3</v>
      </c>
      <c r="AH23" s="81"/>
      <c r="AI23" s="168">
        <f>SUM(AI25:AI35)</f>
        <v>2.4418788613900809E-2</v>
      </c>
      <c r="AJ23" s="81"/>
      <c r="AK23" s="168">
        <f>SUM(AK25:AK35)</f>
        <v>8.3616239309342463E-2</v>
      </c>
      <c r="AL23" s="81"/>
      <c r="AM23" s="168">
        <f>SUM(AM25:AM35)</f>
        <v>0.19638043682809908</v>
      </c>
      <c r="AN23" s="81"/>
      <c r="AO23" s="168">
        <f>SUM(AO25:AO35)</f>
        <v>0.30281059995944382</v>
      </c>
      <c r="AP23" s="81"/>
      <c r="AQ23" s="168">
        <f>SUM(AQ25:AQ35)</f>
        <v>0.27700681027075214</v>
      </c>
      <c r="AR23" s="81"/>
      <c r="AS23" s="168">
        <f>SUM(AS25:AS35)</f>
        <v>0.11005905242982304</v>
      </c>
      <c r="BI23" s="31">
        <f t="shared" ref="BI23:BI30" si="15">BI15+1</f>
        <v>2</v>
      </c>
      <c r="BJ23" s="31">
        <v>3</v>
      </c>
      <c r="BK23" s="107">
        <f t="shared" ref="BK23:BK30" si="16">$H$27*H42</f>
        <v>1.1704676416520669E-2</v>
      </c>
      <c r="BQ23" s="31">
        <f>BM9+1</f>
        <v>6</v>
      </c>
      <c r="BR23" s="31">
        <v>5</v>
      </c>
      <c r="BS23" s="107">
        <f>$H$31*H44</f>
        <v>1.223737737310427E-2</v>
      </c>
    </row>
    <row r="24" spans="1:71" ht="15.75" thickBot="1" x14ac:dyDescent="0.3">
      <c r="A24" s="26" t="s">
        <v>83</v>
      </c>
      <c r="B24" s="64">
        <f>B23/B21</f>
        <v>0.80420040400715131</v>
      </c>
      <c r="C24" s="65">
        <f>C23/B21</f>
        <v>0.19579959599284874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7.2269041116524583E-3</v>
      </c>
      <c r="BQ24" s="31">
        <f>BI49+1</f>
        <v>7</v>
      </c>
      <c r="BR24" s="31">
        <v>0</v>
      </c>
      <c r="BS24" s="107">
        <f t="shared" ref="BS24:BS30" si="17">$H$32*H39</f>
        <v>8.4087170530218434E-3</v>
      </c>
    </row>
    <row r="25" spans="1:71" x14ac:dyDescent="0.25">
      <c r="A25" s="26" t="s">
        <v>108</v>
      </c>
      <c r="B25" s="172">
        <f>1/(1+EXP(-3.1416*4*((B11/(B11+C8))-(3.1416/6))))</f>
        <v>0.69433106758230612</v>
      </c>
      <c r="C25" s="170">
        <f>1/(1+EXP(-3.1416*4*((C11/(C11+B8))-(3.1416/6))))</f>
        <v>0.88865605861966823</v>
      </c>
      <c r="D25" s="167">
        <f>IF(B17="AOW",0.36-0.08,IF(B17="AIM",0.36+0.08,IF(B17="TL",(0.361)-(0.36*B32),0.36)))</f>
        <v>0.44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1.5376370488305606E-3</v>
      </c>
      <c r="I25" s="97">
        <v>0</v>
      </c>
      <c r="J25" s="98">
        <f t="shared" ref="J25:J35" si="18">Y25+AA25+AC25+AE25+AG25+AI25+AK25+AM25+AO25+AQ25+AS25</f>
        <v>1.9999492943832222E-3</v>
      </c>
      <c r="K25" s="97">
        <v>0</v>
      </c>
      <c r="L25" s="98">
        <f>AB18</f>
        <v>0.76883801661819773</v>
      </c>
      <c r="M25" s="85">
        <v>0</v>
      </c>
      <c r="N25" s="173">
        <f>(1-$B$24)^$B$21</f>
        <v>2.8777890567761145E-4</v>
      </c>
      <c r="O25" s="72">
        <v>0</v>
      </c>
      <c r="P25" s="173">
        <f t="shared" ref="P25:P30" si="19">N25</f>
        <v>2.8777890567761145E-4</v>
      </c>
      <c r="Q25" s="28">
        <v>0</v>
      </c>
      <c r="R25" s="174">
        <f>P25*N25</f>
        <v>8.2816698553003587E-8</v>
      </c>
      <c r="S25" s="72">
        <v>0</v>
      </c>
      <c r="T25" s="175">
        <f>(1-$B$33)^(INT(C23*2*(1-C31)))</f>
        <v>1</v>
      </c>
      <c r="U25" s="138">
        <v>0</v>
      </c>
      <c r="V25" s="86">
        <f>R25*T25</f>
        <v>8.2816698553003587E-8</v>
      </c>
      <c r="W25" s="134">
        <f>B31</f>
        <v>0.57564384000013014</v>
      </c>
      <c r="X25" s="28">
        <v>0</v>
      </c>
      <c r="Y25" s="176">
        <f>V25</f>
        <v>8.2816698553003587E-8</v>
      </c>
      <c r="Z25" s="28">
        <v>0</v>
      </c>
      <c r="AA25" s="176">
        <f>((1-W25)^Z26)*V26</f>
        <v>1.4436238603202661E-6</v>
      </c>
      <c r="AB25" s="28">
        <v>0</v>
      </c>
      <c r="AC25" s="176">
        <f>(((1-$W$25)^AB27))*V27</f>
        <v>1.1324382507613024E-5</v>
      </c>
      <c r="AD25" s="28">
        <v>0</v>
      </c>
      <c r="AE25" s="176">
        <f>(((1-$W$25)^AB28))*V28</f>
        <v>5.2643832281875793E-5</v>
      </c>
      <c r="AF25" s="28">
        <v>0</v>
      </c>
      <c r="AG25" s="176">
        <f>(((1-$W$25)^AB29))*V29</f>
        <v>1.606101669748875E-4</v>
      </c>
      <c r="AH25" s="28">
        <v>0</v>
      </c>
      <c r="AI25" s="176">
        <f>(((1-$W$25)^AB30))*V30</f>
        <v>3.3602893030628913E-4</v>
      </c>
      <c r="AJ25" s="28">
        <v>0</v>
      </c>
      <c r="AK25" s="176">
        <f>(((1-$W$25)^AB31))*V31</f>
        <v>4.8828535177372482E-4</v>
      </c>
      <c r="AL25" s="28">
        <v>0</v>
      </c>
      <c r="AM25" s="176">
        <f>(((1-$W$25)^AB32))*V32</f>
        <v>4.8664447547309714E-4</v>
      </c>
      <c r="AN25" s="28">
        <v>0</v>
      </c>
      <c r="AO25" s="176">
        <f>(((1-$W$25)^AB33))*V33</f>
        <v>3.184308677045384E-4</v>
      </c>
      <c r="AP25" s="28">
        <v>0</v>
      </c>
      <c r="AQ25" s="176">
        <f>(((1-$W$25)^AB34))*V34</f>
        <v>1.2361325538701569E-4</v>
      </c>
      <c r="AR25" s="28">
        <v>0</v>
      </c>
      <c r="AS25" s="176">
        <f>(((1-$W$25)^AB35))*V35</f>
        <v>2.0841591415307456E-5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3.5997506728684897E-3</v>
      </c>
      <c r="BQ25" s="31">
        <f>BQ19+1</f>
        <v>7</v>
      </c>
      <c r="BR25" s="31">
        <v>1</v>
      </c>
      <c r="BS25" s="107">
        <f t="shared" si="17"/>
        <v>2.2542622011781727E-2</v>
      </c>
    </row>
    <row r="26" spans="1:71" x14ac:dyDescent="0.25">
      <c r="A26" s="40" t="s">
        <v>109</v>
      </c>
      <c r="B26" s="169">
        <f>1/(1+EXP(-3.1416*4*((B10/(B10+C9))-(3.1416/6))))</f>
        <v>0.1517734203453556</v>
      </c>
      <c r="C26" s="170">
        <f>1/(1+EXP(-3.1416*4*((C10/(C10+B9))-(3.1416/6))))</f>
        <v>0.89283655518709049</v>
      </c>
      <c r="D26" s="167">
        <f>IF(B17="AOW",0.257+0.04,IF(B17="AIM",0.257-0.04,IF(B17="TL",(0.257)-(0.257*B32),0.257)))</f>
        <v>0.217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1.3667637118354413E-2</v>
      </c>
      <c r="I26" s="138">
        <v>1</v>
      </c>
      <c r="J26" s="86">
        <f t="shared" si="18"/>
        <v>1.7240190904563399E-2</v>
      </c>
      <c r="K26" s="138">
        <v>1</v>
      </c>
      <c r="L26" s="86">
        <f>AC18</f>
        <v>0.20636670056081569</v>
      </c>
      <c r="M26" s="85">
        <v>1</v>
      </c>
      <c r="N26" s="173">
        <f>(($B$24)^M26)*((1-($B$24))^($B$21-M26))*HLOOKUP($B$21,$AV$24:$BF$34,M26+1)</f>
        <v>5.9099180219739514E-3</v>
      </c>
      <c r="O26" s="72">
        <v>1</v>
      </c>
      <c r="P26" s="173">
        <f t="shared" si="19"/>
        <v>5.9099180219739514E-3</v>
      </c>
      <c r="Q26" s="28">
        <v>1</v>
      </c>
      <c r="R26" s="174">
        <f>N26*P25+P26*N25</f>
        <v>3.4014994820161156E-6</v>
      </c>
      <c r="S26" s="72">
        <v>1</v>
      </c>
      <c r="T26" s="175">
        <f t="shared" ref="T26:T35" si="20">(($B$33)^S26)*((1-($B$33))^(INT($C$23*2*(1-$C$31))-S26))*HLOOKUP(INT($C$23*2*(1-$C$31)),$AV$24:$BF$34,S26+1)</f>
        <v>5.0251256281407036E-3</v>
      </c>
      <c r="U26" s="138">
        <v>1</v>
      </c>
      <c r="V26" s="86">
        <f>R26*T25+T26*R25</f>
        <v>3.4019156463304523E-6</v>
      </c>
      <c r="W26" s="177"/>
      <c r="X26" s="28">
        <v>1</v>
      </c>
      <c r="Y26" s="174"/>
      <c r="Z26" s="28">
        <v>1</v>
      </c>
      <c r="AA26" s="176">
        <f>(1-((1-W25)^Z26))*V26</f>
        <v>1.958291786010186E-6</v>
      </c>
      <c r="AB26" s="28">
        <v>1</v>
      </c>
      <c r="AC26" s="176">
        <f>((($W$25)^M26)*((1-($W$25))^($U$27-M26))*HLOOKUP($U$27,$AV$24:$BF$34,M26+1))*V27</f>
        <v>3.0723301070094816E-5</v>
      </c>
      <c r="AD26" s="28">
        <v>1</v>
      </c>
      <c r="AE26" s="176">
        <f>((($W$25)^M26)*((1-($W$25))^($U$28-M26))*HLOOKUP($U$28,$AV$24:$BF$34,M26+1))*V28</f>
        <v>2.1423582799225357E-4</v>
      </c>
      <c r="AF26" s="28">
        <v>1</v>
      </c>
      <c r="AG26" s="176">
        <f>((($W$25)^M26)*((1-($W$25))^($U$29-M26))*HLOOKUP($U$29,$AV$24:$BF$34,M26+1))*V29</f>
        <v>8.7147789498815981E-4</v>
      </c>
      <c r="AH26" s="28">
        <v>1</v>
      </c>
      <c r="AI26" s="176">
        <f>((($W$25)^M26)*((1-($W$25))^($U$30-M26))*HLOOKUP($U$30,$AV$24:$BF$34,M26+1))*V30</f>
        <v>2.279134863892487E-3</v>
      </c>
      <c r="AJ26" s="28">
        <v>1</v>
      </c>
      <c r="AK26" s="176">
        <f>((($W$25)^M26)*((1-($W$25))^($U$31-M26))*HLOOKUP($U$31,$AV$24:$BF$34,M26+1))*V31</f>
        <v>3.9741869882731632E-3</v>
      </c>
      <c r="AL26" s="28">
        <v>1</v>
      </c>
      <c r="AM26" s="176">
        <f>((($W$25)^Q26)*((1-($W$25))^($U$32-Q26))*HLOOKUP($U$32,$AV$24:$BF$34,Q26+1))*V32</f>
        <v>4.6209704179476993E-3</v>
      </c>
      <c r="AN26" s="28">
        <v>1</v>
      </c>
      <c r="AO26" s="176">
        <f>((($W$25)^Q26)*((1-($W$25))^($U$33-Q26))*HLOOKUP($U$33,$AV$24:$BF$34,Q26+1))*V33</f>
        <v>3.4556400446279869E-3</v>
      </c>
      <c r="AP26" s="28">
        <v>1</v>
      </c>
      <c r="AQ26" s="176">
        <f>((($W$25)^Q26)*((1-($W$25))^($U$34-Q26))*HLOOKUP($U$34,$AV$24:$BF$34,Q26+1))*V34</f>
        <v>1.5091447737044345E-3</v>
      </c>
      <c r="AR26" s="28">
        <v>1</v>
      </c>
      <c r="AS26" s="176">
        <f>((($W$25)^Q26)*((1-($W$25))^($U$35-Q26))*HLOOKUP($U$35,$AV$24:$BF$34,Q26+1))*V35</f>
        <v>2.8271850028110853E-4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1.4289318686621819E-3</v>
      </c>
      <c r="BQ26" s="31">
        <f>BQ20+1</f>
        <v>7</v>
      </c>
      <c r="BR26" s="31">
        <v>2</v>
      </c>
      <c r="BS26" s="107">
        <f t="shared" si="17"/>
        <v>2.7950727678655082E-2</v>
      </c>
    </row>
    <row r="27" spans="1:71" x14ac:dyDescent="0.25">
      <c r="A27" s="26" t="s">
        <v>110</v>
      </c>
      <c r="B27" s="169">
        <f>1/(1+EXP(-3.1416*4*((B12/(B12+C7))-(3.1416/6))))</f>
        <v>0.69969228081812651</v>
      </c>
      <c r="C27" s="170">
        <f>1/(1+EXP(-3.1416*4*((C12/(C12+B7))-(3.1416/6))))</f>
        <v>0.94284553539894567</v>
      </c>
      <c r="D27" s="167">
        <f>D26</f>
        <v>0.217</v>
      </c>
      <c r="E27" s="167">
        <f>E26</f>
        <v>0.25700000000000001</v>
      </c>
      <c r="G27" s="87">
        <v>2</v>
      </c>
      <c r="H27" s="126">
        <f>L25*J27+J26*L26+J25*L27</f>
        <v>5.5015292782970085E-2</v>
      </c>
      <c r="I27" s="138">
        <v>2</v>
      </c>
      <c r="J27" s="86">
        <f t="shared" si="18"/>
        <v>6.6871948256391173E-2</v>
      </c>
      <c r="K27" s="138">
        <v>2</v>
      </c>
      <c r="L27" s="86">
        <f>AD18</f>
        <v>2.1898257241429478E-2</v>
      </c>
      <c r="M27" s="85">
        <v>2</v>
      </c>
      <c r="N27" s="173">
        <f>(($B$24)^M27)*((1-($B$24))^($B$21-M27))*HLOOKUP($B$21,$AV$24:$BF$34,M27+1)</f>
        <v>4.8547173315865104E-2</v>
      </c>
      <c r="O27" s="72">
        <v>2</v>
      </c>
      <c r="P27" s="173">
        <f t="shared" si="19"/>
        <v>4.8547173315865104E-2</v>
      </c>
      <c r="Q27" s="28">
        <v>2</v>
      </c>
      <c r="R27" s="174">
        <f>P25*N27+P26*N26+P27*N25</f>
        <v>6.2868835847614506E-5</v>
      </c>
      <c r="S27" s="72">
        <v>2</v>
      </c>
      <c r="T27" s="175">
        <f t="shared" si="20"/>
        <v>5.0503775157192999E-5</v>
      </c>
      <c r="U27" s="138">
        <v>2</v>
      </c>
      <c r="V27" s="86">
        <f>R27*T25+T26*R26+R25*T27</f>
        <v>6.2885932992391615E-5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2.0838249414683777E-5</v>
      </c>
      <c r="AD27" s="28">
        <v>2</v>
      </c>
      <c r="AE27" s="176">
        <f>((($W$25)^M27)*((1-($W$25))^($U$28-M27))*HLOOKUP($U$28,$AV$24:$BF$34,M27+1))*V28</f>
        <v>2.9061327798589294E-4</v>
      </c>
      <c r="AF27" s="28">
        <v>2</v>
      </c>
      <c r="AG27" s="176">
        <f>((($W$25)^M27)*((1-($W$25))^($U$29-M27))*HLOOKUP($U$29,$AV$24:$BF$34,M27+1))*V29</f>
        <v>1.7732541526428E-3</v>
      </c>
      <c r="AH27" s="28">
        <v>2</v>
      </c>
      <c r="AI27" s="176">
        <f>((($W$25)^M27)*((1-($W$25))^($U$30-M27))*HLOOKUP($U$30,$AV$24:$BF$34,M27+1))*V30</f>
        <v>6.1833434675704849E-3</v>
      </c>
      <c r="AJ27" s="28">
        <v>2</v>
      </c>
      <c r="AK27" s="176">
        <f>((($W$25)^M27)*((1-($W$25))^($U$31-M27))*HLOOKUP($U$31,$AV$24:$BF$34,M27+1))*V31</f>
        <v>1.3477571875054307E-2</v>
      </c>
      <c r="AL27" s="28">
        <v>2</v>
      </c>
      <c r="AM27" s="176">
        <f>((($W$25)^Q27)*((1-($W$25))^($U$32-Q27))*HLOOKUP($U$32,$AV$24:$BF$34,Q27+1))*V32</f>
        <v>1.8805192948644148E-2</v>
      </c>
      <c r="AN27" s="28">
        <v>2</v>
      </c>
      <c r="AO27" s="176">
        <f>((($W$25)^Q27)*((1-($W$25))^($U$33-Q27))*HLOOKUP($U$33,$AV$24:$BF$34,Q27+1))*V33</f>
        <v>1.6406649233793848E-2</v>
      </c>
      <c r="AP27" s="28">
        <v>2</v>
      </c>
      <c r="AQ27" s="176">
        <f>((($W$25)^Q27)*((1-($W$25))^($U$34-Q27))*HLOOKUP($U$34,$AV$24:$BF$34,Q27+1))*V34</f>
        <v>8.188686528331433E-3</v>
      </c>
      <c r="AR27" s="28">
        <v>2</v>
      </c>
      <c r="AS27" s="176">
        <f>((($W$25)^Q27)*((1-($W$25))^($U$35-Q27))*HLOOKUP($U$35,$AV$24:$BF$34,Q27+1))*V35</f>
        <v>1.7257985229535795E-3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4.3759697691407785E-4</v>
      </c>
      <c r="BQ27" s="31">
        <f>BQ21+1</f>
        <v>7</v>
      </c>
      <c r="BR27" s="31">
        <v>3</v>
      </c>
      <c r="BS27" s="107">
        <f t="shared" si="17"/>
        <v>2.2605882247651171E-2</v>
      </c>
    </row>
    <row r="28" spans="1:71" x14ac:dyDescent="0.25">
      <c r="A28" s="26" t="s">
        <v>111</v>
      </c>
      <c r="B28" s="275">
        <v>0.9</v>
      </c>
      <c r="C28" s="276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0.13234495868872562</v>
      </c>
      <c r="I28" s="138">
        <v>3</v>
      </c>
      <c r="J28" s="86">
        <f t="shared" si="18"/>
        <v>0.15368840870687073</v>
      </c>
      <c r="K28" s="138">
        <v>3</v>
      </c>
      <c r="L28" s="86">
        <f>AE18</f>
        <v>2.8970255795571082E-3</v>
      </c>
      <c r="M28" s="85">
        <v>3</v>
      </c>
      <c r="N28" s="173">
        <f>(($B$24)^M28)*((1-($B$24))^($B$21-M28))*HLOOKUP($B$21,$AV$24:$BF$34,M28+1)</f>
        <v>0.19939600077341252</v>
      </c>
      <c r="O28" s="72">
        <v>3</v>
      </c>
      <c r="P28" s="173">
        <f t="shared" si="19"/>
        <v>0.19939600077341252</v>
      </c>
      <c r="Q28" s="28">
        <v>3</v>
      </c>
      <c r="R28" s="174">
        <f>P25*N28+P26*N27+P27*N26+P28*N25</f>
        <v>6.8858355478877773E-4</v>
      </c>
      <c r="S28" s="72">
        <v>3</v>
      </c>
      <c r="T28" s="175">
        <f t="shared" si="20"/>
        <v>3.8068172229039952E-7</v>
      </c>
      <c r="U28" s="138">
        <v>3</v>
      </c>
      <c r="V28" s="86">
        <f>R28*T25+R27*T26+R26*T27+R25*T28</f>
        <v>6.8889965040709871E-4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1.3140671214707634E-4</v>
      </c>
      <c r="AF28" s="28">
        <v>3</v>
      </c>
      <c r="AG28" s="176">
        <f>((($W$25)^M28)*((1-($W$25))^($U$29-M28))*HLOOKUP($U$29,$AV$24:$BF$34,M28+1))*V29</f>
        <v>1.6036259569065625E-3</v>
      </c>
      <c r="AH28" s="28">
        <v>3</v>
      </c>
      <c r="AI28" s="176">
        <f>((($W$25)^M28)*((1-($W$25))^($U$30-M28))*HLOOKUP($U$30,$AV$24:$BF$34,M28+1))*V30</f>
        <v>8.3877740285732746E-3</v>
      </c>
      <c r="AJ28" s="28">
        <v>3</v>
      </c>
      <c r="AK28" s="176">
        <f>((($W$25)^M28)*((1-($W$25))^($U$31-M28))*HLOOKUP($U$31,$AV$24:$BF$34,M28+1))*V31</f>
        <v>2.4376634407086713E-2</v>
      </c>
      <c r="AL28" s="28">
        <v>3</v>
      </c>
      <c r="AM28" s="176">
        <f>((($W$25)^Q28)*((1-($W$25))^($U$32-Q28))*HLOOKUP($U$32,$AV$24:$BF$34,Q28+1))*V32</f>
        <v>4.2515754851240241E-2</v>
      </c>
      <c r="AN28" s="28">
        <v>3</v>
      </c>
      <c r="AO28" s="176">
        <f>((($W$25)^Q28)*((1-($W$25))^($U$33-Q28))*HLOOKUP($U$33,$AV$24:$BF$34,Q28+1))*V33</f>
        <v>4.4511603491176756E-2</v>
      </c>
      <c r="AP28" s="28">
        <v>3</v>
      </c>
      <c r="AQ28" s="176">
        <f>((($W$25)^Q28)*((1-($W$25))^($U$34-Q28))*HLOOKUP($U$34,$AV$24:$BF$34,Q28+1))*V34</f>
        <v>2.5918769667514201E-2</v>
      </c>
      <c r="AR28" s="28">
        <v>3</v>
      </c>
      <c r="AS28" s="176">
        <f>((($W$25)^Q28)*((1-($W$25))^($U$35-Q28))*HLOOKUP($U$35,$AV$24:$BF$34,Q28+1))*V35</f>
        <v>6.2428395922259012E-3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1.0052398680007227E-4</v>
      </c>
      <c r="BQ28" s="31">
        <f>BQ22+1</f>
        <v>7</v>
      </c>
      <c r="BR28" s="31">
        <v>4</v>
      </c>
      <c r="BS28" s="107">
        <f t="shared" si="17"/>
        <v>1.3957715493312636E-2</v>
      </c>
    </row>
    <row r="29" spans="1:71" x14ac:dyDescent="0.25">
      <c r="A29" s="26" t="s">
        <v>112</v>
      </c>
      <c r="B29" s="169">
        <f>1/(1+EXP(-3.1416*4*((B14/(B14+C13))-(3.1416/6))))</f>
        <v>0.22042125474416366</v>
      </c>
      <c r="C29" s="170">
        <f>1/(1+EXP(-3.1416*4*((C14/(C14+B13))-(3.1416/6))))</f>
        <v>0.60774254752805823</v>
      </c>
      <c r="D29" s="167">
        <v>0.04</v>
      </c>
      <c r="E29" s="167">
        <v>0.04</v>
      </c>
      <c r="G29" s="87">
        <v>4</v>
      </c>
      <c r="H29" s="126">
        <f>J29*L25+J28*L26+J27*L27+J26*L28</f>
        <v>0.21140136837563503</v>
      </c>
      <c r="I29" s="138">
        <v>4</v>
      </c>
      <c r="J29" s="86">
        <f t="shared" si="18"/>
        <v>0.23174045807575358</v>
      </c>
      <c r="K29" s="138">
        <v>4</v>
      </c>
      <c r="L29" s="86"/>
      <c r="M29" s="85">
        <v>4</v>
      </c>
      <c r="N29" s="173">
        <f>(($B$24)^M29)*((1-($B$24))^($B$21-M29))*HLOOKUP($B$21,$AV$24:$BF$34,M29+1)</f>
        <v>0.40948589185353912</v>
      </c>
      <c r="O29" s="72">
        <v>4</v>
      </c>
      <c r="P29" s="173">
        <f t="shared" si="19"/>
        <v>0.40948589185353912</v>
      </c>
      <c r="Q29" s="28">
        <v>4</v>
      </c>
      <c r="R29" s="174">
        <f>P25*N29+P26*N28+P27*N27+P28*N26+P29*N25</f>
        <v>4.949338877617354E-3</v>
      </c>
      <c r="S29" s="72">
        <v>4</v>
      </c>
      <c r="T29" s="175">
        <f t="shared" si="20"/>
        <v>2.5506313051283046E-9</v>
      </c>
      <c r="U29" s="138">
        <v>4</v>
      </c>
      <c r="V29" s="86">
        <f>T29*R25+T28*R26+T27*R27+T26*R28+T25*R29</f>
        <v>4.9528022728942888E-3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5.4383410138187922E-4</v>
      </c>
      <c r="AH29" s="28">
        <v>4</v>
      </c>
      <c r="AI29" s="176">
        <f>((($W$25)^M29)*((1-($W$25))^($U$30-M29))*HLOOKUP($U$30,$AV$24:$BF$34,M29+1))*V30</f>
        <v>5.689054273258061E-3</v>
      </c>
      <c r="AJ29" s="28">
        <v>4</v>
      </c>
      <c r="AK29" s="176">
        <f>((($W$25)^M29)*((1-($W$25))^($U$31-M29))*HLOOKUP($U$31,$AV$24:$BF$34,M29+1))*V31</f>
        <v>2.4800381305373872E-2</v>
      </c>
      <c r="AL29" s="28">
        <v>4</v>
      </c>
      <c r="AM29" s="176">
        <f>((($W$25)^Q29)*((1-($W$25))^($U$32-Q29))*HLOOKUP($U$32,$AV$24:$BF$34,Q29+1))*V32</f>
        <v>5.7673093241016236E-2</v>
      </c>
      <c r="AN29" s="28">
        <v>4</v>
      </c>
      <c r="AO29" s="176">
        <f>((($W$25)^Q29)*((1-($W$25))^($U$33-Q29))*HLOOKUP($U$33,$AV$24:$BF$34,Q29+1))*V33</f>
        <v>7.5475605085572578E-2</v>
      </c>
      <c r="AP29" s="28">
        <v>4</v>
      </c>
      <c r="AQ29" s="176">
        <f>((($W$25)^Q29)*((1-($W$25))^($U$34-Q29))*HLOOKUP($U$34,$AV$24:$BF$34,Q29+1))*V34</f>
        <v>5.2738648000860922E-2</v>
      </c>
      <c r="AR29" s="28">
        <v>4</v>
      </c>
      <c r="AS29" s="176">
        <f>((($W$25)^Q29)*((1-($W$25))^($U$35-Q29))*HLOOKUP($U$35,$AV$24:$BF$34,Q29+1))*V35</f>
        <v>1.4819842068290035E-2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1.6912091037356527E-5</v>
      </c>
      <c r="BQ29" s="31">
        <f>BQ23+1</f>
        <v>7</v>
      </c>
      <c r="BR29" s="31">
        <v>5</v>
      </c>
      <c r="BS29" s="107">
        <f t="shared" si="17"/>
        <v>6.9523955157709382E-3</v>
      </c>
    </row>
    <row r="30" spans="1:71" x14ac:dyDescent="0.25">
      <c r="A30" s="26" t="s">
        <v>113</v>
      </c>
      <c r="B30" s="275">
        <f>IF(B17="TL",0.55,0.15)</f>
        <v>0.15</v>
      </c>
      <c r="C30" s="276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0.23552872799358729</v>
      </c>
      <c r="I30" s="138">
        <v>5</v>
      </c>
      <c r="J30" s="86">
        <f t="shared" si="18"/>
        <v>0.23951205876952056</v>
      </c>
      <c r="K30" s="138">
        <v>5</v>
      </c>
      <c r="L30" s="86"/>
      <c r="M30" s="85">
        <v>5</v>
      </c>
      <c r="N30" s="173">
        <f>(($B$24)^M30)*((1-($B$24))^($B$21-M30))*HLOOKUP($B$21,$AV$24:$BF$34,M30+1)</f>
        <v>0.3363732371295316</v>
      </c>
      <c r="O30" s="72">
        <v>5</v>
      </c>
      <c r="P30" s="173">
        <f t="shared" si="19"/>
        <v>0.3363732371295316</v>
      </c>
      <c r="Q30" s="28">
        <v>5</v>
      </c>
      <c r="R30" s="174">
        <f>P25*N30+P26*N29+P27*N28+P28*N27+P29*N26+P30*N25</f>
        <v>2.4393882764253819E-2</v>
      </c>
      <c r="S30" s="72">
        <v>5</v>
      </c>
      <c r="T30" s="175">
        <f t="shared" si="20"/>
        <v>1.6021553424172769E-11</v>
      </c>
      <c r="U30" s="138">
        <v>5</v>
      </c>
      <c r="V30" s="86">
        <f>T30*R25+T29*R26+T28*R27+T27*R28+T26*R29+T25*R30</f>
        <v>2.4418788613900809E-2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1.5434530503002121E-3</v>
      </c>
      <c r="AJ30" s="28">
        <v>5</v>
      </c>
      <c r="AK30" s="176">
        <f>((($W$25)^M30)*((1-($W$25))^($U$31-M30))*HLOOKUP($U$31,$AV$24:$BF$34,M30+1))*V31</f>
        <v>1.3456796977423151E-2</v>
      </c>
      <c r="AL30" s="28">
        <v>5</v>
      </c>
      <c r="AM30" s="176">
        <f>((($W$25)^Q30)*((1-($W$25))^($U$32-Q30))*HLOOKUP($U$32,$AV$24:$BF$34,Q30+1))*V32</f>
        <v>4.6940514578067132E-2</v>
      </c>
      <c r="AN30" s="28">
        <v>5</v>
      </c>
      <c r="AO30" s="176">
        <f>((($W$25)^Q30)*((1-($W$25))^($U$33-Q30))*HLOOKUP($U$33,$AV$24:$BF$34,Q30+1))*V33</f>
        <v>8.1906796664020495E-2</v>
      </c>
      <c r="AP30" s="28">
        <v>5</v>
      </c>
      <c r="AQ30" s="176">
        <f>((($W$25)^Q30)*((1-($W$25))^($U$34-Q30))*HLOOKUP($U$34,$AV$24:$BF$34,Q30+1))*V34</f>
        <v>7.1540561239031103E-2</v>
      </c>
      <c r="AR30" s="28">
        <v>5</v>
      </c>
      <c r="AS30" s="176">
        <f>((($W$25)^Q30)*((1-($W$25))^($U$35-Q30))*HLOOKUP($U$35,$AV$24:$BF$34,Q30+1))*V35</f>
        <v>2.4123936260678474E-2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2.0249721561075917E-6</v>
      </c>
      <c r="BQ30" s="31">
        <f>BM10+1</f>
        <v>7</v>
      </c>
      <c r="BR30" s="31">
        <v>6</v>
      </c>
      <c r="BS30" s="107">
        <f t="shared" si="17"/>
        <v>2.7597743340687414E-3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0.57564384000013014</v>
      </c>
      <c r="C31" s="61">
        <f>(C25*E25)+(C26*E26)+(C27*E27)+(C28*E28)+(C29*E29)+(C30*E30)/(C25+C26+C27+C28+C29+C30)</f>
        <v>0.89253041059921989</v>
      </c>
      <c r="G31" s="87">
        <v>6</v>
      </c>
      <c r="H31" s="126">
        <f>J31*L25+J30*L26+J29*L27+J28*L28</f>
        <v>0.18702486929200177</v>
      </c>
      <c r="I31" s="138">
        <v>6</v>
      </c>
      <c r="J31" s="86">
        <f t="shared" si="18"/>
        <v>0.17178859747943775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8.3493406761304512E-2</v>
      </c>
      <c r="S31" s="72">
        <v>6</v>
      </c>
      <c r="T31" s="175">
        <f t="shared" si="20"/>
        <v>9.6612382457323207E-14</v>
      </c>
      <c r="U31" s="138">
        <v>6</v>
      </c>
      <c r="V31" s="86">
        <f>T31*R25+T30*R26+T29*R27+T28*R28+T27*R29+T26*R30+T25*R31</f>
        <v>8.3616239309342463E-2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3.0423824043575337E-3</v>
      </c>
      <c r="AL31" s="28">
        <v>6</v>
      </c>
      <c r="AM31" s="176">
        <f>((($W$25)^Q31)*((1-($W$25))^($U$32-Q31))*HLOOKUP($U$32,$AV$24:$BF$34,Q31+1))*V32</f>
        <v>2.1225109636921449E-2</v>
      </c>
      <c r="AN31" s="28">
        <v>6</v>
      </c>
      <c r="AO31" s="176">
        <f>((($W$25)^Q31)*((1-($W$25))^($U$33-Q31))*HLOOKUP($U$33,$AV$24:$BF$34,Q31+1))*V33</f>
        <v>5.555373928565225E-2</v>
      </c>
      <c r="AP31" s="28">
        <v>6</v>
      </c>
      <c r="AQ31" s="176">
        <f>((($W$25)^Q31)*((1-($W$25))^($U$34-Q31))*HLOOKUP($U$34,$AV$24:$BF$34,Q31+1))*V34</f>
        <v>6.4697043457415518E-2</v>
      </c>
      <c r="AR31" s="28">
        <v>6</v>
      </c>
      <c r="AS31" s="176">
        <f>((($W$25)^Q31)*((1-($W$25))^($U$35-Q31))*HLOOKUP($U$35,$AV$24:$BF$34,Q31+1))*V35</f>
        <v>2.7270322695090984E-2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1.7385062911091008E-2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3.3834014614052728E-3</v>
      </c>
    </row>
    <row r="32" spans="1:71" x14ac:dyDescent="0.25">
      <c r="A32" s="26" t="s">
        <v>115</v>
      </c>
      <c r="B32" s="277">
        <f>IF(B17&lt;&gt;"TL",0.001,IF(B18&lt;5,0.1,IF(B18&lt;10,0.2,IF(B18&lt;14,0.3,0.35))))</f>
        <v>1E-3</v>
      </c>
      <c r="C32" s="278">
        <f>IF(C17&lt;&gt;"TL",0.001,IF(C18&lt;5,0.1,IF(C18&lt;10,0.2,IF(C18&lt;14,0.3,0.35))))</f>
        <v>1E-3</v>
      </c>
      <c r="G32" s="87">
        <v>7</v>
      </c>
      <c r="H32" s="126">
        <f>J32*L25+J31*L26+J30*L27+J29*L28</f>
        <v>0.10625404634992618</v>
      </c>
      <c r="I32" s="138">
        <v>7</v>
      </c>
      <c r="J32" s="86">
        <f t="shared" si="18"/>
        <v>8.4395339696272859E-2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0.19595963810095152</v>
      </c>
      <c r="S32" s="72">
        <v>7</v>
      </c>
      <c r="T32" s="175">
        <f t="shared" si="20"/>
        <v>5.6640425226236405E-16</v>
      </c>
      <c r="U32" s="138">
        <v>7</v>
      </c>
      <c r="V32" s="86">
        <f>T32*R25+T31*R26+T30*R27+T29*R28+T28*R29+T27*R30+T26*R31+T25*R32</f>
        <v>0.19638043682809905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4.1131566787890681E-3</v>
      </c>
      <c r="AN32" s="28">
        <v>7</v>
      </c>
      <c r="AO32" s="176">
        <f>((($W$25)^Q32)*((1-($W$25))^($U$33-Q32))*HLOOKUP($U$33,$AV$24:$BF$34,Q32+1))*V33</f>
        <v>2.1531218230034989E-2</v>
      </c>
      <c r="AP32" s="28">
        <v>7</v>
      </c>
      <c r="AQ32" s="176">
        <f>((($W$25)^Q32)*((1-($W$25))^($U$34-Q32))*HLOOKUP($U$34,$AV$24:$BF$34,Q32+1))*V34</f>
        <v>3.7612396017762929E-2</v>
      </c>
      <c r="AR32" s="28">
        <v>7</v>
      </c>
      <c r="AS32" s="176">
        <f>((($W$25)^Q32)*((1-($W$25))^($U$35-Q32))*HLOOKUP($U$35,$AV$24:$BF$34,Q32+1))*V35</f>
        <v>2.1138568769685874E-2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8.6595713662722586E-3</v>
      </c>
      <c r="BQ32" s="31">
        <f t="shared" si="24"/>
        <v>8</v>
      </c>
      <c r="BR32" s="31">
        <v>1</v>
      </c>
      <c r="BS32" s="107">
        <f t="shared" si="25"/>
        <v>9.0704372352687877E-3</v>
      </c>
    </row>
    <row r="33" spans="1:71" x14ac:dyDescent="0.25">
      <c r="A33" s="26" t="s">
        <v>116</v>
      </c>
      <c r="B33" s="277">
        <f>IF(B17&lt;&gt;"CA",0.005,IF((B18-B16)&lt;0,0.1,0.1+0.048*(B18-B16)))</f>
        <v>5.0000000000000001E-3</v>
      </c>
      <c r="C33" s="278">
        <f>IF(C17&lt;&gt;"CA",0.005,IF((C18-C16)&lt;0,0.1,0.1+0.048*(C18-C16)))</f>
        <v>5.0000000000000001E-3</v>
      </c>
      <c r="G33" s="87">
        <v>8</v>
      </c>
      <c r="H33" s="126">
        <f>J33*L25+J32*L26+J31*L27+J30*L28</f>
        <v>4.2753263480469962E-2</v>
      </c>
      <c r="I33" s="138">
        <v>8</v>
      </c>
      <c r="J33" s="86">
        <f t="shared" si="18"/>
        <v>2.7159338864214361E-2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0.30182165212875905</v>
      </c>
      <c r="S33" s="72">
        <v>8</v>
      </c>
      <c r="T33" s="175">
        <f t="shared" si="20"/>
        <v>3.2528600273502595E-18</v>
      </c>
      <c r="U33" s="138">
        <v>8</v>
      </c>
      <c r="V33" s="86">
        <f>T33*R25+T32*R26+T31*R27+T30*R28+T29*R29+T28*R30+T27*R31+T26*R32+T25*R33</f>
        <v>0.30281059995944376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3.6509170568603116E-3</v>
      </c>
      <c r="AP33" s="28">
        <v>8</v>
      </c>
      <c r="AQ33" s="176">
        <f>((($W$25)^Q33)*((1-($W$25))^($U$34-Q33))*HLOOKUP($U$34,$AV$24:$BF$34,Q33+1))*V34</f>
        <v>1.2755408143054465E-2</v>
      </c>
      <c r="AR33" s="28">
        <v>8</v>
      </c>
      <c r="AS33" s="176">
        <f>((($W$25)^Q33)*((1-($W$25))^($U$35-Q33))*HLOOKUP($U$35,$AV$24:$BF$34,Q33+1))*V35</f>
        <v>1.0753013664299583E-2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3.4374429283349976E-3</v>
      </c>
      <c r="BQ33" s="31">
        <f t="shared" si="24"/>
        <v>8</v>
      </c>
      <c r="BR33" s="31">
        <v>2</v>
      </c>
      <c r="BS33" s="107">
        <f t="shared" si="25"/>
        <v>1.1246487695922326E-2</v>
      </c>
    </row>
    <row r="34" spans="1:71" x14ac:dyDescent="0.25">
      <c r="A34" s="40" t="s">
        <v>117</v>
      </c>
      <c r="B34" s="56">
        <f>B23*2</f>
        <v>8.0420040400715127</v>
      </c>
      <c r="C34" s="57">
        <f>C23*2</f>
        <v>1.9579959599284873</v>
      </c>
      <c r="G34" s="87">
        <v>9</v>
      </c>
      <c r="H34" s="126">
        <f>J34*L25+J33*L26+J32*L27+J31*L28</f>
        <v>1.1920850975455964E-2</v>
      </c>
      <c r="I34" s="138">
        <v>9</v>
      </c>
      <c r="J34" s="86">
        <f t="shared" si="18"/>
        <v>5.1640019340843356E-3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0.27548019000329649</v>
      </c>
      <c r="S34" s="72">
        <v>9</v>
      </c>
      <c r="T34" s="175">
        <f t="shared" si="20"/>
        <v>1.8389284074216291E-20</v>
      </c>
      <c r="U34" s="138">
        <v>9</v>
      </c>
      <c r="V34" s="86">
        <f>T34*R25+T33*R26+T32*R27+T31*R28+T30*R29+T29*R30+T28*R31+T27*R32+T26*R33+T25*R34</f>
        <v>0.27700681027075208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1.9225391876900588E-3</v>
      </c>
      <c r="AR34" s="28">
        <v>9</v>
      </c>
      <c r="AS34" s="176">
        <f>((($W$25)^Q34)*((1-($W$25))^($U$35-Q34))*HLOOKUP($U$35,$AV$24:$BF$34,Q34+1))*V35</f>
        <v>3.2414627463942772E-3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1.0526846428041182E-3</v>
      </c>
      <c r="BQ34" s="31">
        <f t="shared" si="24"/>
        <v>8</v>
      </c>
      <c r="BR34" s="31">
        <v>3</v>
      </c>
      <c r="BS34" s="107">
        <f t="shared" si="25"/>
        <v>9.0958911509065599E-3</v>
      </c>
    </row>
    <row r="35" spans="1:71" ht="15.75" thickBot="1" x14ac:dyDescent="0.3">
      <c r="G35" s="88">
        <v>10</v>
      </c>
      <c r="H35" s="127">
        <f>J35*L25+J34*L26+J33*L27+J32*L28</f>
        <v>2.242979928518643E-3</v>
      </c>
      <c r="I35" s="94">
        <v>10</v>
      </c>
      <c r="J35" s="89">
        <f t="shared" si="18"/>
        <v>4.3970801850793019E-4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0.1131469546570001</v>
      </c>
      <c r="S35" s="72">
        <v>10</v>
      </c>
      <c r="T35" s="175">
        <f t="shared" si="20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0.11005905242982306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4.3970801850793019E-4</v>
      </c>
      <c r="BI35" s="31">
        <f t="shared" si="22"/>
        <v>3</v>
      </c>
      <c r="BJ35" s="31">
        <v>8</v>
      </c>
      <c r="BK35" s="107">
        <f t="shared" si="23"/>
        <v>2.4182081394647691E-4</v>
      </c>
      <c r="BQ35" s="31">
        <f t="shared" si="24"/>
        <v>8</v>
      </c>
      <c r="BR35" s="31">
        <v>4</v>
      </c>
      <c r="BS35" s="107">
        <f t="shared" si="25"/>
        <v>5.6161427123989005E-3</v>
      </c>
    </row>
    <row r="36" spans="1:71" ht="15.75" x14ac:dyDescent="0.25">
      <c r="A36" s="283" t="s">
        <v>118</v>
      </c>
      <c r="B36" s="182">
        <f>SUM(BO4:BO14)</f>
        <v>9.4616077972911258E-2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</v>
      </c>
      <c r="BI36" s="31">
        <f t="shared" si="22"/>
        <v>3</v>
      </c>
      <c r="BJ36" s="31">
        <v>9</v>
      </c>
      <c r="BK36" s="107">
        <f t="shared" si="23"/>
        <v>4.0683778572414645E-5</v>
      </c>
      <c r="BQ36" s="31">
        <f t="shared" si="24"/>
        <v>8</v>
      </c>
      <c r="BR36" s="31">
        <v>5</v>
      </c>
      <c r="BS36" s="107">
        <f t="shared" si="25"/>
        <v>2.7974237924765799E-3</v>
      </c>
    </row>
    <row r="37" spans="1:71" ht="16.5" thickBot="1" x14ac:dyDescent="0.3">
      <c r="A37" s="110" t="s">
        <v>119</v>
      </c>
      <c r="B37" s="182">
        <f>SUM(BK4:BK59)</f>
        <v>0.11334807010418467</v>
      </c>
      <c r="G37" s="157"/>
      <c r="H37" s="229">
        <f>SUM(H39:H49)</f>
        <v>0.9999968438251583</v>
      </c>
      <c r="I37" s="230"/>
      <c r="J37" s="229">
        <f>SUM(J39:J49)</f>
        <v>0.99999999999999978</v>
      </c>
      <c r="K37" s="229"/>
      <c r="L37" s="229">
        <f>SUM(L39:L49)</f>
        <v>0.99999999999999989</v>
      </c>
      <c r="M37" s="230"/>
      <c r="N37" s="231">
        <f>SUM(N39:N49)</f>
        <v>1.0000000000000002</v>
      </c>
      <c r="O37" s="230"/>
      <c r="P37" s="231">
        <f>SUM(P39:P49)</f>
        <v>1.0000000000000002</v>
      </c>
      <c r="Q37" s="230"/>
      <c r="R37" s="229">
        <f>SUM(R39:R49)</f>
        <v>1.0000000000000004</v>
      </c>
      <c r="S37" s="230"/>
      <c r="T37" s="229">
        <f>SUM(T39:T49)</f>
        <v>1</v>
      </c>
      <c r="U37" s="230"/>
      <c r="V37" s="171">
        <f>SUM(V39:V48)</f>
        <v>0.99999986162997867</v>
      </c>
      <c r="W37" s="157"/>
      <c r="X37" s="157"/>
      <c r="Y37" s="168">
        <f>SUM(Y39:Y49)</f>
        <v>0.11145822221537505</v>
      </c>
      <c r="Z37" s="81"/>
      <c r="AA37" s="168">
        <f>SUM(AA39:AA49)</f>
        <v>0.27304888843923814</v>
      </c>
      <c r="AB37" s="81"/>
      <c r="AC37" s="168">
        <f>SUM(AC39:AC49)</f>
        <v>0.30141635396114247</v>
      </c>
      <c r="AD37" s="81"/>
      <c r="AE37" s="168">
        <f>SUM(AE39:AE49)</f>
        <v>0.19753765257712017</v>
      </c>
      <c r="AF37" s="81"/>
      <c r="AG37" s="168">
        <f>SUM(AG39:AG49)</f>
        <v>8.5179889215193594E-2</v>
      </c>
      <c r="AH37" s="81"/>
      <c r="AI37" s="168">
        <f>SUM(AI39:AI49)</f>
        <v>2.5284370630894733E-2</v>
      </c>
      <c r="AJ37" s="81"/>
      <c r="AK37" s="168">
        <f>SUM(AK39:AK49)</f>
        <v>5.2439828733910968E-3</v>
      </c>
      <c r="AL37" s="81"/>
      <c r="AM37" s="168">
        <f>SUM(AM39:AM49)</f>
        <v>7.5363672767243687E-4</v>
      </c>
      <c r="AN37" s="81"/>
      <c r="AO37" s="168">
        <f>SUM(AO39:AO49)</f>
        <v>7.2528628270518639E-5</v>
      </c>
      <c r="AP37" s="81"/>
      <c r="AQ37" s="168">
        <f>SUM(AQ39:AQ49)</f>
        <v>4.3363616803459321E-6</v>
      </c>
      <c r="AR37" s="81"/>
      <c r="AS37" s="168">
        <f>SUM(AS39:AS49)</f>
        <v>1.3837002132977005E-7</v>
      </c>
      <c r="BI37" s="31">
        <f t="shared" si="22"/>
        <v>3</v>
      </c>
      <c r="BJ37" s="31">
        <v>10</v>
      </c>
      <c r="BK37" s="107">
        <f t="shared" si="23"/>
        <v>4.8712792896166561E-6</v>
      </c>
      <c r="BQ37" s="31">
        <f t="shared" si="24"/>
        <v>8</v>
      </c>
      <c r="BR37" s="31">
        <v>6</v>
      </c>
      <c r="BS37" s="107">
        <f t="shared" si="25"/>
        <v>1.1104457976358413E-3</v>
      </c>
    </row>
    <row r="38" spans="1:71" ht="16.5" thickBot="1" x14ac:dyDescent="0.3">
      <c r="A38" s="111" t="s">
        <v>120</v>
      </c>
      <c r="B38" s="182">
        <f>SUM(BS4:BS47)</f>
        <v>0.78948143846487118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1.3832376046012354E-2</v>
      </c>
      <c r="BQ38" s="31">
        <f>BM11+1</f>
        <v>8</v>
      </c>
      <c r="BR38" s="31">
        <v>7</v>
      </c>
      <c r="BS38" s="107">
        <f t="shared" si="25"/>
        <v>3.4006360606074888E-4</v>
      </c>
    </row>
    <row r="39" spans="1:71" x14ac:dyDescent="0.25">
      <c r="G39" s="128">
        <v>0</v>
      </c>
      <c r="H39" s="129">
        <f>L39*J39</f>
        <v>7.9137852551322496E-2</v>
      </c>
      <c r="I39" s="97">
        <v>0</v>
      </c>
      <c r="J39" s="98">
        <f t="shared" ref="J39:J49" si="29">Y39+AA39+AC39+AE39+AG39+AI39+AK39+AM39+AO39+AQ39+AS39</f>
        <v>0.14454087194815107</v>
      </c>
      <c r="K39" s="102">
        <v>0</v>
      </c>
      <c r="L39" s="98">
        <f>AH18</f>
        <v>0.54751193544557009</v>
      </c>
      <c r="M39" s="85">
        <v>0</v>
      </c>
      <c r="N39" s="173">
        <f>(1-$C$24)^$B$21</f>
        <v>0.3363732371295316</v>
      </c>
      <c r="O39" s="72">
        <v>0</v>
      </c>
      <c r="P39" s="173">
        <f t="shared" ref="P39:P44" si="30">N39</f>
        <v>0.3363732371295316</v>
      </c>
      <c r="Q39" s="28">
        <v>0</v>
      </c>
      <c r="R39" s="174">
        <f>P39*N39</f>
        <v>0.1131469546570001</v>
      </c>
      <c r="S39" s="72">
        <v>0</v>
      </c>
      <c r="T39" s="175">
        <f>(1-$C$33)^(INT(B23*2*(1-B31)))</f>
        <v>0.98507487500000002</v>
      </c>
      <c r="U39" s="138">
        <v>0</v>
      </c>
      <c r="V39" s="86">
        <f>R39*T39</f>
        <v>0.11145822221537505</v>
      </c>
      <c r="W39" s="134">
        <f>C31</f>
        <v>0.89253041059921989</v>
      </c>
      <c r="X39" s="28">
        <v>0</v>
      </c>
      <c r="Y39" s="176">
        <f>V39</f>
        <v>0.11145822221537505</v>
      </c>
      <c r="Z39" s="28">
        <v>0</v>
      </c>
      <c r="AA39" s="176">
        <f>((1-W39)^Z40)*V40</f>
        <v>2.9344451926904339E-2</v>
      </c>
      <c r="AB39" s="28">
        <v>0</v>
      </c>
      <c r="AC39" s="176">
        <f>(((1-$W$39)^AB41))*V41</f>
        <v>3.4812722750478609E-3</v>
      </c>
      <c r="AD39" s="28">
        <v>0</v>
      </c>
      <c r="AE39" s="176">
        <f>(((1-$W$39)^AB42))*V42</f>
        <v>2.451922039556328E-4</v>
      </c>
      <c r="AF39" s="28">
        <v>0</v>
      </c>
      <c r="AG39" s="176">
        <f>(((1-$W$39)^AB43))*V43</f>
        <v>1.1362644764347245E-5</v>
      </c>
      <c r="AH39" s="28">
        <v>0</v>
      </c>
      <c r="AI39" s="176">
        <f>(((1-$W$39)^AB44))*V44</f>
        <v>3.6247670042111015E-7</v>
      </c>
      <c r="AJ39" s="28">
        <v>0</v>
      </c>
      <c r="AK39" s="176">
        <f>(((1-$W$39)^AB45))*V45</f>
        <v>8.0793198623263437E-9</v>
      </c>
      <c r="AL39" s="28">
        <v>0</v>
      </c>
      <c r="AM39" s="176">
        <f>(((1-$W$39)^AB46))*V46</f>
        <v>1.2478465494737838E-10</v>
      </c>
      <c r="AN39" s="28">
        <v>0</v>
      </c>
      <c r="AO39" s="176">
        <f>(((1-$W$39)^AB47))*V47</f>
        <v>1.2906074883651815E-12</v>
      </c>
      <c r="AP39" s="28">
        <v>0</v>
      </c>
      <c r="AQ39" s="176">
        <f>(((1-$W$39)^AB48))*V48</f>
        <v>8.2926971362802942E-15</v>
      </c>
      <c r="AR39" s="28">
        <v>0</v>
      </c>
      <c r="AS39" s="176">
        <f>(((1-$W$39)^AB49))*V49</f>
        <v>2.8437924966482401E-17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5.4908033215856364E-3</v>
      </c>
      <c r="BQ39" s="31">
        <f t="shared" ref="BQ39:BQ46" si="31">BQ31+1</f>
        <v>9</v>
      </c>
      <c r="BR39" s="31">
        <v>0</v>
      </c>
      <c r="BS39" s="107">
        <f t="shared" ref="BS39:BS47" si="32">$H$34*H39</f>
        <v>9.4339054678192302E-4</v>
      </c>
    </row>
    <row r="40" spans="1:71" x14ac:dyDescent="0.25">
      <c r="G40" s="91">
        <v>1</v>
      </c>
      <c r="H40" s="130">
        <f>L39*J40+L40*J39</f>
        <v>0.21215777456175333</v>
      </c>
      <c r="I40" s="138">
        <v>1</v>
      </c>
      <c r="J40" s="86">
        <f t="shared" si="29"/>
        <v>0.30802993516349997</v>
      </c>
      <c r="K40" s="95">
        <v>1</v>
      </c>
      <c r="L40" s="86">
        <f>AI18</f>
        <v>0.30100626901447541</v>
      </c>
      <c r="M40" s="85">
        <v>1</v>
      </c>
      <c r="N40" s="173">
        <f>(($C$24)^M26)*((1-($C$24))^($B$21-M26))*HLOOKUP($B$21,$AV$24:$BF$34,M26+1)</f>
        <v>0.40948589185353929</v>
      </c>
      <c r="O40" s="72">
        <v>1</v>
      </c>
      <c r="P40" s="173">
        <f t="shared" si="30"/>
        <v>0.40948589185353929</v>
      </c>
      <c r="Q40" s="28">
        <v>1</v>
      </c>
      <c r="R40" s="174">
        <f>P40*N39+P39*N40</f>
        <v>0.2754801900032966</v>
      </c>
      <c r="S40" s="72">
        <v>1</v>
      </c>
      <c r="T40" s="175">
        <f t="shared" ref="T40:T49" si="33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0.27304888843923814</v>
      </c>
      <c r="W40" s="177"/>
      <c r="X40" s="28">
        <v>1</v>
      </c>
      <c r="Y40" s="174"/>
      <c r="Z40" s="28">
        <v>1</v>
      </c>
      <c r="AA40" s="176">
        <f>(1-((1-W39)^Z40))*V40</f>
        <v>0.24370443651233381</v>
      </c>
      <c r="AB40" s="28">
        <v>1</v>
      </c>
      <c r="AC40" s="176">
        <f>((($W$39)^M40)*((1-($W$39))^($U$27-M40))*HLOOKUP($U$27,$AV$24:$BF$34,M40+1))*V41</f>
        <v>5.7823639047672647E-2</v>
      </c>
      <c r="AD40" s="28">
        <v>1</v>
      </c>
      <c r="AE40" s="176">
        <f>((($W$39)^M40)*((1-($W$39))^($U$28-M40))*HLOOKUP($U$28,$AV$24:$BF$34,M40+1))*V42</f>
        <v>6.108932760210027E-3</v>
      </c>
      <c r="AF40" s="28">
        <v>1</v>
      </c>
      <c r="AG40" s="176">
        <f>((($W$39)^M40)*((1-($W$39))^($U$29-M40))*HLOOKUP($U$29,$AV$24:$BF$34,M40+1))*V43</f>
        <v>3.774651435280279E-4</v>
      </c>
      <c r="AH40" s="28">
        <v>1</v>
      </c>
      <c r="AI40" s="176">
        <f>((($W$39)^M40)*((1-($W$39))^($U$30-M40))*HLOOKUP($U$30,$AV$24:$BF$34,M40+1))*V44</f>
        <v>1.5051768600930167E-5</v>
      </c>
      <c r="AJ40" s="28">
        <v>1</v>
      </c>
      <c r="AK40" s="176">
        <f>((($W$39)^M40)*((1-($W$39))^($U$31-M40))*HLOOKUP($U$31,$AV$24:$BF$34,M40+1))*V45</f>
        <v>4.0259046569124903E-7</v>
      </c>
      <c r="AL40" s="28">
        <v>1</v>
      </c>
      <c r="AM40" s="176">
        <f>((($W$39)^Q40)*((1-($W$39))^($U$32-Q40))*HLOOKUP($U$32,$AV$24:$BF$34,Q40+1))*V46</f>
        <v>7.2543191014648094E-9</v>
      </c>
      <c r="AN40" s="28">
        <v>1</v>
      </c>
      <c r="AO40" s="176">
        <f>((($W$39)^Q40)*((1-($W$39))^($U$33-Q40))*HLOOKUP($U$33,$AV$24:$BF$34,Q40+1))*V47</f>
        <v>8.5747526379189229E-11</v>
      </c>
      <c r="AP40" s="28">
        <v>1</v>
      </c>
      <c r="AQ40" s="176">
        <f>((($W$39)^Q40)*((1-($W$39))^($U$34-Q40))*HLOOKUP($U$34,$AV$24:$BF$34,Q40+1))*V48</f>
        <v>6.1983450194227215E-13</v>
      </c>
      <c r="AR40" s="28">
        <v>1</v>
      </c>
      <c r="AS40" s="176">
        <f>((($W$39)^Q40)*((1-($W$39))^($U$35-Q40))*HLOOKUP($U$35,$AV$24:$BF$34,Q40+1))*V49</f>
        <v>2.3617576831218539E-15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1.6815069962749184E-3</v>
      </c>
      <c r="BQ40" s="31">
        <f t="shared" si="31"/>
        <v>9</v>
      </c>
      <c r="BR40" s="31">
        <v>1</v>
      </c>
      <c r="BS40" s="107">
        <f t="shared" si="32"/>
        <v>2.5291012138350436E-3</v>
      </c>
    </row>
    <row r="41" spans="1:71" x14ac:dyDescent="0.25">
      <c r="G41" s="91">
        <v>2</v>
      </c>
      <c r="H41" s="130">
        <f>L39*J41+J40*L40+J39*L41</f>
        <v>0.26305565424402777</v>
      </c>
      <c r="I41" s="138">
        <v>2</v>
      </c>
      <c r="J41" s="86">
        <f t="shared" si="29"/>
        <v>0.29580667051327342</v>
      </c>
      <c r="K41" s="95">
        <v>2</v>
      </c>
      <c r="L41" s="86">
        <f>AJ18</f>
        <v>5.7969970101365002E-2</v>
      </c>
      <c r="M41" s="85">
        <v>2</v>
      </c>
      <c r="N41" s="173">
        <f>(($C$24)^M27)*((1-($C$24))^($B$21-M27))*HLOOKUP($B$21,$AV$24:$BF$34,M27+1)</f>
        <v>0.19939600077341263</v>
      </c>
      <c r="O41" s="72">
        <v>2</v>
      </c>
      <c r="P41" s="173">
        <f t="shared" si="30"/>
        <v>0.19939600077341263</v>
      </c>
      <c r="Q41" s="28">
        <v>2</v>
      </c>
      <c r="R41" s="174">
        <f>P41*N39+P40*N40+P39*N41</f>
        <v>0.30182165212875928</v>
      </c>
      <c r="S41" s="72">
        <v>2</v>
      </c>
      <c r="T41" s="175">
        <f t="shared" si="33"/>
        <v>7.4625000000000011E-5</v>
      </c>
      <c r="U41" s="138">
        <v>2</v>
      </c>
      <c r="V41" s="86">
        <f>R41*T39+T40*R40+R39*T41</f>
        <v>0.30141635396114247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0.24011144263842196</v>
      </c>
      <c r="AD41" s="28">
        <v>2</v>
      </c>
      <c r="AE41" s="176">
        <f>((($W$39)^M41)*((1-($W$39))^($U$28-M41))*HLOOKUP($U$28,$AV$24:$BF$34,M41+1))*V42</f>
        <v>5.0734429108684226E-2</v>
      </c>
      <c r="AF41" s="28">
        <v>2</v>
      </c>
      <c r="AG41" s="176">
        <f>((($W$39)^M41)*((1-($W$39))^($U$29-M41))*HLOOKUP($U$29,$AV$24:$BF$34,M41+1))*V43</f>
        <v>4.7022481627372621E-3</v>
      </c>
      <c r="AH41" s="28">
        <v>2</v>
      </c>
      <c r="AI41" s="176">
        <f>((($W$39)^M41)*((1-($W$39))^($U$30-M41))*HLOOKUP($U$30,$AV$24:$BF$34,M41+1))*V44</f>
        <v>2.5000860772871118E-4</v>
      </c>
      <c r="AJ41" s="28">
        <v>2</v>
      </c>
      <c r="AK41" s="176">
        <f>((($W$39)^M41)*((1-($W$39))^($U$31-M41))*HLOOKUP($U$31,$AV$24:$BF$34,M41+1))*V45</f>
        <v>8.3587421253359074E-6</v>
      </c>
      <c r="AL41" s="28">
        <v>2</v>
      </c>
      <c r="AM41" s="176">
        <f>((($W$39)^Q41)*((1-($W$39))^($U$32-Q41))*HLOOKUP($U$32,$AV$24:$BF$34,Q41+1))*V46</f>
        <v>1.8074044319930615E-7</v>
      </c>
      <c r="AN41" s="28">
        <v>2</v>
      </c>
      <c r="AO41" s="176">
        <f>((($W$39)^Q41)*((1-($W$39))^($U$33-Q41))*HLOOKUP($U$33,$AV$24:$BF$34,Q41+1))*V47</f>
        <v>2.4924535744327852E-9</v>
      </c>
      <c r="AP41" s="28">
        <v>2</v>
      </c>
      <c r="AQ41" s="176">
        <f>((($W$39)^Q41)*((1-($W$39))^($U$34-Q41))*HLOOKUP($U$34,$AV$24:$BF$34,Q41+1))*V48</f>
        <v>2.0590797661243634E-11</v>
      </c>
      <c r="AR41" s="28">
        <v>2</v>
      </c>
      <c r="AS41" s="176">
        <f>((($W$39)^Q41)*((1-($W$39))^($U$35-Q41))*HLOOKUP($U$35,$AV$24:$BF$34,Q41+1))*V49</f>
        <v>8.8264341092456923E-14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3.86272748705388E-4</v>
      </c>
      <c r="BQ41" s="31">
        <f t="shared" si="31"/>
        <v>9</v>
      </c>
      <c r="BR41" s="31">
        <v>2</v>
      </c>
      <c r="BS41" s="107">
        <f t="shared" si="32"/>
        <v>3.1358472524941252E-3</v>
      </c>
    </row>
    <row r="42" spans="1:71" ht="15" customHeight="1" x14ac:dyDescent="0.25">
      <c r="G42" s="91">
        <v>3</v>
      </c>
      <c r="H42" s="130">
        <f>J42*L39+J41*L40+L42*J39+L41*J40</f>
        <v>0.21275314234342924</v>
      </c>
      <c r="I42" s="138">
        <v>3</v>
      </c>
      <c r="J42" s="86">
        <f t="shared" si="29"/>
        <v>0.16865516020098514</v>
      </c>
      <c r="K42" s="95">
        <v>3</v>
      </c>
      <c r="L42" s="86">
        <f>AK18</f>
        <v>9.3511825438589491E-2</v>
      </c>
      <c r="M42" s="85">
        <v>3</v>
      </c>
      <c r="N42" s="173">
        <f>(($C$24)^M28)*((1-($C$24))^($B$21-M28))*HLOOKUP($B$21,$AV$24:$BF$34,M28+1)</f>
        <v>4.8547173315865152E-2</v>
      </c>
      <c r="O42" s="72">
        <v>3</v>
      </c>
      <c r="P42" s="173">
        <f t="shared" si="30"/>
        <v>4.8547173315865152E-2</v>
      </c>
      <c r="Q42" s="28">
        <v>3</v>
      </c>
      <c r="R42" s="174">
        <f>P42*N39+P41*N40+P40*N41+P39*N42</f>
        <v>0.19595963810095171</v>
      </c>
      <c r="S42" s="72">
        <v>3</v>
      </c>
      <c r="T42" s="175">
        <f t="shared" si="33"/>
        <v>1.2500000000000002E-7</v>
      </c>
      <c r="U42" s="138">
        <v>3</v>
      </c>
      <c r="V42" s="86">
        <f>R42*T39+R41*T40+R40*T41+R39*T42</f>
        <v>0.19753765257712019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0.14044909850427029</v>
      </c>
      <c r="AF42" s="28">
        <v>3</v>
      </c>
      <c r="AG42" s="176">
        <f>((($W$39)^M42)*((1-($W$39))^($U$29-M42))*HLOOKUP($U$29,$AV$24:$BF$34,M42+1))*V43</f>
        <v>2.6034648541527174E-2</v>
      </c>
      <c r="AH42" s="28">
        <v>3</v>
      </c>
      <c r="AI42" s="176">
        <f>((($W$39)^M42)*((1-($W$39))^($U$30-M42))*HLOOKUP($U$30,$AV$24:$BF$34,M42+1))*V44</f>
        <v>2.0763109504150215E-3</v>
      </c>
      <c r="AJ42" s="28">
        <v>3</v>
      </c>
      <c r="AK42" s="176">
        <f>((($W$39)^M42)*((1-($W$39))^($U$31-M42))*HLOOKUP($U$31,$AV$24:$BF$34,M42+1))*V45</f>
        <v>9.2558668088542378E-5</v>
      </c>
      <c r="AL42" s="28">
        <v>3</v>
      </c>
      <c r="AM42" s="176">
        <f>((($W$39)^Q42)*((1-($W$39))^($U$32-Q42))*HLOOKUP($U$32,$AV$24:$BF$34,Q42+1))*V46</f>
        <v>2.5017362722486698E-6</v>
      </c>
      <c r="AN42" s="28">
        <v>3</v>
      </c>
      <c r="AO42" s="176">
        <f>((($W$39)^Q42)*((1-($W$39))^($U$33-Q42))*HLOOKUP($U$33,$AV$24:$BF$34,Q42+1))*V47</f>
        <v>4.1399443779243456E-8</v>
      </c>
      <c r="AP42" s="28">
        <v>3</v>
      </c>
      <c r="AQ42" s="176">
        <f>((($W$39)^Q42)*((1-($W$39))^($U$34-Q42))*HLOOKUP($U$34,$AV$24:$BF$34,Q42+1))*V48</f>
        <v>3.9901331578349052E-10</v>
      </c>
      <c r="AR42" s="28">
        <v>3</v>
      </c>
      <c r="AS42" s="176">
        <f>((($W$39)^Q42)*((1-($W$39))^($U$35-Q42))*HLOOKUP($U$35,$AV$24:$BF$34,Q42+1))*V49</f>
        <v>1.9547510208426974E-12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6.4986279387704978E-5</v>
      </c>
      <c r="BQ42" s="31">
        <f t="shared" si="31"/>
        <v>9</v>
      </c>
      <c r="BR42" s="31">
        <v>3</v>
      </c>
      <c r="BS42" s="107">
        <f t="shared" si="32"/>
        <v>2.5361985044359899E-3</v>
      </c>
    </row>
    <row r="43" spans="1:71" ht="15" customHeight="1" x14ac:dyDescent="0.25">
      <c r="G43" s="91">
        <v>4</v>
      </c>
      <c r="H43" s="130">
        <f>J43*L39+J42*L40+J41*L41+J40*L42</f>
        <v>0.13136173136734697</v>
      </c>
      <c r="I43" s="138">
        <v>4</v>
      </c>
      <c r="J43" s="86">
        <f t="shared" si="29"/>
        <v>6.3273735657851674E-2</v>
      </c>
      <c r="K43" s="95">
        <v>4</v>
      </c>
      <c r="L43" s="86"/>
      <c r="M43" s="85">
        <v>4</v>
      </c>
      <c r="N43" s="173">
        <f>(($C$24)^M29)*((1-($C$24))^($B$21-M29))*HLOOKUP($B$21,$AV$24:$BF$34,M29+1)</f>
        <v>5.9099180219739575E-3</v>
      </c>
      <c r="O43" s="72">
        <v>4</v>
      </c>
      <c r="P43" s="173">
        <f t="shared" si="30"/>
        <v>5.9099180219739575E-3</v>
      </c>
      <c r="Q43" s="28">
        <v>4</v>
      </c>
      <c r="R43" s="174">
        <f>P43*N39+P42*N40+P41*N41+P40*N42+P39*N43</f>
        <v>8.3493406761304623E-2</v>
      </c>
      <c r="S43" s="72">
        <v>4</v>
      </c>
      <c r="T43" s="175">
        <f t="shared" si="33"/>
        <v>0</v>
      </c>
      <c r="U43" s="138">
        <v>4</v>
      </c>
      <c r="V43" s="86">
        <f>T43*R39+T42*R40+T41*R41+T40*R42+T39*R43</f>
        <v>8.5179889215193594E-2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5.4054164722636779E-2</v>
      </c>
      <c r="AH43" s="28">
        <v>4</v>
      </c>
      <c r="AI43" s="176">
        <f>((($W$39)^M43)*((1-($W$39))^($U$30-M43))*HLOOKUP($U$30,$AV$24:$BF$34,M43+1))*V44</f>
        <v>8.6218374678749977E-3</v>
      </c>
      <c r="AJ43" s="28">
        <v>4</v>
      </c>
      <c r="AK43" s="176">
        <f>((($W$39)^M43)*((1-($W$39))^($U$31-M43))*HLOOKUP($U$31,$AV$24:$BF$34,M43+1))*V45</f>
        <v>5.7652187814851721E-4</v>
      </c>
      <c r="AL43" s="28">
        <v>4</v>
      </c>
      <c r="AM43" s="176">
        <f>((($W$39)^Q43)*((1-($W$39))^($U$32-Q43))*HLOOKUP($U$32,$AV$24:$BF$34,Q43+1))*V46</f>
        <v>2.0776814303757439E-5</v>
      </c>
      <c r="AN43" s="28">
        <v>4</v>
      </c>
      <c r="AO43" s="176">
        <f>((($W$39)^Q43)*((1-($W$39))^($U$33-Q43))*HLOOKUP($U$33,$AV$24:$BF$34,Q43+1))*V47</f>
        <v>4.2977579472588062E-7</v>
      </c>
      <c r="AP43" s="28">
        <v>4</v>
      </c>
      <c r="AQ43" s="176">
        <f>((($W$39)^Q43)*((1-($W$39))^($U$34-Q43))*HLOOKUP($U$34,$AV$24:$BF$34,Q43+1))*V48</f>
        <v>4.970683156367534E-9</v>
      </c>
      <c r="AR43" s="28">
        <v>4</v>
      </c>
      <c r="AS43" s="176">
        <f>((($W$39)^Q43)*((1-($W$39))^($U$35-Q43))*HLOOKUP($U$35,$AV$24:$BF$34,Q43+1))*V49</f>
        <v>2.8409718476776808E-11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7.7811434433775684E-6</v>
      </c>
      <c r="BQ43" s="31">
        <f t="shared" si="31"/>
        <v>9</v>
      </c>
      <c r="BR43" s="31">
        <v>4</v>
      </c>
      <c r="BS43" s="107">
        <f t="shared" si="32"/>
        <v>1.5659436235080225E-3</v>
      </c>
    </row>
    <row r="44" spans="1:71" ht="15" customHeight="1" thickBot="1" x14ac:dyDescent="0.3">
      <c r="G44" s="91">
        <v>5</v>
      </c>
      <c r="H44" s="130">
        <f>J44*L39+J43*L40+J42*L41+J41*L42</f>
        <v>6.5431818877510151E-2</v>
      </c>
      <c r="I44" s="138">
        <v>5</v>
      </c>
      <c r="J44" s="86">
        <f t="shared" si="29"/>
        <v>1.6342422640249345E-2</v>
      </c>
      <c r="K44" s="95">
        <v>5</v>
      </c>
      <c r="L44" s="86"/>
      <c r="M44" s="85">
        <v>5</v>
      </c>
      <c r="N44" s="173">
        <f>(($C$24)^M30)*((1-($C$24))^($B$21-M30))*HLOOKUP($B$21,$AV$24:$BF$34,M30+1)</f>
        <v>2.8777890567761183E-4</v>
      </c>
      <c r="O44" s="72">
        <v>5</v>
      </c>
      <c r="P44" s="173">
        <f t="shared" si="30"/>
        <v>2.8777890567761183E-4</v>
      </c>
      <c r="Q44" s="28">
        <v>5</v>
      </c>
      <c r="R44" s="174">
        <f>P44*N39+P43*N40+P42*N41+P41*N42+P40*N43+P39*N44</f>
        <v>2.439388276425386E-2</v>
      </c>
      <c r="S44" s="72">
        <v>5</v>
      </c>
      <c r="T44" s="175">
        <f t="shared" si="33"/>
        <v>0</v>
      </c>
      <c r="U44" s="138">
        <v>5</v>
      </c>
      <c r="V44" s="86">
        <f>T44*R39+T43*R40+T42*R41+T41*R42+T40*R43+T39*R44</f>
        <v>2.5284370630894733E-2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1.432079935957465E-2</v>
      </c>
      <c r="AJ44" s="28">
        <v>5</v>
      </c>
      <c r="AK44" s="176">
        <f>((($W$39)^M44)*((1-($W$39))^($U$31-M44))*HLOOKUP($U$31,$AV$24:$BF$34,M44+1))*V45</f>
        <v>1.9151959600567498E-3</v>
      </c>
      <c r="AL44" s="28">
        <v>5</v>
      </c>
      <c r="AM44" s="176">
        <f>((($W$39)^Q44)*((1-($W$39))^($U$32-Q44))*HLOOKUP($U$32,$AV$24:$BF$34,Q44+1))*V46</f>
        <v>1.035303402843843E-4</v>
      </c>
      <c r="AN44" s="28">
        <v>5</v>
      </c>
      <c r="AO44" s="176">
        <f>((($W$39)^Q44)*((1-($W$39))^($U$33-Q44))*HLOOKUP($U$33,$AV$24:$BF$34,Q44+1))*V47</f>
        <v>2.8554158896191842E-6</v>
      </c>
      <c r="AP44" s="28">
        <v>5</v>
      </c>
      <c r="AQ44" s="176">
        <f>((($W$39)^Q44)*((1-($W$39))^($U$34-Q44))*HLOOKUP($U$34,$AV$24:$BF$34,Q44+1))*V48</f>
        <v>4.1281314121026475E-8</v>
      </c>
      <c r="AR44" s="28">
        <v>5</v>
      </c>
      <c r="AS44" s="176">
        <f>((($W$39)^Q44)*((1-($W$39))^($U$35-Q44))*HLOOKUP($U$35,$AV$24:$BF$34,Q44+1))*V49</f>
        <v>2.8312981752475312E-10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6.1174718590188701E-3</v>
      </c>
      <c r="BQ44" s="31">
        <f t="shared" si="31"/>
        <v>9</v>
      </c>
      <c r="BR44" s="31">
        <v>5</v>
      </c>
      <c r="BS44" s="107">
        <f t="shared" si="32"/>
        <v>7.8000296189182489E-4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2.5973357522592444E-2</v>
      </c>
      <c r="I45" s="138">
        <v>6</v>
      </c>
      <c r="J45" s="86">
        <f t="shared" si="29"/>
        <v>2.9496295662665853E-3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4.9493388776173635E-3</v>
      </c>
      <c r="S45" s="72">
        <v>6</v>
      </c>
      <c r="T45" s="175">
        <f t="shared" si="33"/>
        <v>0</v>
      </c>
      <c r="U45" s="138">
        <v>6</v>
      </c>
      <c r="V45" s="86">
        <f>T45*R39+T44*R40+T43*R41+T42*R42+T41*R43+T40*R44+T39*R45</f>
        <v>5.2439828733910968E-3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2.6509369551863974E-3</v>
      </c>
      <c r="AL45" s="28">
        <v>6</v>
      </c>
      <c r="AM45" s="176">
        <f>((($W$39)^Q45)*((1-($W$39))^($U$32-Q45))*HLOOKUP($U$32,$AV$24:$BF$34,Q45+1))*V46</f>
        <v>2.866050375699047E-4</v>
      </c>
      <c r="AN45" s="28">
        <v>6</v>
      </c>
      <c r="AO45" s="176">
        <f>((($W$39)^Q45)*((1-($W$39))^($U$33-Q45))*HLOOKUP($U$33,$AV$24:$BF$34,Q45+1))*V47</f>
        <v>1.1857054309983468E-5</v>
      </c>
      <c r="AP45" s="28">
        <v>6</v>
      </c>
      <c r="AQ45" s="176">
        <f>((($W$39)^Q45)*((1-($W$39))^($U$34-Q45))*HLOOKUP($U$34,$AV$24:$BF$34,Q45+1))*V48</f>
        <v>2.2855971596524143E-7</v>
      </c>
      <c r="AR45" s="28">
        <v>6</v>
      </c>
      <c r="AS45" s="176">
        <f>((($W$39)^Q45)*((1-($W$39))^($U$35-Q45))*HLOOKUP($U$35,$AV$24:$BF$34,Q45+1))*V49</f>
        <v>1.9594843348805654E-9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1.8734183557470058E-3</v>
      </c>
      <c r="BQ45" s="31">
        <f t="shared" si="31"/>
        <v>9</v>
      </c>
      <c r="BR45" s="31">
        <v>6</v>
      </c>
      <c r="BS45" s="107">
        <f t="shared" si="32"/>
        <v>3.0962452435906267E-4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7.9540970297178066E-3</v>
      </c>
      <c r="I46" s="138">
        <v>7</v>
      </c>
      <c r="J46" s="86">
        <f t="shared" si="29"/>
        <v>3.6899243723901188E-4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6.8858355478877914E-4</v>
      </c>
      <c r="S46" s="72">
        <v>7</v>
      </c>
      <c r="T46" s="175">
        <f t="shared" si="33"/>
        <v>0</v>
      </c>
      <c r="U46" s="138">
        <v>7</v>
      </c>
      <c r="V46" s="86">
        <f>T46*R39+T45*R40+T44*R41+T43*R42+T42*R43+T41*R44+T40*R45+T39*R46</f>
        <v>7.5363672767243687E-4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3.4003467969518595E-4</v>
      </c>
      <c r="AN46" s="28">
        <v>7</v>
      </c>
      <c r="AO46" s="176">
        <f>((($W$39)^Q46)*((1-($W$39))^($U$33-Q46))*HLOOKUP($U$33,$AV$24:$BF$34,Q46+1))*V47</f>
        <v>2.8134953234660221E-5</v>
      </c>
      <c r="AP46" s="28">
        <v>7</v>
      </c>
      <c r="AQ46" s="176">
        <f>((($W$39)^Q46)*((1-($W$39))^($U$34-Q46))*HLOOKUP($U$34,$AV$24:$BF$34,Q46+1))*V48</f>
        <v>8.1350520355568691E-7</v>
      </c>
      <c r="AR46" s="28">
        <v>7</v>
      </c>
      <c r="AS46" s="176">
        <f>((($W$39)^Q46)*((1-($W$39))^($U$35-Q46))*HLOOKUP($U$35,$AV$24:$BF$34,Q46+1))*V49</f>
        <v>9.2991056099819557E-9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4.303582794199751E-4</v>
      </c>
      <c r="BQ46" s="31">
        <f t="shared" si="31"/>
        <v>9</v>
      </c>
      <c r="BR46" s="31">
        <v>7</v>
      </c>
      <c r="BS46" s="107">
        <f t="shared" si="32"/>
        <v>9.4819605335582903E-5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1.8272007966335742E-3</v>
      </c>
      <c r="I47" s="138">
        <v>8</v>
      </c>
      <c r="J47" s="86">
        <f t="shared" si="29"/>
        <v>3.0925442468566485E-5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6.2868835847614641E-5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7.2528628270518653E-5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2.9207450106042346E-5</v>
      </c>
      <c r="AP47" s="28">
        <v>8</v>
      </c>
      <c r="AQ47" s="176">
        <f>((($W$39)^Q47)*((1-($W$39))^($U$34-Q47))*HLOOKUP($U$34,$AV$24:$BF$34,Q47+1))*V48</f>
        <v>1.6890316074588272E-6</v>
      </c>
      <c r="AR47" s="28">
        <v>8</v>
      </c>
      <c r="AS47" s="176">
        <f>((($W$39)^Q47)*((1-($W$39))^($U$35-Q47))*HLOOKUP($U$35,$AV$24:$BF$34,Q47+1))*V49</f>
        <v>2.896075506531545E-8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7.2403200787351838E-5</v>
      </c>
      <c r="BQ47" s="31">
        <f>BM12+1</f>
        <v>9</v>
      </c>
      <c r="BR47" s="31">
        <v>8</v>
      </c>
      <c r="BS47" s="107">
        <f t="shared" si="32"/>
        <v>2.1781788398903257E-5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3.0740708959003569E-4</v>
      </c>
      <c r="I48" s="138">
        <v>9</v>
      </c>
      <c r="J48" s="86">
        <f t="shared" si="29"/>
        <v>1.6120413350143582E-6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3.4014994820161237E-6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4.3363616803459329E-6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1.558592923848139E-6</v>
      </c>
      <c r="AR48" s="28">
        <v>9</v>
      </c>
      <c r="AS48" s="176">
        <f>((($W$39)^Q48)*((1-($W$39))^($U$35-Q48))*HLOOKUP($U$35,$AV$24:$BF$34,Q48+1))*V49</f>
        <v>5.3448411166219236E-8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8.6692098146588224E-6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3.680744123449288E-5</v>
      </c>
      <c r="I49" s="94">
        <v>10</v>
      </c>
      <c r="J49" s="89">
        <f t="shared" si="29"/>
        <v>4.4388680211813762E-8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8.2816698553003799E-8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1.3837002132977005E-7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4.4388680211813762E-8</v>
      </c>
      <c r="BI49" s="31">
        <f>BQ14+1</f>
        <v>6</v>
      </c>
      <c r="BJ49" s="31">
        <v>0</v>
      </c>
      <c r="BK49" s="107">
        <f>$H$31*H39</f>
        <v>1.4800746529460798E-2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87"/>
      <c r="J50" s="287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87"/>
      <c r="X50" s="157"/>
      <c r="Y50" s="157"/>
      <c r="BI50" s="31">
        <f>BI45+1</f>
        <v>6</v>
      </c>
      <c r="BJ50" s="31">
        <v>7</v>
      </c>
      <c r="BK50" s="107">
        <f>$H$31*H46</f>
        <v>1.4876139573188722E-3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3.4173199016063573E-4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5.7492770750011101E-5</v>
      </c>
    </row>
    <row r="53" spans="1:63" x14ac:dyDescent="0.25">
      <c r="BI53" s="31">
        <f>BI48+1</f>
        <v>6</v>
      </c>
      <c r="BJ53" s="31">
        <v>10</v>
      </c>
      <c r="BK53" s="107">
        <f>$H$31*H49</f>
        <v>6.8839068858540673E-6</v>
      </c>
    </row>
    <row r="54" spans="1:63" x14ac:dyDescent="0.25">
      <c r="BI54" s="31">
        <f>BI51+1</f>
        <v>7</v>
      </c>
      <c r="BJ54" s="31">
        <v>8</v>
      </c>
      <c r="BK54" s="107">
        <f>$H$32*H47</f>
        <v>1.9414747813612584E-4</v>
      </c>
    </row>
    <row r="55" spans="1:63" x14ac:dyDescent="0.25">
      <c r="BI55" s="31">
        <f>BI52+1</f>
        <v>7</v>
      </c>
      <c r="BJ55" s="31">
        <v>9</v>
      </c>
      <c r="BK55" s="107">
        <f>$H$32*H48</f>
        <v>3.2663247145595563E-5</v>
      </c>
    </row>
    <row r="56" spans="1:63" x14ac:dyDescent="0.25">
      <c r="BI56" s="31">
        <f>BI53+1</f>
        <v>7</v>
      </c>
      <c r="BJ56" s="31">
        <v>10</v>
      </c>
      <c r="BK56" s="107">
        <f>$H$32*H49</f>
        <v>3.9109395669519903E-6</v>
      </c>
    </row>
    <row r="57" spans="1:63" x14ac:dyDescent="0.25">
      <c r="BI57" s="31">
        <f>BI55+1</f>
        <v>8</v>
      </c>
      <c r="BJ57" s="31">
        <v>9</v>
      </c>
      <c r="BK57" s="107">
        <f>$H$33*H48</f>
        <v>1.3142656297007231E-5</v>
      </c>
    </row>
    <row r="58" spans="1:63" x14ac:dyDescent="0.25">
      <c r="BI58" s="31">
        <f>BI56+1</f>
        <v>8</v>
      </c>
      <c r="BJ58" s="31">
        <v>10</v>
      </c>
      <c r="BK58" s="107">
        <f>$H$33*H49</f>
        <v>1.5736382331401888E-6</v>
      </c>
    </row>
    <row r="59" spans="1:63" x14ac:dyDescent="0.25">
      <c r="BI59" s="31">
        <f>BI58+1</f>
        <v>9</v>
      </c>
      <c r="BJ59" s="31">
        <v>10</v>
      </c>
      <c r="BK59" s="107">
        <f>$H$34*H49</f>
        <v>4.3877602174424257E-7</v>
      </c>
    </row>
  </sheetData>
  <mergeCells count="1">
    <mergeCell ref="B3:C3"/>
  </mergeCells>
  <conditionalFormatting sqref="H49">
    <cfRule type="cellIs" dxfId="83" priority="1" operator="greaterThan">
      <formula>0.15</formula>
    </cfRule>
  </conditionalFormatting>
  <conditionalFormatting sqref="H39:H49">
    <cfRule type="cellIs" dxfId="82" priority="2" operator="greaterThan">
      <formula>0.15</formula>
    </cfRule>
  </conditionalFormatting>
  <conditionalFormatting sqref="H49">
    <cfRule type="cellIs" dxfId="81" priority="3" operator="greaterThan">
      <formula>0.15</formula>
    </cfRule>
  </conditionalFormatting>
  <conditionalFormatting sqref="H39:H49">
    <cfRule type="cellIs" dxfId="80" priority="4" operator="greaterThan">
      <formula>0.15</formula>
    </cfRule>
  </conditionalFormatting>
  <conditionalFormatting sqref="H35">
    <cfRule type="cellIs" dxfId="79" priority="5" operator="greaterThan">
      <formula>0.15</formula>
    </cfRule>
  </conditionalFormatting>
  <conditionalFormatting sqref="H25:H35">
    <cfRule type="cellIs" dxfId="78" priority="6" operator="greaterThan">
      <formula>0.15</formula>
    </cfRule>
  </conditionalFormatting>
  <conditionalFormatting sqref="H35">
    <cfRule type="cellIs" dxfId="77" priority="7" operator="greaterThan">
      <formula>0.15</formula>
    </cfRule>
  </conditionalFormatting>
  <conditionalFormatting sqref="H25:H35">
    <cfRule type="cellIs" dxfId="76" priority="8" operator="greaterThan">
      <formula>0.15</formula>
    </cfRule>
  </conditionalFormatting>
  <conditionalFormatting sqref="V49">
    <cfRule type="cellIs" dxfId="75" priority="9" operator="greaterThan">
      <formula>0.15</formula>
    </cfRule>
  </conditionalFormatting>
  <conditionalFormatting sqref="V35">
    <cfRule type="cellIs" dxfId="74" priority="10" operator="greaterThan">
      <formula>0.15</formula>
    </cfRule>
  </conditionalFormatting>
  <conditionalFormatting sqref="V25:V35 V39:V49">
    <cfRule type="cellIs" dxfId="73" priority="11" operator="greaterThan">
      <formula>0.15</formula>
    </cfRule>
  </conditionalFormatting>
  <conditionalFormatting sqref="V49">
    <cfRule type="cellIs" dxfId="72" priority="12" operator="greaterThan">
      <formula>0.15</formula>
    </cfRule>
  </conditionalFormatting>
  <conditionalFormatting sqref="V35">
    <cfRule type="cellIs" dxfId="71" priority="13" operator="greaterThan">
      <formula>0.15</formula>
    </cfRule>
  </conditionalFormatting>
  <conditionalFormatting sqref="V25:V35 V39:V49">
    <cfRule type="cellIs" dxfId="70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5D88B-A1B6-4C22-8E7A-215125136EBC}">
  <sheetPr>
    <tabColor rgb="FF92D050"/>
  </sheetPr>
  <dimension ref="A1:BS59"/>
  <sheetViews>
    <sheetView zoomScale="90" zoomScaleNormal="90" workbookViewId="0">
      <selection activeCell="E16" sqref="E16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89" t="s">
        <v>190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4</v>
      </c>
      <c r="Q1" s="263">
        <f>COUNTIF(F10:H10,"CAB")+COUNTIF(E9:I9,"CAB")</f>
        <v>0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89" t="s">
        <v>191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3.6700000000000004</v>
      </c>
      <c r="S2" s="166">
        <f>SUM(S4:S15)</f>
        <v>3.6700000000000004</v>
      </c>
      <c r="T2" s="219">
        <f>SUM(T4:T16)</f>
        <v>0.34884687228570888</v>
      </c>
      <c r="U2" s="219">
        <f>SUM(U4:U16)</f>
        <v>1.1170263571970218</v>
      </c>
      <c r="V2" s="157"/>
      <c r="W2" s="157"/>
      <c r="X2" s="253">
        <f>SUM(X4:X16)</f>
        <v>0.20153983323612362</v>
      </c>
      <c r="Y2" s="254">
        <f>SUM(Y4:Y16)</f>
        <v>0.6134144533225192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88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2" t="s">
        <v>5</v>
      </c>
      <c r="C3" s="292"/>
      <c r="D3" s="31" t="str">
        <f>IF(B3="Sol","SI",IF(B3="Lluvia","SI","NO"))</f>
        <v>SI</v>
      </c>
      <c r="E3" s="211"/>
      <c r="F3" s="212"/>
      <c r="G3" s="281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1" t="s">
        <v>1</v>
      </c>
      <c r="F4" s="281" t="s">
        <v>138</v>
      </c>
      <c r="G4" s="281" t="s">
        <v>138</v>
      </c>
      <c r="H4" s="281" t="s">
        <v>138</v>
      </c>
      <c r="I4" s="281" t="s">
        <v>1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0</v>
      </c>
      <c r="Q4" s="214">
        <f>COUNTIF(E8:I9,"IMP")</f>
        <v>1</v>
      </c>
      <c r="R4" s="221">
        <f t="shared" ref="R4:R14" si="0">IF(P4+Q4=0,0,N4)</f>
        <v>0.45</v>
      </c>
      <c r="S4" s="221">
        <f t="shared" ref="S4:S16" si="1">R4*$N$2/$R$2</f>
        <v>0.45</v>
      </c>
      <c r="T4" s="226">
        <f>IF(S4=0,0,S4*(P4^2.7/(P4^2.7+Q4^2.7))*P4/L4)</f>
        <v>0</v>
      </c>
      <c r="U4" s="228">
        <f>IF(S4=0,0,S4*Q4^2.7/(P4^2.7+Q4^2.7)*Q4/L4)</f>
        <v>7.4999999999999997E-2</v>
      </c>
      <c r="V4" s="218">
        <f>$G$17</f>
        <v>0.56999999999999995</v>
      </c>
      <c r="W4" s="216">
        <f>$H$17</f>
        <v>0.56999999999999995</v>
      </c>
      <c r="X4" s="251">
        <f>V4*T4</f>
        <v>0</v>
      </c>
      <c r="Y4" s="252">
        <f>W4*U4</f>
        <v>4.2749999999999996E-2</v>
      </c>
      <c r="Z4" s="190"/>
      <c r="AA4" s="244">
        <f>X4</f>
        <v>0</v>
      </c>
      <c r="AB4" s="245">
        <f>1-AA4</f>
        <v>1</v>
      </c>
      <c r="AC4" s="245">
        <f>PRODUCT(AB5:AB16)*AA4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4.2749999999999996E-2</v>
      </c>
      <c r="AH4" s="247">
        <f t="shared" ref="AH4:AH16" si="2">(1-AG4)</f>
        <v>0.95725000000000005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0.11278947202307428</v>
      </c>
      <c r="BM4" s="31">
        <v>0</v>
      </c>
      <c r="BN4" s="31">
        <v>0</v>
      </c>
      <c r="BO4" s="107">
        <f>H25*H39</f>
        <v>5.169754277229955E-2</v>
      </c>
      <c r="BQ4" s="31">
        <v>1</v>
      </c>
      <c r="BR4" s="31">
        <v>0</v>
      </c>
      <c r="BS4" s="107">
        <f>$H$26*H39</f>
        <v>4.8333948111235606E-2</v>
      </c>
    </row>
    <row r="5" spans="1:71" ht="15.75" x14ac:dyDescent="0.25">
      <c r="A5" s="40" t="s">
        <v>26</v>
      </c>
      <c r="B5" s="154">
        <v>550</v>
      </c>
      <c r="C5" s="154">
        <v>352</v>
      </c>
      <c r="E5" s="281" t="s">
        <v>1</v>
      </c>
      <c r="F5" s="281" t="s">
        <v>151</v>
      </c>
      <c r="G5" s="281" t="s">
        <v>138</v>
      </c>
      <c r="H5" s="281" t="s">
        <v>151</v>
      </c>
      <c r="I5" s="281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1</v>
      </c>
      <c r="R5" s="221">
        <f t="shared" si="0"/>
        <v>0.35</v>
      </c>
      <c r="S5" s="221">
        <f t="shared" si="1"/>
        <v>0.35</v>
      </c>
      <c r="T5" s="226">
        <f t="shared" ref="T5:T9" si="5">IF(S5=0,0,S5*(P5^2.7/(P5^2.7+Q5^2.7))*P5/L5)</f>
        <v>0</v>
      </c>
      <c r="U5" s="228">
        <f t="shared" ref="U5:U9" si="6">IF(S5=0,0,S5*Q5^2.7/(P5^2.7+Q5^2.7)*Q5/L5)</f>
        <v>4.3749999999999997E-2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0</v>
      </c>
      <c r="Y5" s="252">
        <f t="shared" si="7"/>
        <v>2.4937499999999998E-2</v>
      </c>
      <c r="Z5" s="199"/>
      <c r="AA5" s="244">
        <f t="shared" ref="AA5:AA16" si="8">X5</f>
        <v>0</v>
      </c>
      <c r="AB5" s="245">
        <f t="shared" ref="AB5:AB16" si="9">1-AA5</f>
        <v>1</v>
      </c>
      <c r="AC5" s="245">
        <f>PRODUCT(AB6:AB16)*AA5*PRODUCT(AB4)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6" si="10">Y5</f>
        <v>2.4937499999999998E-2</v>
      </c>
      <c r="AH5" s="247">
        <f t="shared" si="2"/>
        <v>0.97506250000000005</v>
      </c>
      <c r="AI5" s="247">
        <f>AG5*PRODUCT(AH3:AH4)*PRODUCT(AH6:AH17)</f>
        <v>1.3080801770643163E-2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3.5521894782005398E-3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0.11520030011388029</v>
      </c>
      <c r="BM5" s="31">
        <v>1</v>
      </c>
      <c r="BN5" s="31">
        <v>1</v>
      </c>
      <c r="BO5" s="107">
        <f>$H$26*H40</f>
        <v>0.10545105619948293</v>
      </c>
      <c r="BQ5" s="31">
        <f>BQ4+1</f>
        <v>2</v>
      </c>
      <c r="BR5" s="31">
        <v>0</v>
      </c>
      <c r="BS5" s="107">
        <f>$H$27*H39</f>
        <v>2.1041482136851208E-2</v>
      </c>
    </row>
    <row r="6" spans="1:71" ht="15.75" x14ac:dyDescent="0.25">
      <c r="A6" s="2" t="s">
        <v>31</v>
      </c>
      <c r="B6" s="269">
        <v>12</v>
      </c>
      <c r="C6" s="270">
        <v>14.75</v>
      </c>
      <c r="E6" s="211"/>
      <c r="F6" s="281" t="s">
        <v>151</v>
      </c>
      <c r="G6" s="281" t="s">
        <v>151</v>
      </c>
      <c r="H6" s="281" t="s">
        <v>151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0</v>
      </c>
      <c r="Q6" s="214">
        <f>COUNTIF(E9:I11,"IMP")</f>
        <v>2</v>
      </c>
      <c r="R6" s="221">
        <f t="shared" si="0"/>
        <v>0.45</v>
      </c>
      <c r="S6" s="221">
        <f t="shared" si="1"/>
        <v>0.45</v>
      </c>
      <c r="T6" s="226">
        <f t="shared" si="5"/>
        <v>0</v>
      </c>
      <c r="U6" s="228">
        <f t="shared" si="6"/>
        <v>6.9230769230769235E-2</v>
      </c>
      <c r="V6" s="218">
        <f>$G$18</f>
        <v>0.45</v>
      </c>
      <c r="W6" s="216">
        <f>$H$18</f>
        <v>0.45</v>
      </c>
      <c r="X6" s="251">
        <f t="shared" si="7"/>
        <v>0</v>
      </c>
      <c r="Y6" s="252">
        <f t="shared" si="7"/>
        <v>3.1153846153846157E-2</v>
      </c>
      <c r="Z6" s="199"/>
      <c r="AA6" s="244">
        <f t="shared" si="8"/>
        <v>0</v>
      </c>
      <c r="AB6" s="245">
        <f t="shared" si="9"/>
        <v>1</v>
      </c>
      <c r="AC6" s="245">
        <f>PRODUCT(AB7:AB16)*AA6*PRODUCT(AB4:AB5)</f>
        <v>0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183"/>
      <c r="AF6" s="197"/>
      <c r="AG6" s="246">
        <f t="shared" si="10"/>
        <v>3.1153846153846157E-2</v>
      </c>
      <c r="AH6" s="247">
        <f t="shared" si="2"/>
        <v>0.9688461538461538</v>
      </c>
      <c r="AI6" s="247">
        <f>AG6*PRODUCT(AH3:AH5)*PRODUCT(AH7:AH17)</f>
        <v>1.6446396521601875E-2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3.93729785243208E-3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7.4577501708435856E-2</v>
      </c>
      <c r="BM6" s="31">
        <f>BI14+1</f>
        <v>2</v>
      </c>
      <c r="BN6" s="31">
        <v>2</v>
      </c>
      <c r="BO6" s="107">
        <f>$H$27*H41</f>
        <v>4.6887819556192215E-2</v>
      </c>
      <c r="BQ6" s="31">
        <f>BM5+1</f>
        <v>2</v>
      </c>
      <c r="BR6" s="31">
        <v>1</v>
      </c>
      <c r="BS6" s="107">
        <f>$H$27*H40</f>
        <v>4.5906585371984637E-2</v>
      </c>
    </row>
    <row r="7" spans="1:71" ht="15.75" x14ac:dyDescent="0.25">
      <c r="A7" s="5" t="s">
        <v>36</v>
      </c>
      <c r="B7" s="269">
        <v>16.75</v>
      </c>
      <c r="C7" s="270">
        <v>8.25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1</v>
      </c>
      <c r="Q7" s="214">
        <f>COUNTIF(E4:I4,"IMP")+COUNTIF(F5:H5,"IMP")</f>
        <v>0</v>
      </c>
      <c r="R7" s="221">
        <f t="shared" si="0"/>
        <v>0.04</v>
      </c>
      <c r="S7" s="221">
        <f t="shared" si="1"/>
        <v>0.04</v>
      </c>
      <c r="T7" s="226">
        <f t="shared" si="5"/>
        <v>5.0000000000000001E-3</v>
      </c>
      <c r="U7" s="228">
        <f t="shared" si="6"/>
        <v>0</v>
      </c>
      <c r="V7" s="218">
        <f>$G$18</f>
        <v>0.45</v>
      </c>
      <c r="W7" s="216">
        <f>$H$18</f>
        <v>0.45</v>
      </c>
      <c r="X7" s="251">
        <f t="shared" si="7"/>
        <v>2.2500000000000003E-3</v>
      </c>
      <c r="Y7" s="252">
        <f t="shared" si="7"/>
        <v>0</v>
      </c>
      <c r="Z7" s="199"/>
      <c r="AA7" s="244">
        <f t="shared" si="8"/>
        <v>2.2500000000000003E-3</v>
      </c>
      <c r="AB7" s="245">
        <f t="shared" si="9"/>
        <v>0.99775000000000003</v>
      </c>
      <c r="AC7" s="245">
        <f>PRODUCT(AB8:AB$16)*AA7*PRODUCT(AB$4:AB6)</f>
        <v>1.8364013049942897E-3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3.8024866129694756E-4</v>
      </c>
      <c r="AE7" s="183"/>
      <c r="AF7" s="197"/>
      <c r="AG7" s="246">
        <f t="shared" si="10"/>
        <v>0</v>
      </c>
      <c r="AH7" s="247">
        <f t="shared" si="2"/>
        <v>1</v>
      </c>
      <c r="AI7" s="247">
        <f>AG7*PRODUCT(AH3:AH6)*PRODUCT(AH8:AH17)</f>
        <v>0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3.4311220362901025E-2</v>
      </c>
      <c r="BM7" s="31">
        <f>BI23+1</f>
        <v>3</v>
      </c>
      <c r="BN7" s="31">
        <v>3</v>
      </c>
      <c r="BO7" s="107">
        <f>$H$28*H42</f>
        <v>8.1663176744281585E-3</v>
      </c>
      <c r="BQ7" s="31">
        <f>BQ5+1</f>
        <v>3</v>
      </c>
      <c r="BR7" s="31">
        <v>0</v>
      </c>
      <c r="BS7" s="107">
        <f>$H$28*H39</f>
        <v>5.6609372477568615E-3</v>
      </c>
    </row>
    <row r="8" spans="1:71" ht="15.75" x14ac:dyDescent="0.25">
      <c r="A8" s="5" t="s">
        <v>39</v>
      </c>
      <c r="B8" s="269">
        <v>19.25</v>
      </c>
      <c r="C8" s="270">
        <v>6.5</v>
      </c>
      <c r="E8" s="213"/>
      <c r="F8" s="214"/>
      <c r="G8" s="282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2</v>
      </c>
      <c r="Q8" s="214">
        <f>COUNTIF(E10:I11,"RAP")</f>
        <v>2</v>
      </c>
      <c r="R8" s="221">
        <f t="shared" si="0"/>
        <v>0.5</v>
      </c>
      <c r="S8" s="221">
        <f t="shared" si="1"/>
        <v>0.5</v>
      </c>
      <c r="T8" s="226">
        <f t="shared" si="5"/>
        <v>6.25E-2</v>
      </c>
      <c r="U8" s="228">
        <f t="shared" si="6"/>
        <v>6.25E-2</v>
      </c>
      <c r="V8" s="218">
        <f>$G$17</f>
        <v>0.56999999999999995</v>
      </c>
      <c r="W8" s="216">
        <f>$H$17</f>
        <v>0.56999999999999995</v>
      </c>
      <c r="X8" s="251">
        <f t="shared" si="7"/>
        <v>3.5624999999999997E-2</v>
      </c>
      <c r="Y8" s="252">
        <f t="shared" si="7"/>
        <v>3.5624999999999997E-2</v>
      </c>
      <c r="Z8" s="199"/>
      <c r="AA8" s="244">
        <f t="shared" si="8"/>
        <v>3.5624999999999997E-2</v>
      </c>
      <c r="AB8" s="245">
        <f t="shared" si="9"/>
        <v>0.96437499999999998</v>
      </c>
      <c r="AC8" s="245">
        <f>PRODUCT(AB9:AB$16)*AA8*PRODUCT(AB$4:AB7)</f>
        <v>3.0082625741285798E-2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5.1176812995736365E-3</v>
      </c>
      <c r="AE8" s="183"/>
      <c r="AF8" s="197"/>
      <c r="AG8" s="246">
        <f t="shared" si="10"/>
        <v>3.5624999999999997E-2</v>
      </c>
      <c r="AH8" s="247">
        <f t="shared" si="2"/>
        <v>0.96437499999999998</v>
      </c>
      <c r="AI8" s="247">
        <f>AG8*PRODUCT(AH3:AH7)*PRODUCT(AH9:AH17)</f>
        <v>1.8893953191723361E-2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3.8252854841023844E-3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1.1751727901818582E-2</v>
      </c>
      <c r="BM8" s="31">
        <f>BI31+1</f>
        <v>4</v>
      </c>
      <c r="BN8" s="31">
        <v>4</v>
      </c>
      <c r="BO8" s="107">
        <f>$H$29*H43</f>
        <v>6.9840769843865376E-4</v>
      </c>
      <c r="BQ8" s="31">
        <f>BQ6+1</f>
        <v>3</v>
      </c>
      <c r="BR8" s="31">
        <v>1</v>
      </c>
      <c r="BS8" s="107">
        <f>$H$28*H40</f>
        <v>1.2350570048222254E-2</v>
      </c>
    </row>
    <row r="9" spans="1:71" ht="15.75" x14ac:dyDescent="0.25">
      <c r="A9" s="5" t="s">
        <v>42</v>
      </c>
      <c r="B9" s="269">
        <v>17.25</v>
      </c>
      <c r="C9" s="270">
        <v>5.5</v>
      </c>
      <c r="E9" s="282" t="s">
        <v>151</v>
      </c>
      <c r="F9" s="282" t="s">
        <v>33</v>
      </c>
      <c r="G9" s="282" t="s">
        <v>151</v>
      </c>
      <c r="H9" s="282" t="s">
        <v>151</v>
      </c>
      <c r="I9" s="282" t="s">
        <v>151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2</v>
      </c>
      <c r="Q9" s="214">
        <f>COUNTIF(E10:I11,"RAP")</f>
        <v>2</v>
      </c>
      <c r="R9" s="221">
        <f t="shared" si="0"/>
        <v>0.5</v>
      </c>
      <c r="S9" s="221">
        <f t="shared" si="1"/>
        <v>0.5</v>
      </c>
      <c r="T9" s="226">
        <f t="shared" si="5"/>
        <v>6.25E-2</v>
      </c>
      <c r="U9" s="228">
        <f t="shared" si="6"/>
        <v>6.25E-2</v>
      </c>
      <c r="V9" s="218">
        <f>$G$17</f>
        <v>0.56999999999999995</v>
      </c>
      <c r="W9" s="216">
        <f>$H$17</f>
        <v>0.56999999999999995</v>
      </c>
      <c r="X9" s="251">
        <f t="shared" si="7"/>
        <v>3.5624999999999997E-2</v>
      </c>
      <c r="Y9" s="252">
        <f t="shared" si="7"/>
        <v>3.5624999999999997E-2</v>
      </c>
      <c r="Z9" s="199"/>
      <c r="AA9" s="244">
        <f t="shared" si="8"/>
        <v>3.5624999999999997E-2</v>
      </c>
      <c r="AB9" s="245">
        <f t="shared" si="9"/>
        <v>0.96437499999999998</v>
      </c>
      <c r="AC9" s="245">
        <f>PRODUCT(AB10:AB$16)*AA9*PRODUCT(AB$4:AB8)</f>
        <v>3.0082625741285795E-2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4.0063983007056578E-3</v>
      </c>
      <c r="AE9" s="183"/>
      <c r="AF9" s="197"/>
      <c r="AG9" s="246">
        <f t="shared" si="10"/>
        <v>3.5624999999999997E-2</v>
      </c>
      <c r="AH9" s="247">
        <f t="shared" si="2"/>
        <v>0.96437499999999998</v>
      </c>
      <c r="AI9" s="247">
        <f>AG9*PRODUCT(AH3:AH8)*PRODUCT(AH10:AH17)</f>
        <v>1.8893953191723361E-2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3.1273235061838938E-3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3.0412617209054846E-3</v>
      </c>
      <c r="BM9" s="31">
        <f>BI38+1</f>
        <v>5</v>
      </c>
      <c r="BN9" s="31">
        <v>5</v>
      </c>
      <c r="BO9" s="107">
        <f>$H$30*H44</f>
        <v>3.2497234290924034E-5</v>
      </c>
      <c r="BQ9" s="31">
        <f>BM6+1</f>
        <v>3</v>
      </c>
      <c r="BR9" s="31">
        <v>2</v>
      </c>
      <c r="BS9" s="107">
        <f>$H$28*H41</f>
        <v>1.2614558350283194E-2</v>
      </c>
    </row>
    <row r="10" spans="1:71" ht="15.75" x14ac:dyDescent="0.25">
      <c r="A10" s="6" t="s">
        <v>45</v>
      </c>
      <c r="B10" s="269">
        <v>1.25</v>
      </c>
      <c r="C10" s="270">
        <v>7.25</v>
      </c>
      <c r="E10" s="282" t="s">
        <v>138</v>
      </c>
      <c r="F10" s="282" t="s">
        <v>151</v>
      </c>
      <c r="G10" s="282" t="s">
        <v>1</v>
      </c>
      <c r="H10" s="282" t="s">
        <v>151</v>
      </c>
      <c r="I10" s="282" t="s">
        <v>2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0.19</v>
      </c>
      <c r="T10" s="226">
        <f>S10*G13</f>
        <v>8.5233644859813079E-2</v>
      </c>
      <c r="U10" s="228">
        <f>S10*G14</f>
        <v>0.10476635514018691</v>
      </c>
      <c r="V10" s="218">
        <f>$G$18</f>
        <v>0.45</v>
      </c>
      <c r="W10" s="216">
        <f>$H$18</f>
        <v>0.45</v>
      </c>
      <c r="X10" s="251">
        <f t="shared" si="7"/>
        <v>3.8355140186915888E-2</v>
      </c>
      <c r="Y10" s="252">
        <f t="shared" si="7"/>
        <v>4.7144859813084111E-2</v>
      </c>
      <c r="Z10" s="199"/>
      <c r="AA10" s="244">
        <f t="shared" si="8"/>
        <v>3.8355140186915888E-2</v>
      </c>
      <c r="AB10" s="245">
        <f t="shared" si="9"/>
        <v>0.96164485981308412</v>
      </c>
      <c r="AC10" s="245">
        <f>PRODUCT(AB11:AB$16)*AA10*PRODUCT(AB$4:AB9)</f>
        <v>3.2479973850819147E-2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3.030215100017824E-3</v>
      </c>
      <c r="AE10" s="183"/>
      <c r="AF10" s="197"/>
      <c r="AG10" s="246">
        <f t="shared" si="10"/>
        <v>4.7144859813084111E-2</v>
      </c>
      <c r="AH10" s="247">
        <f t="shared" si="2"/>
        <v>0.95285514018691586</v>
      </c>
      <c r="AI10" s="247">
        <f>AG10*PRODUCT(AH3:AH9)*PRODUCT(AH11:AH17)</f>
        <v>2.5305875848506257E-2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2.9365530484466744E-3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5.9451577863783064E-4</v>
      </c>
      <c r="BM10" s="31">
        <f>BI44+1</f>
        <v>6</v>
      </c>
      <c r="BN10" s="31">
        <v>6</v>
      </c>
      <c r="BO10" s="107">
        <f>$H$31*H45</f>
        <v>8.6001058660295002E-7</v>
      </c>
      <c r="BQ10" s="31">
        <f>BQ7+1</f>
        <v>4</v>
      </c>
      <c r="BR10" s="31">
        <v>0</v>
      </c>
      <c r="BS10" s="107">
        <f>$H$29*H39</f>
        <v>1.0523077139388234E-3</v>
      </c>
    </row>
    <row r="11" spans="1:71" ht="15.75" x14ac:dyDescent="0.25">
      <c r="A11" s="6" t="s">
        <v>48</v>
      </c>
      <c r="B11" s="269">
        <v>1.25</v>
      </c>
      <c r="C11" s="270">
        <v>13.75</v>
      </c>
      <c r="E11" s="213"/>
      <c r="F11" s="282" t="s">
        <v>6</v>
      </c>
      <c r="G11" s="282" t="s">
        <v>33</v>
      </c>
      <c r="H11" s="282" t="s">
        <v>1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4</v>
      </c>
      <c r="Q11" s="214">
        <f>COUNTIF(E9:I11,"CAB")</f>
        <v>1</v>
      </c>
      <c r="R11" s="221">
        <f t="shared" si="0"/>
        <v>0.19</v>
      </c>
      <c r="S11" s="221">
        <f t="shared" si="1"/>
        <v>0.19</v>
      </c>
      <c r="T11" s="226">
        <f>IF(P11&gt;0,IF(Q11&gt;0,G13^2.7/(G14^2.7+G13^2.7),1),0)*P11/L11*S11</f>
        <v>3.0756084568752892E-2</v>
      </c>
      <c r="U11" s="228">
        <f>IF(Q11&gt;0,IF(P11&gt;0,G14^2.7/(G14^2.7+G13^2.7),1),0)*Q11/L11*S11</f>
        <v>1.342208996892289E-2</v>
      </c>
      <c r="V11" s="218">
        <f>IF(P11-Q11&gt;3,0.9,IF(P11-Q11=3,0.83,IF(P11-Q11=2,0.75,IF(P11-Q11=1,0.65,IF(P11-Q11=0,0.44,IF(P11-Q11=-1,0.16,IF(P11-Q11&lt;-1,0.05,0.02)))))))</f>
        <v>0.83</v>
      </c>
      <c r="W11" s="216">
        <f>IF(Q11-P11&gt;3,0.9,IF(Q11-P11=3,0.83,IF(Q11-P11=2,0.75,IF(Q11-P11=1,0.65,IF(Q11-P11=0,0.44,IF(Q11-P11=-1,0.16,IF(Q11-P11&lt;-1,0.05,0.02)))))))</f>
        <v>0.05</v>
      </c>
      <c r="X11" s="251">
        <f t="shared" si="7"/>
        <v>2.5527550192064898E-2</v>
      </c>
      <c r="Y11" s="252">
        <f t="shared" si="7"/>
        <v>6.7110449844614455E-4</v>
      </c>
      <c r="Z11" s="199"/>
      <c r="AA11" s="244">
        <f t="shared" si="8"/>
        <v>2.5527550192064898E-2</v>
      </c>
      <c r="AB11" s="245">
        <f t="shared" si="9"/>
        <v>0.97447244980793513</v>
      </c>
      <c r="AC11" s="245">
        <f>PRODUCT(AB12:AB$16)*AA11*PRODUCT(AB$4:AB10)</f>
        <v>2.1332727437697992E-2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1.4313961030244394E-3</v>
      </c>
      <c r="AE11" s="183"/>
      <c r="AF11" s="197"/>
      <c r="AG11" s="246">
        <f t="shared" si="10"/>
        <v>6.7110449844614455E-4</v>
      </c>
      <c r="AH11" s="247">
        <f t="shared" si="2"/>
        <v>0.9993288955015539</v>
      </c>
      <c r="AI11" s="247">
        <f>AG11*PRODUCT(AH3:AH10)*PRODUCT(AH12:AH17)</f>
        <v>3.4347537805994792E-4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3.9627023922021345E-5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8.6989591012239911E-5</v>
      </c>
      <c r="BM11" s="31">
        <f>BI50+1</f>
        <v>7</v>
      </c>
      <c r="BN11" s="31">
        <v>7</v>
      </c>
      <c r="BO11" s="107">
        <f>$H$32*H46</f>
        <v>1.3110736425089287E-8</v>
      </c>
      <c r="BQ11" s="31">
        <f>BQ8+1</f>
        <v>4</v>
      </c>
      <c r="BR11" s="31">
        <v>1</v>
      </c>
      <c r="BS11" s="107">
        <f>$H$29*H40</f>
        <v>2.2958389334621133E-3</v>
      </c>
    </row>
    <row r="12" spans="1:71" ht="15.75" x14ac:dyDescent="0.25">
      <c r="A12" s="6" t="s">
        <v>52</v>
      </c>
      <c r="B12" s="269">
        <v>0.75</v>
      </c>
      <c r="C12" s="270">
        <v>9.5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1</v>
      </c>
      <c r="R12" s="221">
        <f t="shared" si="0"/>
        <v>0.04</v>
      </c>
      <c r="S12" s="221">
        <f t="shared" si="1"/>
        <v>0.04</v>
      </c>
      <c r="T12" s="226">
        <f t="shared" ref="T12" si="11">IF(S12=0,0,S12*(P12^2.7/(P12^2.7+Q12^2.7))*P12/L12)</f>
        <v>0</v>
      </c>
      <c r="U12" s="228">
        <f>IF(S12=0,0,S12*Q12^2.7/(P12^2.7+Q12^2.7)*Q12/L12)</f>
        <v>8.0000000000000002E-3</v>
      </c>
      <c r="V12" s="218">
        <f>$G$18</f>
        <v>0.45</v>
      </c>
      <c r="W12" s="216">
        <f>$H$18</f>
        <v>0.45</v>
      </c>
      <c r="X12" s="251">
        <f t="shared" si="7"/>
        <v>0</v>
      </c>
      <c r="Y12" s="252">
        <f t="shared" si="7"/>
        <v>3.6000000000000003E-3</v>
      </c>
      <c r="Z12" s="199"/>
      <c r="AA12" s="244">
        <f t="shared" si="8"/>
        <v>0</v>
      </c>
      <c r="AB12" s="245">
        <f t="shared" si="9"/>
        <v>1</v>
      </c>
      <c r="AC12" s="245">
        <f>PRODUCT(AB13:AB$16)*AA12*PRODUCT(AB$4:AB11)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0"/>
        <v>3.6000000000000003E-3</v>
      </c>
      <c r="AH12" s="247">
        <f t="shared" si="2"/>
        <v>0.99639999999999995</v>
      </c>
      <c r="AI12" s="247">
        <f>AG12*PRODUCT(AH3:AH11)*PRODUCT(AH13:AH17)</f>
        <v>1.8479179641337756E-3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2.0651920552970795E-4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9.3589536247356193E-6</v>
      </c>
      <c r="BM12" s="31">
        <f>BI54+1</f>
        <v>8</v>
      </c>
      <c r="BN12" s="31">
        <v>8</v>
      </c>
      <c r="BO12" s="107">
        <f>$H$33*H47</f>
        <v>1.1414048659288451E-10</v>
      </c>
      <c r="BQ12" s="31">
        <f>BQ9+1</f>
        <v>4</v>
      </c>
      <c r="BR12" s="31">
        <v>2</v>
      </c>
      <c r="BS12" s="107">
        <f>$H$29*H41</f>
        <v>2.3449115365471265E-3</v>
      </c>
    </row>
    <row r="13" spans="1:71" ht="15.75" x14ac:dyDescent="0.25">
      <c r="A13" s="7" t="s">
        <v>55</v>
      </c>
      <c r="B13" s="269">
        <v>13</v>
      </c>
      <c r="C13" s="270">
        <v>8.25</v>
      </c>
      <c r="E13" s="210"/>
      <c r="F13" s="210" t="s">
        <v>152</v>
      </c>
      <c r="G13" s="217">
        <f>B22</f>
        <v>0.44859813084112149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1</v>
      </c>
      <c r="Q13" s="214">
        <f>COUNTIF(E10:I11,"CAB")</f>
        <v>1</v>
      </c>
      <c r="R13" s="221">
        <f t="shared" si="0"/>
        <v>0.18</v>
      </c>
      <c r="S13" s="221">
        <f t="shared" si="1"/>
        <v>0.18</v>
      </c>
      <c r="T13" s="226">
        <f>IF((Q13+P13)=0,0,S13*P14/4*P13/L13)</f>
        <v>1.2857142857142857E-2</v>
      </c>
      <c r="U13" s="228">
        <f>IF(P13+Q13=0,0,S13*Q14/4*Q13/L13)</f>
        <v>1.2857142857142857E-2</v>
      </c>
      <c r="V13" s="218">
        <v>1</v>
      </c>
      <c r="W13" s="216">
        <v>1</v>
      </c>
      <c r="X13" s="251">
        <f t="shared" si="7"/>
        <v>1.2857142857142857E-2</v>
      </c>
      <c r="Y13" s="252">
        <f t="shared" si="7"/>
        <v>1.2857142857142857E-2</v>
      </c>
      <c r="Z13" s="199"/>
      <c r="AA13" s="244">
        <f t="shared" si="8"/>
        <v>1.2857142857142857E-2</v>
      </c>
      <c r="AB13" s="245">
        <f t="shared" si="9"/>
        <v>0.9871428571428571</v>
      </c>
      <c r="AC13" s="245">
        <f>PRODUCT(AB14:AB$16)*AA13*PRODUCT(AB$4:AB12)</f>
        <v>1.0606479896139231E-2</v>
      </c>
      <c r="AD13" s="245">
        <f>AA13*AA14*PRODUCT(AB3:AB12)*PRODUCT(AB15:AB17)+AA13*AA15*PRODUCT(AB3:AB12)*AB14*PRODUCT(AB16:AB17)+AA13*AA16*PRODUCT(AB3:AB12)*AB14*AB15*AB17+AA13*AA17*PRODUCT(AB3:AB12)*AB14*AB15*AB16</f>
        <v>5.7353475141977699E-4</v>
      </c>
      <c r="AE13" s="183"/>
      <c r="AF13" s="197"/>
      <c r="AG13" s="246">
        <f t="shared" si="10"/>
        <v>1.2857142857142857E-2</v>
      </c>
      <c r="AH13" s="247">
        <f t="shared" si="2"/>
        <v>0.9871428571428571</v>
      </c>
      <c r="AI13" s="247">
        <f>AG13*PRODUCT(AH3:AH12)*PRODUCT(AH14:AH17)</f>
        <v>6.6615971760596738E-3</v>
      </c>
      <c r="AJ13" s="247">
        <f>AG13*AG14*PRODUCT(AH3:AH12)*PRODUCT(AH15:AH17)+AG13*AG15*PRODUCT(AH3:AH12)*AH14*PRODUCT(AH16:AH17)+AG13*AG16*PRODUCT(AH3:AH12)*AH14*AH15*AH17+AG13*AG17*PRODUCT(AH3:AH12)*AH14*AH15*AH16</f>
        <v>6.577206460057388E-4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7.1781856676217596E-7</v>
      </c>
      <c r="BM13" s="31">
        <f>BI57+1</f>
        <v>9</v>
      </c>
      <c r="BN13" s="31">
        <v>9</v>
      </c>
      <c r="BO13" s="107">
        <f>$H$34*H48</f>
        <v>5.5095756695482311E-13</v>
      </c>
      <c r="BQ13" s="31">
        <f>BM7+1</f>
        <v>4</v>
      </c>
      <c r="BR13" s="31">
        <v>3</v>
      </c>
      <c r="BS13" s="107">
        <f>$H$29*H42</f>
        <v>1.5180311505273898E-3</v>
      </c>
    </row>
    <row r="14" spans="1:71" ht="15.75" x14ac:dyDescent="0.25">
      <c r="A14" s="7" t="s">
        <v>58</v>
      </c>
      <c r="B14" s="269">
        <v>11</v>
      </c>
      <c r="C14" s="270">
        <v>8</v>
      </c>
      <c r="E14" s="210"/>
      <c r="F14" s="210" t="s">
        <v>153</v>
      </c>
      <c r="G14" s="215">
        <f>C22</f>
        <v>0.55140186915887845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0.18</v>
      </c>
      <c r="T14" s="226">
        <f>S14*P14^2.7/(Q14^2.7+P14^2.7)</f>
        <v>0.09</v>
      </c>
      <c r="U14" s="228">
        <f>S14*Q14^2.7/(Q14^2.7+P14^2.7)</f>
        <v>0.09</v>
      </c>
      <c r="V14" s="218">
        <f>$G$17</f>
        <v>0.56999999999999995</v>
      </c>
      <c r="W14" s="216">
        <f>$H$17</f>
        <v>0.56999999999999995</v>
      </c>
      <c r="X14" s="251">
        <f t="shared" si="7"/>
        <v>5.1299999999999991E-2</v>
      </c>
      <c r="Y14" s="252">
        <f t="shared" si="7"/>
        <v>5.1299999999999991E-2</v>
      </c>
      <c r="Z14" s="199"/>
      <c r="AA14" s="244">
        <f t="shared" si="8"/>
        <v>5.1299999999999991E-2</v>
      </c>
      <c r="AB14" s="245">
        <f t="shared" si="9"/>
        <v>0.94869999999999999</v>
      </c>
      <c r="AC14" s="245">
        <f>PRODUCT(AB15:AB$16)*AA14*PRODUCT(AB$4:AB13)</f>
        <v>4.4034723692340655E-2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5.1299999999999991E-2</v>
      </c>
      <c r="AH14" s="247">
        <f t="shared" si="2"/>
        <v>0.94869999999999999</v>
      </c>
      <c r="AI14" s="247">
        <f>AG14*PRODUCT(AH3:AH13)*PRODUCT(AH15:AH17)</f>
        <v>2.765682807773398E-2</v>
      </c>
      <c r="AJ14" s="247">
        <f>AG14*AG15*PRODUCT(AH3:AH13)*PRODUCT(AH16:AH17)+AG14*AG16*PRODUCT(AH3:AH13)*AH15*AH17+AG14*AG17*PRODUCT(AH3:AH13)*AH15*AH16</f>
        <v>1.2351312617635182E-3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0.10770502870180006</v>
      </c>
      <c r="BM14" s="31">
        <f>BQ39+1</f>
        <v>10</v>
      </c>
      <c r="BN14" s="31">
        <v>10</v>
      </c>
      <c r="BO14" s="107">
        <f>$H$35*H49</f>
        <v>1.3921907476088006E-15</v>
      </c>
      <c r="BQ14" s="31">
        <f>BQ10+1</f>
        <v>5</v>
      </c>
      <c r="BR14" s="31">
        <v>0</v>
      </c>
      <c r="BS14" s="107">
        <f>$H$30*H39</f>
        <v>1.429600118189003E-4</v>
      </c>
    </row>
    <row r="15" spans="1:71" ht="15.75" x14ac:dyDescent="0.25">
      <c r="A15" s="162" t="s">
        <v>62</v>
      </c>
      <c r="B15" s="271">
        <v>5</v>
      </c>
      <c r="C15" s="272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0</v>
      </c>
      <c r="Q15" s="214">
        <f>COUNTIF(E10:I11,"TEC")</f>
        <v>1</v>
      </c>
      <c r="R15" s="221">
        <f>IF(P15&lt;&gt;0,IF(Q1&lt;&gt;0,M15,IF(Q15&lt;&gt;0,IF(P1&lt;&gt;0,M15,0),0)),IF(Q15&lt;&gt;0,IF(P1&lt;&gt;0,M15,0),0))</f>
        <v>0.6</v>
      </c>
      <c r="S15" s="221">
        <f t="shared" si="1"/>
        <v>0.6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7.4999999999999997E-2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4.2749999999999996E-2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4.2749999999999996E-2</v>
      </c>
      <c r="AH15" s="247">
        <f t="shared" si="2"/>
        <v>0.95725000000000005</v>
      </c>
      <c r="AI15" s="247">
        <f>AG15*PRODUCT(AH3:AH14)*PRODUCT(AH16:AH17)</f>
        <v>2.284150152115107E-2</v>
      </c>
      <c r="AJ15" s="247">
        <f t="shared" ref="AJ15:AJ16" si="13">(FACT(2)/(FACT($AD$1)*FACT(2-$AD$1))*AG15^$AD$1*(1-AG15)^(2-$AD$1))</f>
        <v>1.8275624999999998E-3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6.9725269414014482E-2</v>
      </c>
      <c r="BQ15" s="31">
        <f>BQ11+1</f>
        <v>5</v>
      </c>
      <c r="BR15" s="31">
        <v>1</v>
      </c>
      <c r="BS15" s="107">
        <f>$H$30*H40</f>
        <v>3.1189846535812434E-4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79">
        <v>0.7</v>
      </c>
      <c r="H16" s="280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185</v>
      </c>
      <c r="P16" s="212">
        <f>COUNTIF(F6:H6,"POT")</f>
        <v>0</v>
      </c>
      <c r="Q16" s="214">
        <f>COUNTIF(F11:H11,"POT")</f>
        <v>1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0.5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0.28499999999999998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4">(FACT(2)/(FACT($AD$1)*FACT(2-$AD$1))*AA16^$AD$1*(1-AA16)^(2-$AD$1))</f>
        <v>0</v>
      </c>
      <c r="AE16" s="199"/>
      <c r="AF16" s="199"/>
      <c r="AG16" s="246">
        <f t="shared" si="10"/>
        <v>0.28499999999999998</v>
      </c>
      <c r="AH16" s="247">
        <f t="shared" si="2"/>
        <v>0.71500000000000008</v>
      </c>
      <c r="AI16" s="247">
        <f>AG16*PRODUCT(AH$4:AH15)</f>
        <v>0.20386971870509893</v>
      </c>
      <c r="AJ16" s="247">
        <f t="shared" si="13"/>
        <v>8.1224999999999992E-2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3.2078831134353773E-2</v>
      </c>
      <c r="BQ16" s="31">
        <f>BQ12+1</f>
        <v>5</v>
      </c>
      <c r="BR16" s="31">
        <v>2</v>
      </c>
      <c r="BS16" s="107">
        <f>$H$30*H41</f>
        <v>3.1856516543462459E-4</v>
      </c>
    </row>
    <row r="17" spans="1:71" x14ac:dyDescent="0.25">
      <c r="A17" s="161" t="s">
        <v>69</v>
      </c>
      <c r="B17" s="273" t="s">
        <v>192</v>
      </c>
      <c r="C17" s="274" t="s">
        <v>184</v>
      </c>
      <c r="E17" s="210"/>
      <c r="F17" s="210" t="s">
        <v>154</v>
      </c>
      <c r="G17" s="279">
        <v>0.56999999999999995</v>
      </c>
      <c r="H17" s="280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1.0987125812258282E-2</v>
      </c>
      <c r="BQ17" s="31">
        <f>BQ13+1</f>
        <v>5</v>
      </c>
      <c r="BR17" s="31">
        <v>3</v>
      </c>
      <c r="BS17" s="107">
        <f>$H$30*H42</f>
        <v>2.0623031490337522E-4</v>
      </c>
    </row>
    <row r="18" spans="1:71" x14ac:dyDescent="0.25">
      <c r="A18" s="161" t="s">
        <v>73</v>
      </c>
      <c r="B18" s="273">
        <v>20</v>
      </c>
      <c r="C18" s="274">
        <v>20</v>
      </c>
      <c r="E18" s="210"/>
      <c r="F18" s="209" t="s">
        <v>3</v>
      </c>
      <c r="G18" s="279">
        <v>0.45</v>
      </c>
      <c r="H18" s="280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0.81434195647024543</v>
      </c>
      <c r="AC18" s="159">
        <f>SUM(AC4:AC16)</f>
        <v>0.17045555766456288</v>
      </c>
      <c r="AD18" s="159">
        <f>SUM(AD3:AD17)</f>
        <v>1.4539474216038283E-2</v>
      </c>
      <c r="AE18" s="159">
        <f>IF((1-AB18-AC18-AD18)&lt;0,(1-AB18-AC18-AD18)-1,1-AB18-AC18-AD18)</f>
        <v>6.6301164915340098E-4</v>
      </c>
      <c r="AF18" s="197"/>
      <c r="AG18" s="157"/>
      <c r="AH18" s="160">
        <f>PRODUCT(AH3:AH17)</f>
        <v>0.51146262762858163</v>
      </c>
      <c r="AI18" s="159">
        <f>SUM(AI3:AI17)</f>
        <v>0.35584201934643545</v>
      </c>
      <c r="AJ18" s="159">
        <f>SUM(AJ3:AJ17)</f>
        <v>0.10257021000658655</v>
      </c>
      <c r="AK18" s="159">
        <f>IF((1-AH18-AI18-AJ18)&lt;0,(1-AH18-AI18-AJ18)-1,(1-AH18-AI18-AJ18))</f>
        <v>3.0125143018396375E-2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2.8433882604125614E-3</v>
      </c>
      <c r="BQ18" s="31">
        <f>BM8+1</f>
        <v>5</v>
      </c>
      <c r="BR18" s="31">
        <v>4</v>
      </c>
      <c r="BS18" s="107">
        <f>$H$30*H43</f>
        <v>9.4881346492728838E-5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5.558348280218187E-4</v>
      </c>
      <c r="BQ19" s="31">
        <f>BQ15+1</f>
        <v>6</v>
      </c>
      <c r="BR19" s="31">
        <v>1</v>
      </c>
      <c r="BS19" s="107">
        <f>$H$31*H40</f>
        <v>3.1894703218215948E-5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8.1329791567116467E-5</v>
      </c>
      <c r="BQ20" s="31">
        <f>BQ16+1</f>
        <v>6</v>
      </c>
      <c r="BR20" s="31">
        <v>2</v>
      </c>
      <c r="BS20" s="107">
        <f>$H$31*H41</f>
        <v>3.2576439244524014E-5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8.7500324892774538E-6</v>
      </c>
      <c r="BQ21" s="31">
        <f>BQ17+1</f>
        <v>6</v>
      </c>
      <c r="BR21" s="31">
        <v>3</v>
      </c>
      <c r="BS21" s="107">
        <f>$H$31*H42</f>
        <v>2.1089089620527156E-5</v>
      </c>
    </row>
    <row r="22" spans="1:71" x14ac:dyDescent="0.25">
      <c r="A22" s="26" t="s">
        <v>81</v>
      </c>
      <c r="B22" s="169">
        <f>(B6)/((B6)+(C6))</f>
        <v>0.44859813084112149</v>
      </c>
      <c r="C22" s="170">
        <f>1-B22</f>
        <v>0.55140186915887845</v>
      </c>
      <c r="V22" s="171">
        <f>SUM(V25:V35)</f>
        <v>1</v>
      </c>
      <c r="AS22" s="82">
        <f>Y23+AA23+AC23+AE23+AG23+AI23+AK23+AM23+AO23+AQ23+AS23</f>
        <v>0.99999999999999978</v>
      </c>
      <c r="BI22" s="31">
        <v>1</v>
      </c>
      <c r="BJ22" s="31">
        <v>10</v>
      </c>
      <c r="BK22" s="107">
        <f t="shared" si="12"/>
        <v>6.7111517295856305E-7</v>
      </c>
      <c r="BQ22" s="31">
        <f>BQ18+1</f>
        <v>6</v>
      </c>
      <c r="BR22" s="31">
        <v>4</v>
      </c>
      <c r="BS22" s="107">
        <f>$H$31*H43</f>
        <v>9.7025561951886466E-6</v>
      </c>
    </row>
    <row r="23" spans="1:71" ht="15.75" thickBot="1" x14ac:dyDescent="0.3">
      <c r="A23" s="40" t="s">
        <v>82</v>
      </c>
      <c r="B23" s="56">
        <f>((B22^2.8)/((B22^2.8)+(C22^2.8)))*B21</f>
        <v>1.7972616095555503</v>
      </c>
      <c r="C23" s="57">
        <f>B21-B23</f>
        <v>3.2027383904444497</v>
      </c>
      <c r="D23" s="149">
        <f>SUM(D25:D30)</f>
        <v>1.0003500000000001</v>
      </c>
      <c r="E23" s="149">
        <f>SUM(E25:E30)</f>
        <v>1</v>
      </c>
      <c r="H23" s="229">
        <f>SUM(H25:H35)</f>
        <v>0.9999999999817043</v>
      </c>
      <c r="I23" s="81"/>
      <c r="J23" s="229">
        <f>SUM(J25:J35)</f>
        <v>0.99999999999999989</v>
      </c>
      <c r="K23" s="229"/>
      <c r="L23" s="229">
        <f>SUM(L25:L35)</f>
        <v>1</v>
      </c>
      <c r="M23" s="81"/>
      <c r="N23" s="229">
        <f>SUM(N25:N35)</f>
        <v>0.99999999999999967</v>
      </c>
      <c r="O23" s="81"/>
      <c r="P23" s="229">
        <f>SUM(P25:P35)</f>
        <v>0.99999999999999967</v>
      </c>
      <c r="Q23" s="81"/>
      <c r="R23" s="229">
        <f>SUM(R25:R35)</f>
        <v>0.99999999999999956</v>
      </c>
      <c r="S23" s="81"/>
      <c r="T23" s="229">
        <f>SUM(T25:T35)</f>
        <v>1</v>
      </c>
      <c r="V23" s="171">
        <f>SUM(V25:V34)</f>
        <v>0.99994680410892112</v>
      </c>
      <c r="Y23" s="168">
        <f>SUM(Y25:Y35)</f>
        <v>1.1340442903601729E-2</v>
      </c>
      <c r="Z23" s="81"/>
      <c r="AA23" s="168">
        <f>SUM(AA25:AA35)</f>
        <v>6.3923423137048158E-2</v>
      </c>
      <c r="AB23" s="81"/>
      <c r="AC23" s="168">
        <f>SUM(AC25:AC35)</f>
        <v>0.1623041582899053</v>
      </c>
      <c r="AD23" s="81"/>
      <c r="AE23" s="168">
        <f>SUM(AE25:AE35)</f>
        <v>0.24453482560595033</v>
      </c>
      <c r="AF23" s="81"/>
      <c r="AG23" s="168">
        <f>SUM(AG25:AG35)</f>
        <v>0.24224414743575698</v>
      </c>
      <c r="AH23" s="81"/>
      <c r="AI23" s="168">
        <f>SUM(AI25:AI35)</f>
        <v>0.16502487098550117</v>
      </c>
      <c r="AJ23" s="81"/>
      <c r="AK23" s="168">
        <f>SUM(AK25:AK35)</f>
        <v>7.8424052504796157E-2</v>
      </c>
      <c r="AL23" s="81"/>
      <c r="AM23" s="168">
        <f>SUM(AM25:AM35)</f>
        <v>2.5756358624241294E-2</v>
      </c>
      <c r="AN23" s="81"/>
      <c r="AO23" s="168">
        <f>SUM(AO25:AO35)</f>
        <v>5.6365143294045969E-3</v>
      </c>
      <c r="AP23" s="81"/>
      <c r="AQ23" s="168">
        <f>SUM(AQ25:AQ35)</f>
        <v>7.5801029271526147E-4</v>
      </c>
      <c r="AR23" s="81"/>
      <c r="AS23" s="168">
        <f>SUM(AS25:AS35)</f>
        <v>5.3195891078883215E-5</v>
      </c>
      <c r="BI23" s="31">
        <f t="shared" ref="BI23:BI30" si="15">BI15+1</f>
        <v>2</v>
      </c>
      <c r="BJ23" s="31">
        <v>3</v>
      </c>
      <c r="BK23" s="107">
        <f t="shared" ref="BK23:BK30" si="16">$H$27*H42</f>
        <v>3.0353883102735391E-2</v>
      </c>
      <c r="BQ23" s="31">
        <f>BM9+1</f>
        <v>6</v>
      </c>
      <c r="BR23" s="31">
        <v>5</v>
      </c>
      <c r="BS23" s="107">
        <f>$H$31*H44</f>
        <v>3.32316365177285E-6</v>
      </c>
    </row>
    <row r="24" spans="1:71" ht="15.75" thickBot="1" x14ac:dyDescent="0.3">
      <c r="A24" s="26" t="s">
        <v>83</v>
      </c>
      <c r="B24" s="64">
        <f>B23/B21</f>
        <v>0.35945232191111004</v>
      </c>
      <c r="C24" s="65">
        <f>C23/B21</f>
        <v>0.6405476780888899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1.3965053107831377E-2</v>
      </c>
      <c r="BQ24" s="31">
        <f>BI49+1</f>
        <v>7</v>
      </c>
      <c r="BR24" s="31">
        <v>0</v>
      </c>
      <c r="BS24" s="107">
        <f t="shared" ref="BS24:BS30" si="17">$H$32*H39</f>
        <v>1.140075472286665E-6</v>
      </c>
    </row>
    <row r="25" spans="1:71" x14ac:dyDescent="0.25">
      <c r="A25" s="26" t="s">
        <v>108</v>
      </c>
      <c r="B25" s="172">
        <f>1/(1+EXP(-3.1416*4*((B11/(B11+C8))-(3.1416/6))))</f>
        <v>1.0426449130066672E-2</v>
      </c>
      <c r="C25" s="170">
        <f>1/(1+EXP(-3.1416*4*((C11/(C11+B8))-(3.1416/6))))</f>
        <v>0.20689125275497378</v>
      </c>
      <c r="D25" s="167">
        <f>IF(B17="AOW",0.36-0.08,IF(B17="AIM",0.36+0.08,IF(B17="TL",(0.361)-(0.36*B32),0.36)))</f>
        <v>0.23499999999999999</v>
      </c>
      <c r="E25" s="167">
        <f>IF(C17="AOW",0.36-0.08,IF(C17="AIM",0.36+0.08,IF(C17="TL",(0.361)-(0.36*C32),0.36)))</f>
        <v>0.44</v>
      </c>
      <c r="G25" s="124">
        <v>0</v>
      </c>
      <c r="H25" s="125">
        <f>L25*J25</f>
        <v>0.40406064707300243</v>
      </c>
      <c r="I25" s="97">
        <v>0</v>
      </c>
      <c r="J25" s="98">
        <f t="shared" ref="J25:J35" si="18">Y25+AA25+AC25+AE25+AG25+AI25+AK25+AM25+AO25+AQ25+AS25</f>
        <v>0.49618055887037682</v>
      </c>
      <c r="K25" s="97">
        <v>0</v>
      </c>
      <c r="L25" s="98">
        <f>AB18</f>
        <v>0.81434195647024543</v>
      </c>
      <c r="M25" s="85">
        <v>0</v>
      </c>
      <c r="N25" s="173">
        <f>(1-$B$24)^$B$21</f>
        <v>0.10783439505726133</v>
      </c>
      <c r="O25" s="72">
        <v>0</v>
      </c>
      <c r="P25" s="173">
        <f t="shared" ref="P25:P30" si="19">N25</f>
        <v>0.10783439505726133</v>
      </c>
      <c r="Q25" s="28">
        <v>0</v>
      </c>
      <c r="R25" s="174">
        <f>P25*N25</f>
        <v>1.1628256757365507E-2</v>
      </c>
      <c r="S25" s="72">
        <v>0</v>
      </c>
      <c r="T25" s="175">
        <f>(1-$B$33)^(INT(C23*2*(1-C31)))</f>
        <v>0.97524875312187509</v>
      </c>
      <c r="U25" s="138">
        <v>0</v>
      </c>
      <c r="V25" s="86">
        <f>R25*T25</f>
        <v>1.1340442903601729E-2</v>
      </c>
      <c r="W25" s="134">
        <f>B31</f>
        <v>0.18707866349801427</v>
      </c>
      <c r="X25" s="28">
        <v>0</v>
      </c>
      <c r="Y25" s="176">
        <f>V25</f>
        <v>1.1340442903601729E-2</v>
      </c>
      <c r="Z25" s="28">
        <v>0</v>
      </c>
      <c r="AA25" s="176">
        <f>((1-W25)^Z26)*V26</f>
        <v>5.1964714570351143E-2</v>
      </c>
      <c r="AB25" s="28">
        <v>0</v>
      </c>
      <c r="AC25" s="176">
        <f>(((1-$W$25)^AB27))*V27</f>
        <v>0.10725725839178275</v>
      </c>
      <c r="AD25" s="28">
        <v>0</v>
      </c>
      <c r="AE25" s="176">
        <f>(((1-$W$25)^AB28))*V28</f>
        <v>0.13136700108695595</v>
      </c>
      <c r="AF25" s="28">
        <v>0</v>
      </c>
      <c r="AG25" s="176">
        <f>(((1-$W$25)^AB29))*V29</f>
        <v>0.10579067383636918</v>
      </c>
      <c r="AH25" s="28">
        <v>0</v>
      </c>
      <c r="AI25" s="176">
        <f>(((1-$W$25)^AB30))*V30</f>
        <v>5.8585752748163328E-2</v>
      </c>
      <c r="AJ25" s="28">
        <v>0</v>
      </c>
      <c r="AK25" s="176">
        <f>(((1-$W$25)^AB31))*V31</f>
        <v>2.2632910986767049E-2</v>
      </c>
      <c r="AL25" s="28">
        <v>0</v>
      </c>
      <c r="AM25" s="176">
        <f>(((1-$W$25)^AB32))*V32</f>
        <v>6.0426038206738905E-3</v>
      </c>
      <c r="AN25" s="28">
        <v>0</v>
      </c>
      <c r="AO25" s="176">
        <f>(((1-$W$25)^AB33))*V33</f>
        <v>1.0749760672038929E-3</v>
      </c>
      <c r="AP25" s="28">
        <v>0</v>
      </c>
      <c r="AQ25" s="176">
        <f>(((1-$W$25)^AB34))*V34</f>
        <v>1.1752000608672399E-4</v>
      </c>
      <c r="AR25" s="28">
        <v>0</v>
      </c>
      <c r="AS25" s="176">
        <f>(((1-$W$25)^AB35))*V35</f>
        <v>6.7044524210857079E-6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4.7830856064544954E-3</v>
      </c>
      <c r="BQ25" s="31">
        <f>BQ19+1</f>
        <v>7</v>
      </c>
      <c r="BR25" s="31">
        <v>1</v>
      </c>
      <c r="BS25" s="107">
        <f t="shared" si="17"/>
        <v>2.4873234527225922E-6</v>
      </c>
    </row>
    <row r="26" spans="1:71" x14ac:dyDescent="0.25">
      <c r="A26" s="40" t="s">
        <v>109</v>
      </c>
      <c r="B26" s="169">
        <f>1/(1+EXP(-3.1416*4*((B10/(B10+C9))-(3.1416/6))))</f>
        <v>1.4026847843715282E-2</v>
      </c>
      <c r="C26" s="170">
        <f>1/(1+EXP(-3.1416*4*((C10/(C10+B9))-(3.1416/6))))</f>
        <v>5.4108403293740254E-2</v>
      </c>
      <c r="D26" s="167">
        <f>IF(B17="AOW",0.257+0.04,IF(B17="AIM",0.257-0.04,IF(B17="TL",(0.257)-(0.257*B32),0.257)))</f>
        <v>0.16705</v>
      </c>
      <c r="E26" s="167">
        <f>IF(C17="AOW",0.257+0.04,IF(C17="AIM",0.257-0.04,IF(C17="TL",(0.257)-(0.257*C32),0.257)))</f>
        <v>0.217</v>
      </c>
      <c r="G26" s="87">
        <v>1</v>
      </c>
      <c r="H26" s="126">
        <f>L25*J26+L26*J25</f>
        <v>0.37777126923493193</v>
      </c>
      <c r="I26" s="138">
        <v>1</v>
      </c>
      <c r="J26" s="86">
        <f t="shared" si="18"/>
        <v>0.36003859685827228</v>
      </c>
      <c r="K26" s="138">
        <v>1</v>
      </c>
      <c r="L26" s="86">
        <f>AC18</f>
        <v>0.17045555766456288</v>
      </c>
      <c r="M26" s="85">
        <v>1</v>
      </c>
      <c r="N26" s="173">
        <f>(($B$24)^M26)*((1-($B$24))^($B$21-M26))*HLOOKUP($B$21,$AV$24:$BF$34,M26+1)</f>
        <v>0.30256392311700442</v>
      </c>
      <c r="O26" s="72">
        <v>1</v>
      </c>
      <c r="P26" s="173">
        <f t="shared" si="19"/>
        <v>0.30256392311700442</v>
      </c>
      <c r="Q26" s="28">
        <v>1</v>
      </c>
      <c r="R26" s="174">
        <f>N26*P25+P26*N25</f>
        <v>6.52535952309478E-2</v>
      </c>
      <c r="S26" s="72">
        <v>1</v>
      </c>
      <c r="T26" s="175">
        <f t="shared" ref="T26:T35" si="20">(($B$33)^S26)*((1-($B$33))^(INT($C$23*2*(1-$C$31))-S26))*HLOOKUP(INT($C$23*2*(1-$C$31)),$AV$24:$BF$34,S26+1)</f>
        <v>2.4503737515625002E-2</v>
      </c>
      <c r="U26" s="138">
        <v>1</v>
      </c>
      <c r="V26" s="86">
        <f>R26*T25+T26*R25</f>
        <v>6.3923423137048158E-2</v>
      </c>
      <c r="W26" s="177"/>
      <c r="X26" s="28">
        <v>1</v>
      </c>
      <c r="Y26" s="174"/>
      <c r="Z26" s="28">
        <v>1</v>
      </c>
      <c r="AA26" s="176">
        <f>(1-((1-W25)^Z26))*V26</f>
        <v>1.1958708566697012E-2</v>
      </c>
      <c r="AB26" s="28">
        <v>1</v>
      </c>
      <c r="AC26" s="176">
        <f>((($W$25)^M26)*((1-($W$25))^($U$27-M26))*HLOOKUP($U$27,$AV$24:$BF$34,M26+1))*V27</f>
        <v>4.9366509770153832E-2</v>
      </c>
      <c r="AD26" s="28">
        <v>1</v>
      </c>
      <c r="AE26" s="176">
        <f>((($W$25)^M26)*((1-($W$25))^($U$28-M26))*HLOOKUP($U$28,$AV$24:$BF$34,M26+1))*V28</f>
        <v>9.0694985680314505E-2</v>
      </c>
      <c r="AF26" s="28">
        <v>1</v>
      </c>
      <c r="AG26" s="176">
        <f>((($W$25)^M26)*((1-($W$25))^($U$29-M26))*HLOOKUP($U$29,$AV$24:$BF$34,M26+1))*V29</f>
        <v>9.7382991358175283E-2</v>
      </c>
      <c r="AH26" s="28">
        <v>1</v>
      </c>
      <c r="AI26" s="176">
        <f>((($W$25)^M26)*((1-($W$25))^($U$30-M26))*HLOOKUP($U$30,$AV$24:$BF$34,M26+1))*V30</f>
        <v>6.7412084244911061E-2</v>
      </c>
      <c r="AJ26" s="28">
        <v>1</v>
      </c>
      <c r="AK26" s="176">
        <f>((($W$25)^M26)*((1-($W$25))^($U$31-M26))*HLOOKUP($U$31,$AV$24:$BF$34,M26+1))*V31</f>
        <v>3.1251250631654896E-2</v>
      </c>
      <c r="AL26" s="28">
        <v>1</v>
      </c>
      <c r="AM26" s="176">
        <f>((($W$25)^Q26)*((1-($W$25))^($U$32-Q26))*HLOOKUP($U$32,$AV$24:$BF$34,Q26+1))*V32</f>
        <v>9.7341469247047285E-3</v>
      </c>
      <c r="AN26" s="28">
        <v>1</v>
      </c>
      <c r="AO26" s="176">
        <f>((($W$25)^Q26)*((1-($W$25))^($U$33-Q26))*HLOOKUP($U$33,$AV$24:$BF$34,Q26+1))*V33</f>
        <v>1.9790853251333215E-3</v>
      </c>
      <c r="AP26" s="28">
        <v>1</v>
      </c>
      <c r="AQ26" s="176">
        <f>((($W$25)^Q26)*((1-($W$25))^($U$34-Q26))*HLOOKUP($U$34,$AV$24:$BF$34,Q26+1))*V34</f>
        <v>2.4340531140230702E-4</v>
      </c>
      <c r="AR26" s="28">
        <v>1</v>
      </c>
      <c r="AS26" s="176">
        <f>((($W$25)^Q26)*((1-($W$25))^($U$35-Q26))*HLOOKUP($U$35,$AV$24:$BF$34,Q26+1))*V35</f>
        <v>1.5429045125323468E-5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1.2378277717332922E-3</v>
      </c>
      <c r="BQ26" s="31">
        <f>BQ20+1</f>
        <v>7</v>
      </c>
      <c r="BR26" s="31">
        <v>2</v>
      </c>
      <c r="BS26" s="107">
        <f t="shared" si="17"/>
        <v>2.5404889578285779E-6</v>
      </c>
    </row>
    <row r="27" spans="1:71" x14ac:dyDescent="0.25">
      <c r="A27" s="26" t="s">
        <v>110</v>
      </c>
      <c r="B27" s="169">
        <f>1/(1+EXP(-3.1416*4*((B12/(B12+C7))-(3.1416/6))))</f>
        <v>3.9402344293599442E-3</v>
      </c>
      <c r="C27" s="170">
        <f>1/(1+EXP(-3.1416*4*((C12/(C12+B7))-(3.1416/6))))</f>
        <v>0.11589133033465251</v>
      </c>
      <c r="D27" s="167">
        <f>D26</f>
        <v>0.16705</v>
      </c>
      <c r="E27" s="167">
        <f>E26</f>
        <v>0.217</v>
      </c>
      <c r="G27" s="87">
        <v>2</v>
      </c>
      <c r="H27" s="126">
        <f>L25*J27+J26*L26+J25*L27</f>
        <v>0.16445723397411957</v>
      </c>
      <c r="I27" s="138">
        <v>2</v>
      </c>
      <c r="J27" s="86">
        <f t="shared" si="18"/>
        <v>0.11772996461982457</v>
      </c>
      <c r="K27" s="138">
        <v>2</v>
      </c>
      <c r="L27" s="86">
        <f>AD18</f>
        <v>1.4539474216038283E-2</v>
      </c>
      <c r="M27" s="85">
        <v>2</v>
      </c>
      <c r="N27" s="173">
        <f>(($B$24)^M27)*((1-($B$24))^($B$21-M27))*HLOOKUP($B$21,$AV$24:$BF$34,M27+1)</f>
        <v>0.33957598602316502</v>
      </c>
      <c r="O27" s="72">
        <v>2</v>
      </c>
      <c r="P27" s="173">
        <f t="shared" si="19"/>
        <v>0.33957598602316502</v>
      </c>
      <c r="Q27" s="28">
        <v>2</v>
      </c>
      <c r="R27" s="174">
        <f>P25*N27+P26*N26+P27*N25</f>
        <v>0.16478086962951463</v>
      </c>
      <c r="S27" s="72">
        <v>2</v>
      </c>
      <c r="T27" s="175">
        <f t="shared" si="20"/>
        <v>2.4626871875000001E-4</v>
      </c>
      <c r="U27" s="138">
        <v>2</v>
      </c>
      <c r="V27" s="86">
        <f>R27*T25+T26*R26+R25*T27</f>
        <v>0.16230415828990533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5.6803901279687255E-3</v>
      </c>
      <c r="AD27" s="28">
        <v>2</v>
      </c>
      <c r="AE27" s="176">
        <f>((($W$25)^M27)*((1-($W$25))^($U$28-M27))*HLOOKUP($U$28,$AV$24:$BF$34,M27+1))*V28</f>
        <v>2.0871757137110571E-2</v>
      </c>
      <c r="AF27" s="28">
        <v>2</v>
      </c>
      <c r="AG27" s="176">
        <f>((($W$25)^M27)*((1-($W$25))^($U$29-M27))*HLOOKUP($U$29,$AV$24:$BF$34,M27+1))*V29</f>
        <v>3.3616315108272968E-2</v>
      </c>
      <c r="AH27" s="28">
        <v>2</v>
      </c>
      <c r="AI27" s="176">
        <f>((($W$25)^M27)*((1-($W$25))^($U$30-M27))*HLOOKUP($U$30,$AV$24:$BF$34,M27+1))*V30</f>
        <v>3.102726440523855E-2</v>
      </c>
      <c r="AJ27" s="28">
        <v>2</v>
      </c>
      <c r="AK27" s="176">
        <f>((($W$25)^M27)*((1-($W$25))^($U$31-M27))*HLOOKUP($U$31,$AV$24:$BF$34,M27+1))*V31</f>
        <v>1.7979729213311129E-2</v>
      </c>
      <c r="AL27" s="28">
        <v>2</v>
      </c>
      <c r="AM27" s="176">
        <f>((($W$25)^Q27)*((1-($W$25))^($U$32-Q27))*HLOOKUP($U$32,$AV$24:$BF$34,Q27+1))*V32</f>
        <v>6.7203963601315262E-3</v>
      </c>
      <c r="AN27" s="28">
        <v>2</v>
      </c>
      <c r="AO27" s="176">
        <f>((($W$25)^Q27)*((1-($W$25))^($U$33-Q27))*HLOOKUP($U$33,$AV$24:$BF$34,Q27+1))*V33</f>
        <v>1.5940733418152774E-3</v>
      </c>
      <c r="AP27" s="28">
        <v>2</v>
      </c>
      <c r="AQ27" s="176">
        <f>((($W$25)^Q27)*((1-($W$25))^($U$34-Q27))*HLOOKUP($U$34,$AV$24:$BF$34,Q27+1))*V34</f>
        <v>2.2406074635168761E-4</v>
      </c>
      <c r="AR27" s="28">
        <v>2</v>
      </c>
      <c r="AS27" s="176">
        <f>((($W$25)^Q27)*((1-($W$25))^($U$35-Q27))*HLOOKUP($U$35,$AV$24:$BF$34,Q27+1))*V35</f>
        <v>1.5978179624149371E-5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2.4197461746647861E-4</v>
      </c>
      <c r="BQ27" s="31">
        <f>BQ21+1</f>
        <v>7</v>
      </c>
      <c r="BR27" s="31">
        <v>3</v>
      </c>
      <c r="BS27" s="107">
        <f t="shared" si="17"/>
        <v>1.6446425869154059E-6</v>
      </c>
    </row>
    <row r="28" spans="1:71" x14ac:dyDescent="0.25">
      <c r="A28" s="26" t="s">
        <v>111</v>
      </c>
      <c r="B28" s="275">
        <v>0.9</v>
      </c>
      <c r="C28" s="276">
        <v>0.8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4.4245080998199932E-2</v>
      </c>
      <c r="I28" s="138">
        <v>3</v>
      </c>
      <c r="J28" s="86">
        <f t="shared" si="18"/>
        <v>2.2857239137431852E-2</v>
      </c>
      <c r="K28" s="138">
        <v>3</v>
      </c>
      <c r="L28" s="86">
        <f>AE18</f>
        <v>6.6301164915340098E-4</v>
      </c>
      <c r="M28" s="85">
        <v>3</v>
      </c>
      <c r="N28" s="173">
        <f>(($B$24)^M28)*((1-($B$24))^($B$21-M28))*HLOOKUP($B$21,$AV$24:$BF$34,M28+1)</f>
        <v>0.19055783170654569</v>
      </c>
      <c r="O28" s="72">
        <v>3</v>
      </c>
      <c r="P28" s="173">
        <f t="shared" si="19"/>
        <v>0.19055783170654569</v>
      </c>
      <c r="Q28" s="28">
        <v>3</v>
      </c>
      <c r="R28" s="174">
        <f>P25*N28+P26*N27+P27*N26+P28*N25</f>
        <v>0.24658426206598527</v>
      </c>
      <c r="S28" s="72">
        <v>3</v>
      </c>
      <c r="T28" s="175">
        <f t="shared" si="20"/>
        <v>1.2375312500000001E-6</v>
      </c>
      <c r="U28" s="138">
        <v>3</v>
      </c>
      <c r="V28" s="86">
        <f>R28*T25+R27*T26+R26*T27+R25*T28</f>
        <v>0.24453482560595036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1.6010817015693079E-3</v>
      </c>
      <c r="AF28" s="28">
        <v>3</v>
      </c>
      <c r="AG28" s="176">
        <f>((($W$25)^M28)*((1-($W$25))^($U$29-M28))*HLOOKUP($U$29,$AV$24:$BF$34,M28+1))*V29</f>
        <v>5.1574447364899504E-3</v>
      </c>
      <c r="AH28" s="28">
        <v>3</v>
      </c>
      <c r="AI28" s="176">
        <f>((($W$25)^M28)*((1-($W$25))^($U$30-M28))*HLOOKUP($U$30,$AV$24:$BF$34,M28+1))*V30</f>
        <v>7.1403454384757203E-3</v>
      </c>
      <c r="AJ28" s="28">
        <v>3</v>
      </c>
      <c r="AK28" s="176">
        <f>((($W$25)^M28)*((1-($W$25))^($U$31-M28))*HLOOKUP($U$31,$AV$24:$BF$34,M28+1))*V31</f>
        <v>5.5169318526458837E-3</v>
      </c>
      <c r="AL28" s="28">
        <v>3</v>
      </c>
      <c r="AM28" s="176">
        <f>((($W$25)^Q28)*((1-($W$25))^($U$32-Q28))*HLOOKUP($U$32,$AV$24:$BF$34,Q28+1))*V32</f>
        <v>2.5776228538919124E-3</v>
      </c>
      <c r="AN28" s="28">
        <v>3</v>
      </c>
      <c r="AO28" s="176">
        <f>((($W$25)^Q28)*((1-($W$25))^($U$33-Q28))*HLOOKUP($U$33,$AV$24:$BF$34,Q28+1))*V33</f>
        <v>7.3369241749232162E-4</v>
      </c>
      <c r="AP28" s="28">
        <v>3</v>
      </c>
      <c r="AQ28" s="176">
        <f>((($W$25)^Q28)*((1-($W$25))^($U$34-Q28))*HLOOKUP($U$34,$AV$24:$BF$34,Q28+1))*V34</f>
        <v>1.2031459118027974E-4</v>
      </c>
      <c r="AR28" s="28">
        <v>3</v>
      </c>
      <c r="AS28" s="176">
        <f>((($W$25)^Q28)*((1-($W$25))^($U$35-Q28))*HLOOKUP($U$35,$AV$24:$BF$34,Q28+1))*V35</f>
        <v>9.8055456864729217E-6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3.5405743236926022E-5</v>
      </c>
      <c r="BQ28" s="31">
        <f>BQ22+1</f>
        <v>7</v>
      </c>
      <c r="BR28" s="31">
        <v>4</v>
      </c>
      <c r="BS28" s="107">
        <f t="shared" si="17"/>
        <v>7.566584147385435E-7</v>
      </c>
    </row>
    <row r="29" spans="1:71" x14ac:dyDescent="0.25">
      <c r="A29" s="26" t="s">
        <v>112</v>
      </c>
      <c r="B29" s="169">
        <f>1/(1+EXP(-3.1416*4*((B14/(B14+C13))-(3.1416/6))))</f>
        <v>0.6458925956223811</v>
      </c>
      <c r="C29" s="170">
        <f>1/(1+EXP(-3.1416*4*((C14/(C14+B13))-(3.1416/6))))</f>
        <v>0.14275828515789576</v>
      </c>
      <c r="D29" s="167">
        <v>0.04</v>
      </c>
      <c r="E29" s="167">
        <v>0.04</v>
      </c>
      <c r="G29" s="87">
        <v>4</v>
      </c>
      <c r="H29" s="126">
        <f>J29*L25+J28*L26+J27*L27+J26*L28</f>
        <v>8.2246875385702176E-3</v>
      </c>
      <c r="I29" s="138">
        <v>4</v>
      </c>
      <c r="J29" s="86">
        <f t="shared" si="18"/>
        <v>2.9202750845946021E-3</v>
      </c>
      <c r="K29" s="138">
        <v>4</v>
      </c>
      <c r="L29" s="86"/>
      <c r="M29" s="85">
        <v>4</v>
      </c>
      <c r="N29" s="173">
        <f>(($B$24)^M29)*((1-($B$24))^($B$21-M29))*HLOOKUP($B$21,$AV$24:$BF$34,M29+1)</f>
        <v>5.3467101207538087E-2</v>
      </c>
      <c r="O29" s="72">
        <v>4</v>
      </c>
      <c r="P29" s="173">
        <f t="shared" si="19"/>
        <v>5.3467101207538087E-2</v>
      </c>
      <c r="Q29" s="28">
        <v>4</v>
      </c>
      <c r="R29" s="174">
        <f>P25*N29+P26*N28+P27*N27+P28*N26+P29*N25</f>
        <v>0.24215488559556997</v>
      </c>
      <c r="S29" s="72">
        <v>4</v>
      </c>
      <c r="T29" s="175">
        <f t="shared" si="20"/>
        <v>3.1093749999999999E-9</v>
      </c>
      <c r="U29" s="138">
        <v>4</v>
      </c>
      <c r="V29" s="86">
        <f>T29*R25+T28*R26+T27*R27+T26*R28+T25*R29</f>
        <v>0.24224414743575698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2.9672239644956455E-4</v>
      </c>
      <c r="AH29" s="28">
        <v>4</v>
      </c>
      <c r="AI29" s="176">
        <f>((($W$25)^M29)*((1-($W$25))^($U$30-M29))*HLOOKUP($U$30,$AV$24:$BF$34,M29+1))*V30</f>
        <v>8.2160857487895307E-4</v>
      </c>
      <c r="AJ29" s="28">
        <v>4</v>
      </c>
      <c r="AK29" s="176">
        <f>((($W$25)^M29)*((1-($W$25))^($U$31-M29))*HLOOKUP($U$31,$AV$24:$BF$34,M29+1))*V31</f>
        <v>9.5221412385707613E-4</v>
      </c>
      <c r="AL29" s="28">
        <v>4</v>
      </c>
      <c r="AM29" s="176">
        <f>((($W$25)^Q29)*((1-($W$25))^($U$32-Q29))*HLOOKUP($U$32,$AV$24:$BF$34,Q29+1))*V32</f>
        <v>5.9319176020527348E-4</v>
      </c>
      <c r="AN29" s="28">
        <v>4</v>
      </c>
      <c r="AO29" s="176">
        <f>((($W$25)^Q29)*((1-($W$25))^($U$33-Q29))*HLOOKUP($U$33,$AV$24:$BF$34,Q29+1))*V33</f>
        <v>2.1105700933148549E-4</v>
      </c>
      <c r="AP29" s="28">
        <v>4</v>
      </c>
      <c r="AQ29" s="176">
        <f>((($W$25)^Q29)*((1-($W$25))^($U$34-Q29))*HLOOKUP($U$34,$AV$24:$BF$34,Q29+1))*V34</f>
        <v>4.1532234251908576E-5</v>
      </c>
      <c r="AR29" s="28">
        <v>4</v>
      </c>
      <c r="AS29" s="176">
        <f>((($W$25)^Q29)*((1-($W$25))^($U$35-Q29))*HLOOKUP($U$35,$AV$24:$BF$34,Q29+1))*V35</f>
        <v>3.9489856203408763E-6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3.8091995277580186E-6</v>
      </c>
      <c r="BQ29" s="31">
        <f>BQ23+1</f>
        <v>7</v>
      </c>
      <c r="BR29" s="31">
        <v>5</v>
      </c>
      <c r="BS29" s="107">
        <f t="shared" si="17"/>
        <v>2.5915848257741574E-7</v>
      </c>
    </row>
    <row r="30" spans="1:71" x14ac:dyDescent="0.25">
      <c r="A30" s="26" t="s">
        <v>113</v>
      </c>
      <c r="B30" s="275">
        <f>IF(B17="TL",0.55,0.15)</f>
        <v>0.55000000000000004</v>
      </c>
      <c r="C30" s="276">
        <f>IF(C17="TL",0.55,0.15)</f>
        <v>0.15</v>
      </c>
      <c r="D30" s="167">
        <f>IF(B17="TL",0.875*B32,0.001)</f>
        <v>0.30624999999999997</v>
      </c>
      <c r="E30" s="167">
        <f>IF(C17="TL",0.875*C32,0.001)</f>
        <v>1E-3</v>
      </c>
      <c r="G30" s="87">
        <v>5</v>
      </c>
      <c r="H30" s="126">
        <f>J30*L25+J29*L26+J28*L27+J27*L28</f>
        <v>1.1173551349535353E-3</v>
      </c>
      <c r="I30" s="138">
        <v>5</v>
      </c>
      <c r="J30" s="86">
        <f t="shared" si="18"/>
        <v>2.5688156937890056E-4</v>
      </c>
      <c r="K30" s="138">
        <v>5</v>
      </c>
      <c r="L30" s="86"/>
      <c r="M30" s="85">
        <v>5</v>
      </c>
      <c r="N30" s="173">
        <f>(($B$24)^M30)*((1-($B$24))^($B$21-M30))*HLOOKUP($B$21,$AV$24:$BF$34,M30+1)</f>
        <v>6.0007628884852018E-3</v>
      </c>
      <c r="O30" s="72">
        <v>5</v>
      </c>
      <c r="P30" s="173">
        <f t="shared" si="19"/>
        <v>6.0007628884852018E-3</v>
      </c>
      <c r="Q30" s="28">
        <v>5</v>
      </c>
      <c r="R30" s="174">
        <f>P25*N30+P26*N29+P27*N28+P28*N27+P29*N26+P30*N25</f>
        <v>0.1630663362623902</v>
      </c>
      <c r="S30" s="72">
        <v>5</v>
      </c>
      <c r="T30" s="175">
        <f t="shared" si="20"/>
        <v>3.1250000000000001E-12</v>
      </c>
      <c r="U30" s="138">
        <v>5</v>
      </c>
      <c r="V30" s="86">
        <f>T30*R25+T29*R26+T28*R27+T27*R28+T26*R29+T25*R30</f>
        <v>0.1650248709855012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3.7815573833566679E-5</v>
      </c>
      <c r="AJ30" s="28">
        <v>5</v>
      </c>
      <c r="AK30" s="176">
        <f>((($W$25)^M30)*((1-($W$25))^($U$31-M30))*HLOOKUP($U$31,$AV$24:$BF$34,M30+1))*V31</f>
        <v>8.7653718831713469E-5</v>
      </c>
      <c r="AL30" s="28">
        <v>5</v>
      </c>
      <c r="AM30" s="176">
        <f>((($W$25)^Q30)*((1-($W$25))^($U$32-Q30))*HLOOKUP($U$32,$AV$24:$BF$34,Q30+1))*V32</f>
        <v>8.1907203106336017E-5</v>
      </c>
      <c r="AN30" s="28">
        <v>5</v>
      </c>
      <c r="AO30" s="176">
        <f>((($W$25)^Q30)*((1-($W$25))^($U$33-Q30))*HLOOKUP($U$33,$AV$24:$BF$34,Q30+1))*V33</f>
        <v>3.885666320190211E-5</v>
      </c>
      <c r="AP30" s="28">
        <v>5</v>
      </c>
      <c r="AQ30" s="176">
        <f>((($W$25)^Q30)*((1-($W$25))^($U$34-Q30))*HLOOKUP($U$34,$AV$24:$BF$34,Q30+1))*V34</f>
        <v>9.5578680581408594E-6</v>
      </c>
      <c r="AR30" s="28">
        <v>5</v>
      </c>
      <c r="AS30" s="176">
        <f>((($W$25)^Q30)*((1-($W$25))^($U$35-Q30))*HLOOKUP($U$35,$AV$24:$BF$34,Q30+1))*V35</f>
        <v>1.0905423472414075E-6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2.9216024089484252E-7</v>
      </c>
      <c r="BQ30" s="31">
        <f>BM10+1</f>
        <v>7</v>
      </c>
      <c r="BR30" s="31">
        <v>6</v>
      </c>
      <c r="BS30" s="107">
        <f t="shared" si="17"/>
        <v>6.7068330657032679E-8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0.18707866349801427</v>
      </c>
      <c r="C31" s="61">
        <f>(C25*E25)+(C26*E26)+(C27*E27)+(C28*E28)+(C29*E29)+(C30*E30)/(C25+C26+C27+C28+C29+C30)</f>
        <v>0.20173448998400101</v>
      </c>
      <c r="G31" s="87">
        <v>6</v>
      </c>
      <c r="H31" s="126">
        <f>J31*L25+J30*L26+J29*L27+J28*L28</f>
        <v>1.1426061483750209E-4</v>
      </c>
      <c r="I31" s="138">
        <v>6</v>
      </c>
      <c r="J31" s="86">
        <f t="shared" si="18"/>
        <v>1.5791699618683202E-5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7.6255803171870418E-2</v>
      </c>
      <c r="S31" s="72">
        <v>6</v>
      </c>
      <c r="T31" s="175">
        <f t="shared" si="20"/>
        <v>0</v>
      </c>
      <c r="U31" s="138">
        <v>6</v>
      </c>
      <c r="V31" s="86">
        <f>T31*R25+T30*R26+T29*R27+T28*R28+T27*R29+T26*R30+T25*R31</f>
        <v>7.8424052504796185E-2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3.3619777284210455E-6</v>
      </c>
      <c r="AL31" s="28">
        <v>6</v>
      </c>
      <c r="AM31" s="176">
        <f>((($W$25)^Q31)*((1-($W$25))^($U$32-Q31))*HLOOKUP($U$32,$AV$24:$BF$34,Q31+1))*V32</f>
        <v>6.2831376993700531E-6</v>
      </c>
      <c r="AN31" s="28">
        <v>6</v>
      </c>
      <c r="AO31" s="176">
        <f>((($W$25)^Q31)*((1-($W$25))^($U$33-Q31))*HLOOKUP($U$33,$AV$24:$BF$34,Q31+1))*V33</f>
        <v>4.4710676749389035E-6</v>
      </c>
      <c r="AP31" s="28">
        <v>6</v>
      </c>
      <c r="AQ31" s="176">
        <f>((($W$25)^Q31)*((1-($W$25))^($U$34-Q31))*HLOOKUP($U$34,$AV$24:$BF$34,Q31+1))*V34</f>
        <v>1.4663765540558221E-6</v>
      </c>
      <c r="AR31" s="28">
        <v>6</v>
      </c>
      <c r="AS31" s="176">
        <f>((($W$25)^Q31)*((1-($W$25))^($U$35-Q31))*HLOOKUP($U$35,$AV$24:$BF$34,Q31+1))*V35</f>
        <v>2.0913996189737886E-7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3.7571160049876479E-3</v>
      </c>
      <c r="BQ31" s="31">
        <f t="shared" ref="BQ31:BQ37" si="24">BQ24+1</f>
        <v>8</v>
      </c>
      <c r="BR31" s="31">
        <v>0</v>
      </c>
      <c r="BS31" s="107">
        <f t="shared" ref="BS31:BS38" si="25">$H$33*H39</f>
        <v>6.7833204168720117E-8</v>
      </c>
    </row>
    <row r="32" spans="1:71" x14ac:dyDescent="0.25">
      <c r="A32" s="26" t="s">
        <v>115</v>
      </c>
      <c r="B32" s="277">
        <f>IF(B17&lt;&gt;"TL",0.001,IF(B18&lt;5,0.1,IF(B18&lt;10,0.2,IF(B18&lt;14,0.3,0.35))))</f>
        <v>0.35</v>
      </c>
      <c r="C32" s="278">
        <f>IF(C17&lt;&gt;"TL",0.001,IF(C18&lt;5,0.1,IF(C18&lt;10,0.2,IF(C18&lt;14,0.3,0.35))))</f>
        <v>1E-3</v>
      </c>
      <c r="G32" s="87">
        <v>7</v>
      </c>
      <c r="H32" s="126">
        <f>J32*L25+J31*L26+J30*L27+J29*L28</f>
        <v>8.9106678642962163E-6</v>
      </c>
      <c r="I32" s="138">
        <v>7</v>
      </c>
      <c r="J32" s="86">
        <f t="shared" si="18"/>
        <v>6.7267262922083426E-7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2.4452579696982932E-2</v>
      </c>
      <c r="S32" s="72">
        <v>7</v>
      </c>
      <c r="T32" s="175">
        <f t="shared" si="20"/>
        <v>0</v>
      </c>
      <c r="U32" s="138">
        <v>7</v>
      </c>
      <c r="V32" s="86">
        <f>T32*R25+T31*R26+T30*R27+T29*R28+T28*R29+T27*R30+T26*R31+T25*R32</f>
        <v>2.5756358624241298E-2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2.0656382825605254E-7</v>
      </c>
      <c r="AN32" s="28">
        <v>7</v>
      </c>
      <c r="AO32" s="176">
        <f>((($W$25)^Q32)*((1-($W$25))^($U$33-Q32))*HLOOKUP($U$33,$AV$24:$BF$34,Q32+1))*V33</f>
        <v>2.939807782407391E-7</v>
      </c>
      <c r="AP32" s="28">
        <v>7</v>
      </c>
      <c r="AQ32" s="176">
        <f>((($W$25)^Q32)*((1-($W$25))^($U$34-Q32))*HLOOKUP($U$34,$AV$24:$BF$34,Q32+1))*V34</f>
        <v>1.4462536195938745E-7</v>
      </c>
      <c r="AR32" s="28">
        <v>7</v>
      </c>
      <c r="AS32" s="176">
        <f>((($W$25)^Q32)*((1-($W$25))^($U$35-Q32))*HLOOKUP($U$35,$AV$24:$BF$34,Q32+1))*V35</f>
        <v>2.7502660764655108E-8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1.2868270064192314E-3</v>
      </c>
      <c r="BQ32" s="31">
        <f t="shared" si="24"/>
        <v>8</v>
      </c>
      <c r="BR32" s="31">
        <v>1</v>
      </c>
      <c r="BS32" s="107">
        <f t="shared" si="25"/>
        <v>1.4799293880410143E-7</v>
      </c>
    </row>
    <row r="33" spans="1:71" x14ac:dyDescent="0.25">
      <c r="A33" s="26" t="s">
        <v>116</v>
      </c>
      <c r="B33" s="277">
        <f>IF(B17&lt;&gt;"CA",0.005,IF((B18-B16)&lt;0,0.1,0.1+0.048*(B18-B16)))</f>
        <v>5.0000000000000001E-3</v>
      </c>
      <c r="C33" s="278">
        <f>IF(C17&lt;&gt;"CA",0.005,IF((C18-C16)&lt;0,0.1,0.1+0.048*(C18-C16)))</f>
        <v>5.0000000000000001E-3</v>
      </c>
      <c r="G33" s="87">
        <v>8</v>
      </c>
      <c r="H33" s="126">
        <f>J33*L25+J32*L26+J31*L27+J30*L28</f>
        <v>5.3017468335331045E-7</v>
      </c>
      <c r="I33" s="138">
        <v>8</v>
      </c>
      <c r="J33" s="86">
        <f t="shared" si="18"/>
        <v>1.9150938626690499E-8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5.1457156407668167E-3</v>
      </c>
      <c r="S33" s="72">
        <v>8</v>
      </c>
      <c r="T33" s="175">
        <f t="shared" si="20"/>
        <v>0</v>
      </c>
      <c r="U33" s="138">
        <v>8</v>
      </c>
      <c r="V33" s="86">
        <f>T33*R25+T32*R26+T31*R27+T30*R28+T29*R29+T28*R30+T27*R31+T26*R32+T25*R33</f>
        <v>5.6365143294045987E-3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8.4567732168340682E-9</v>
      </c>
      <c r="AP33" s="28">
        <v>8</v>
      </c>
      <c r="AQ33" s="176">
        <f>((($W$25)^Q33)*((1-($W$25))^($U$34-Q33))*HLOOKUP($U$34,$AV$24:$BF$34,Q33+1))*V34</f>
        <v>8.3207065088556282E-9</v>
      </c>
      <c r="AR33" s="28">
        <v>8</v>
      </c>
      <c r="AS33" s="176">
        <f>((($W$25)^Q33)*((1-($W$25))^($U$35-Q33))*HLOOKUP($U$35,$AV$24:$BF$34,Q33+1))*V35</f>
        <v>2.3734589010008032E-9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3.3302147128887985E-4</v>
      </c>
      <c r="BQ33" s="31">
        <f t="shared" si="24"/>
        <v>8</v>
      </c>
      <c r="BR33" s="31">
        <v>2</v>
      </c>
      <c r="BS33" s="107">
        <f t="shared" si="25"/>
        <v>1.5115622636729589E-7</v>
      </c>
    </row>
    <row r="34" spans="1:71" x14ac:dyDescent="0.25">
      <c r="A34" s="40" t="s">
        <v>117</v>
      </c>
      <c r="B34" s="56">
        <f>B23*2</f>
        <v>3.5945232191111005</v>
      </c>
      <c r="C34" s="57">
        <f>C23*2</f>
        <v>6.4054767808888995</v>
      </c>
      <c r="G34" s="87">
        <v>9</v>
      </c>
      <c r="H34" s="126">
        <f>J34*L25+J33*L26+J32*L27+J31*L28</f>
        <v>2.378687617653642E-8</v>
      </c>
      <c r="I34" s="138">
        <v>9</v>
      </c>
      <c r="J34" s="86">
        <f t="shared" si="18"/>
        <v>3.3414107605879307E-10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6.4168679336215379E-4</v>
      </c>
      <c r="S34" s="72">
        <v>9</v>
      </c>
      <c r="T34" s="175">
        <f t="shared" si="20"/>
        <v>0</v>
      </c>
      <c r="U34" s="138">
        <v>9</v>
      </c>
      <c r="V34" s="86">
        <f>T34*R25+T33*R26+T32*R27+T31*R28+T30*R29+T29*R30+T28*R31+T27*R32+T26*R33+T25*R34</f>
        <v>7.5801029271526158E-4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2.1276168952365882E-10</v>
      </c>
      <c r="AR34" s="28">
        <v>9</v>
      </c>
      <c r="AS34" s="176">
        <f>((($W$25)^Q34)*((1-($W$25))^($U$35-Q34))*HLOOKUP($U$35,$AV$24:$BF$34,Q34+1))*V35</f>
        <v>1.2137938653513425E-10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6.5100125367532379E-5</v>
      </c>
      <c r="BQ34" s="31">
        <f t="shared" si="24"/>
        <v>8</v>
      </c>
      <c r="BR34" s="31">
        <v>3</v>
      </c>
      <c r="BS34" s="107">
        <f t="shared" si="25"/>
        <v>9.785437814835588E-8</v>
      </c>
    </row>
    <row r="35" spans="1:71" ht="15.75" thickBot="1" x14ac:dyDescent="0.3">
      <c r="G35" s="88">
        <v>10</v>
      </c>
      <c r="H35" s="127">
        <f>J35*L25+J34*L26+J33*L27+J32*L28</f>
        <v>7.8366528866093464E-10</v>
      </c>
      <c r="I35" s="94">
        <v>10</v>
      </c>
      <c r="J35" s="89">
        <f t="shared" si="18"/>
        <v>2.7933198932768222E-12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3.6009155243821264E-5</v>
      </c>
      <c r="S35" s="72">
        <v>10</v>
      </c>
      <c r="T35" s="175">
        <f t="shared" si="20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5.3195891078883228E-5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2.7933198932768222E-12</v>
      </c>
      <c r="BI35" s="31">
        <f t="shared" si="22"/>
        <v>3</v>
      </c>
      <c r="BJ35" s="31">
        <v>8</v>
      </c>
      <c r="BK35" s="107">
        <f t="shared" si="23"/>
        <v>9.5254549736971985E-6</v>
      </c>
      <c r="BQ35" s="31">
        <f t="shared" si="24"/>
        <v>8</v>
      </c>
      <c r="BR35" s="31">
        <v>4</v>
      </c>
      <c r="BS35" s="107">
        <f t="shared" si="25"/>
        <v>4.5020321882720035E-8</v>
      </c>
    </row>
    <row r="36" spans="1:71" ht="15.75" x14ac:dyDescent="0.25">
      <c r="A36" s="283" t="s">
        <v>118</v>
      </c>
      <c r="B36" s="182">
        <f>SUM(BO4:BO14)</f>
        <v>0.21293451437114827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0.99999999999999978</v>
      </c>
      <c r="BI36" s="31">
        <f t="shared" si="22"/>
        <v>3</v>
      </c>
      <c r="BJ36" s="31">
        <v>9</v>
      </c>
      <c r="BK36" s="107">
        <f t="shared" si="23"/>
        <v>1.0248156166270018E-6</v>
      </c>
      <c r="BQ36" s="31">
        <f t="shared" si="24"/>
        <v>8</v>
      </c>
      <c r="BR36" s="31">
        <v>5</v>
      </c>
      <c r="BS36" s="107">
        <f t="shared" si="25"/>
        <v>1.5419637285477243E-8</v>
      </c>
    </row>
    <row r="37" spans="1:71" ht="16.5" thickBot="1" x14ac:dyDescent="0.3">
      <c r="A37" s="110" t="s">
        <v>119</v>
      </c>
      <c r="B37" s="182">
        <f>SUM(BK4:BK59)</f>
        <v>0.63276364886422964</v>
      </c>
      <c r="G37" s="157"/>
      <c r="H37" s="229">
        <f>SUM(H39:H49)</f>
        <v>0.99999990514333403</v>
      </c>
      <c r="I37" s="230"/>
      <c r="J37" s="229">
        <f>SUM(J39:J49)</f>
        <v>0.99999999999999989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1</v>
      </c>
      <c r="S37" s="230"/>
      <c r="T37" s="229">
        <f>SUM(T39:T49)</f>
        <v>1</v>
      </c>
      <c r="U37" s="230"/>
      <c r="V37" s="171">
        <f>SUM(V39:V48)</f>
        <v>0.98771671910846515</v>
      </c>
      <c r="W37" s="157"/>
      <c r="X37" s="157"/>
      <c r="Y37" s="168">
        <f>SUM(Y39:Y49)</f>
        <v>3.5649963920264188E-5</v>
      </c>
      <c r="Z37" s="81"/>
      <c r="AA37" s="168">
        <f>SUM(AA39:AA49)</f>
        <v>6.3564425869304289E-4</v>
      </c>
      <c r="AB37" s="81"/>
      <c r="AC37" s="168">
        <f>SUM(AC39:AC49)</f>
        <v>5.1007728110730073E-3</v>
      </c>
      <c r="AD37" s="81"/>
      <c r="AE37" s="168">
        <f>SUM(AE39:AE49)</f>
        <v>2.4259881127301014E-2</v>
      </c>
      <c r="AF37" s="81"/>
      <c r="AG37" s="168">
        <f>SUM(AG39:AG49)</f>
        <v>7.5738583346107072E-2</v>
      </c>
      <c r="AH37" s="81"/>
      <c r="AI37" s="168">
        <f>SUM(AI39:AI49)</f>
        <v>0.1621991061142255</v>
      </c>
      <c r="AJ37" s="81"/>
      <c r="AK37" s="168">
        <f>SUM(AK39:AK49)</f>
        <v>0.24136380705264429</v>
      </c>
      <c r="AL37" s="81"/>
      <c r="AM37" s="168">
        <f>SUM(AM39:AM49)</f>
        <v>0.24653810182195965</v>
      </c>
      <c r="AN37" s="81"/>
      <c r="AO37" s="168">
        <f>SUM(AO39:AO49)</f>
        <v>0.16559674773465669</v>
      </c>
      <c r="AP37" s="81"/>
      <c r="AQ37" s="168">
        <f>SUM(AQ39:AQ49)</f>
        <v>6.6248424877884418E-2</v>
      </c>
      <c r="AR37" s="81"/>
      <c r="AS37" s="168">
        <f>SUM(AS39:AS49)</f>
        <v>1.2283280891534848E-2</v>
      </c>
      <c r="BI37" s="31">
        <f t="shared" si="22"/>
        <v>3</v>
      </c>
      <c r="BJ37" s="31">
        <v>10</v>
      </c>
      <c r="BK37" s="107">
        <f t="shared" si="23"/>
        <v>7.8601914981010581E-8</v>
      </c>
      <c r="BQ37" s="31">
        <f t="shared" si="24"/>
        <v>8</v>
      </c>
      <c r="BR37" s="31">
        <v>6</v>
      </c>
      <c r="BS37" s="107">
        <f t="shared" si="25"/>
        <v>3.9904899958849348E-9</v>
      </c>
    </row>
    <row r="38" spans="1:71" ht="16.5" thickBot="1" x14ac:dyDescent="0.3">
      <c r="A38" s="111" t="s">
        <v>120</v>
      </c>
      <c r="B38" s="182">
        <f>SUM(BS4:BS47)</f>
        <v>0.15430174110599643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2.3920738317605202E-4</v>
      </c>
      <c r="BQ38" s="31">
        <f>BM11+1</f>
        <v>8</v>
      </c>
      <c r="BR38" s="31">
        <v>7</v>
      </c>
      <c r="BS38" s="107">
        <f t="shared" si="25"/>
        <v>7.8007402346933166E-10</v>
      </c>
    </row>
    <row r="39" spans="1:71" x14ac:dyDescent="0.25">
      <c r="G39" s="128">
        <v>0</v>
      </c>
      <c r="H39" s="129">
        <f>L39*J39</f>
        <v>0.12794500812389001</v>
      </c>
      <c r="I39" s="97">
        <v>0</v>
      </c>
      <c r="J39" s="98">
        <f t="shared" ref="J39:J49" si="29">Y39+AA39+AC39+AE39+AG39+AI39+AK39+AM39+AO39+AQ39+AS39</f>
        <v>0.25015514567919167</v>
      </c>
      <c r="K39" s="102">
        <v>0</v>
      </c>
      <c r="L39" s="98">
        <f>AH18</f>
        <v>0.51146262762858163</v>
      </c>
      <c r="M39" s="85">
        <v>0</v>
      </c>
      <c r="N39" s="173">
        <f>(1-$C$24)^$B$21</f>
        <v>6.0007628884852053E-3</v>
      </c>
      <c r="O39" s="72">
        <v>0</v>
      </c>
      <c r="P39" s="173">
        <f t="shared" ref="P39:P44" si="30">N39</f>
        <v>6.0007628884852053E-3</v>
      </c>
      <c r="Q39" s="28">
        <v>0</v>
      </c>
      <c r="R39" s="174">
        <f>P39*N39</f>
        <v>3.6009155243821305E-5</v>
      </c>
      <c r="S39" s="72">
        <v>0</v>
      </c>
      <c r="T39" s="175">
        <f>(1-$C$33)^(INT(B23*2*(1-B31)))</f>
        <v>0.99002500000000004</v>
      </c>
      <c r="U39" s="138">
        <v>0</v>
      </c>
      <c r="V39" s="86">
        <f>R39*T39</f>
        <v>3.5649963920264188E-5</v>
      </c>
      <c r="W39" s="134">
        <f>C31</f>
        <v>0.20173448998400101</v>
      </c>
      <c r="X39" s="28">
        <v>0</v>
      </c>
      <c r="Y39" s="176">
        <f>V39</f>
        <v>3.5649963920264188E-5</v>
      </c>
      <c r="Z39" s="28">
        <v>0</v>
      </c>
      <c r="AA39" s="176">
        <f>((1-W39)^Z40)*V40</f>
        <v>5.0741288835434348E-4</v>
      </c>
      <c r="AB39" s="28">
        <v>0</v>
      </c>
      <c r="AC39" s="176">
        <f>(((1-$W$39)^AB41))*V41</f>
        <v>3.2503543615724122E-3</v>
      </c>
      <c r="AD39" s="28">
        <v>0</v>
      </c>
      <c r="AE39" s="176">
        <f>(((1-$W$39)^AB42))*V42</f>
        <v>1.2340443414051319E-2</v>
      </c>
      <c r="AF39" s="28">
        <v>0</v>
      </c>
      <c r="AG39" s="176">
        <f>(((1-$W$39)^AB43))*V43</f>
        <v>3.0754356158697187E-2</v>
      </c>
      <c r="AH39" s="28">
        <v>0</v>
      </c>
      <c r="AI39" s="176">
        <f>(((1-$W$39)^AB44))*V44</f>
        <v>5.2575726660053085E-2</v>
      </c>
      <c r="AJ39" s="28">
        <v>0</v>
      </c>
      <c r="AK39" s="176">
        <f>(((1-$W$39)^AB45))*V45</f>
        <v>6.2453436479172217E-2</v>
      </c>
      <c r="AL39" s="28">
        <v>0</v>
      </c>
      <c r="AM39" s="176">
        <f>(((1-$W$39)^AB46))*V46</f>
        <v>5.0923190556948987E-2</v>
      </c>
      <c r="AN39" s="28">
        <v>0</v>
      </c>
      <c r="AO39" s="176">
        <f>(((1-$W$39)^AB47))*V47</f>
        <v>2.7304279879660422E-2</v>
      </c>
      <c r="AP39" s="28">
        <v>0</v>
      </c>
      <c r="AQ39" s="176">
        <f>(((1-$W$39)^AB48))*V48</f>
        <v>8.7197060821733955E-3</v>
      </c>
      <c r="AR39" s="28">
        <v>0</v>
      </c>
      <c r="AS39" s="176">
        <f>(((1-$W$39)^AB49))*V49</f>
        <v>1.2905892345880228E-3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6.1905131218934885E-5</v>
      </c>
      <c r="BQ39" s="31">
        <f t="shared" ref="BQ39:BQ46" si="31">BQ31+1</f>
        <v>9</v>
      </c>
      <c r="BR39" s="31">
        <v>0</v>
      </c>
      <c r="BS39" s="107">
        <f t="shared" ref="BS39:BS47" si="32">$H$34*H39</f>
        <v>3.0434120656489177E-9</v>
      </c>
    </row>
    <row r="40" spans="1:71" x14ac:dyDescent="0.25">
      <c r="G40" s="91">
        <v>1</v>
      </c>
      <c r="H40" s="130">
        <f>L39*J40+L40*J39</f>
        <v>0.27913995792492108</v>
      </c>
      <c r="I40" s="138">
        <v>1</v>
      </c>
      <c r="J40" s="86">
        <f t="shared" si="29"/>
        <v>0.37172656508268254</v>
      </c>
      <c r="K40" s="95">
        <v>1</v>
      </c>
      <c r="L40" s="86">
        <f>AI18</f>
        <v>0.35584201934643545</v>
      </c>
      <c r="M40" s="85">
        <v>1</v>
      </c>
      <c r="N40" s="173">
        <f>(($C$24)^M26)*((1-($C$24))^($B$21-M26))*HLOOKUP($B$21,$AV$24:$BF$34,M26+1)</f>
        <v>5.3467101207538108E-2</v>
      </c>
      <c r="O40" s="72">
        <v>1</v>
      </c>
      <c r="P40" s="173">
        <f t="shared" si="30"/>
        <v>5.3467101207538108E-2</v>
      </c>
      <c r="Q40" s="28">
        <v>1</v>
      </c>
      <c r="R40" s="174">
        <f>P40*N39+P39*N40</f>
        <v>6.4168679336215433E-4</v>
      </c>
      <c r="S40" s="72">
        <v>1</v>
      </c>
      <c r="T40" s="175">
        <f t="shared" ref="T40:T49" si="33">(($C$33)^S40)*((1-($C$33))^(INT($B$23*2*(1-$B$31))-S40))*HLOOKUP(INT($B$23*2*(1-$B$31)),$AV$24:$BF$34,S40+1)</f>
        <v>9.9500000000000005E-3</v>
      </c>
      <c r="U40" s="138">
        <v>1</v>
      </c>
      <c r="V40" s="86">
        <f>R40*T39+T40*R39</f>
        <v>6.3564425869304289E-4</v>
      </c>
      <c r="W40" s="177"/>
      <c r="X40" s="28">
        <v>1</v>
      </c>
      <c r="Y40" s="174"/>
      <c r="Z40" s="28">
        <v>1</v>
      </c>
      <c r="AA40" s="176">
        <f>(1-((1-W39)^Z40))*V40</f>
        <v>1.282313703386994E-4</v>
      </c>
      <c r="AB40" s="28">
        <v>1</v>
      </c>
      <c r="AC40" s="176">
        <f>((($W$39)^M40)*((1-($W$39))^($U$27-M40))*HLOOKUP($U$27,$AV$24:$BF$34,M40+1))*V41</f>
        <v>1.642833295869045E-3</v>
      </c>
      <c r="AD40" s="28">
        <v>1</v>
      </c>
      <c r="AE40" s="176">
        <f>((($W$39)^M40)*((1-($W$39))^($U$28-M40))*HLOOKUP($U$28,$AV$24:$BF$34,M40+1))*V42</f>
        <v>9.3558835766066294E-3</v>
      </c>
      <c r="AF40" s="28">
        <v>1</v>
      </c>
      <c r="AG40" s="176">
        <f>((($W$39)^M40)*((1-($W$39))^($U$29-M40))*HLOOKUP($U$29,$AV$24:$BF$34,M40+1))*V43</f>
        <v>3.108847508311741E-2</v>
      </c>
      <c r="AH40" s="28">
        <v>1</v>
      </c>
      <c r="AI40" s="176">
        <f>((($W$39)^M40)*((1-($W$39))^($U$30-M40))*HLOOKUP($U$30,$AV$24:$BF$34,M40+1))*V44</f>
        <v>6.6433644384131532E-2</v>
      </c>
      <c r="AJ40" s="28">
        <v>1</v>
      </c>
      <c r="AK40" s="176">
        <f>((($W$39)^M40)*((1-($W$39))^($U$31-M40))*HLOOKUP($U$31,$AV$24:$BF$34,M40+1))*V45</f>
        <v>9.4697906882797653E-2</v>
      </c>
      <c r="AL40" s="28">
        <v>1</v>
      </c>
      <c r="AM40" s="176">
        <f>((($W$39)^Q40)*((1-($W$39))^($U$32-Q40))*HLOOKUP($U$32,$AV$24:$BF$34,Q40+1))*V46</f>
        <v>9.008374560252283E-2</v>
      </c>
      <c r="AN40" s="28">
        <v>1</v>
      </c>
      <c r="AO40" s="176">
        <f>((($W$39)^Q40)*((1-($W$39))^($U$33-Q40))*HLOOKUP($U$33,$AV$24:$BF$34,Q40+1))*V47</f>
        <v>5.5201833543261261E-2</v>
      </c>
      <c r="AP40" s="28">
        <v>1</v>
      </c>
      <c r="AQ40" s="176">
        <f>((($W$39)^Q40)*((1-($W$39))^($U$34-Q40))*HLOOKUP($U$34,$AV$24:$BF$34,Q40+1))*V48</f>
        <v>1.9832485476369226E-2</v>
      </c>
      <c r="AR40" s="28">
        <v>1</v>
      </c>
      <c r="AS40" s="176">
        <f>((($W$39)^Q40)*((1-($W$39))^($U$35-Q40))*HLOOKUP($U$35,$AV$24:$BF$34,Q40+1))*V49</f>
        <v>3.261525867668251E-3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1.2101417327984683E-5</v>
      </c>
      <c r="BQ40" s="31">
        <f t="shared" si="31"/>
        <v>9</v>
      </c>
      <c r="BR40" s="31">
        <v>1</v>
      </c>
      <c r="BS40" s="107">
        <f t="shared" si="32"/>
        <v>6.6398676150836842E-9</v>
      </c>
    </row>
    <row r="41" spans="1:71" x14ac:dyDescent="0.25">
      <c r="G41" s="91">
        <v>2</v>
      </c>
      <c r="H41" s="130">
        <f>L39*J41+J40*L40+J39*L41</f>
        <v>0.28510645851900251</v>
      </c>
      <c r="I41" s="138">
        <v>2</v>
      </c>
      <c r="J41" s="86">
        <f t="shared" si="29"/>
        <v>0.24864389744048815</v>
      </c>
      <c r="K41" s="95">
        <v>2</v>
      </c>
      <c r="L41" s="86">
        <f>AJ18</f>
        <v>0.10257021000658655</v>
      </c>
      <c r="M41" s="85">
        <v>2</v>
      </c>
      <c r="N41" s="173">
        <f>(($C$24)^M27)*((1-($C$24))^($B$21-M27))*HLOOKUP($B$21,$AV$24:$BF$34,M27+1)</f>
        <v>0.1905578317065458</v>
      </c>
      <c r="O41" s="72">
        <v>2</v>
      </c>
      <c r="P41" s="173">
        <f t="shared" si="30"/>
        <v>0.1905578317065458</v>
      </c>
      <c r="Q41" s="28">
        <v>2</v>
      </c>
      <c r="R41" s="174">
        <f>P41*N39+P40*N40+P39*N41</f>
        <v>5.1457156407668219E-3</v>
      </c>
      <c r="S41" s="72">
        <v>2</v>
      </c>
      <c r="T41" s="175">
        <f t="shared" si="33"/>
        <v>2.5000000000000001E-5</v>
      </c>
      <c r="U41" s="138">
        <v>2</v>
      </c>
      <c r="V41" s="86">
        <f>R41*T39+T40*R40+R39*T41</f>
        <v>5.1007728110730073E-3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2.0758515363154982E-4</v>
      </c>
      <c r="AD41" s="28">
        <v>2</v>
      </c>
      <c r="AE41" s="176">
        <f>((($W$39)^M41)*((1-($W$39))^($U$28-M41))*HLOOKUP($U$28,$AV$24:$BF$34,M41+1))*V42</f>
        <v>2.3643817476701485E-3</v>
      </c>
      <c r="AF41" s="28">
        <v>2</v>
      </c>
      <c r="AG41" s="176">
        <f>((($W$39)^M41)*((1-($W$39))^($U$29-M41))*HLOOKUP($U$29,$AV$24:$BF$34,M41+1))*V43</f>
        <v>1.1784833967987636E-2</v>
      </c>
      <c r="AH41" s="28">
        <v>2</v>
      </c>
      <c r="AI41" s="176">
        <f>((($W$39)^M41)*((1-($W$39))^($U$30-M41))*HLOOKUP($U$30,$AV$24:$BF$34,M41+1))*V44</f>
        <v>3.3577693635649289E-2</v>
      </c>
      <c r="AJ41" s="28">
        <v>2</v>
      </c>
      <c r="AK41" s="176">
        <f>((($W$39)^M41)*((1-($W$39))^($U$31-M41))*HLOOKUP($U$31,$AV$24:$BF$34,M41+1))*V45</f>
        <v>5.9829197515907734E-2</v>
      </c>
      <c r="AL41" s="28">
        <v>2</v>
      </c>
      <c r="AM41" s="176">
        <f>((($W$39)^Q41)*((1-($W$39))^($U$32-Q41))*HLOOKUP($U$32,$AV$24:$BF$34,Q41+1))*V46</f>
        <v>6.829681946778289E-2</v>
      </c>
      <c r="AN41" s="28">
        <v>2</v>
      </c>
      <c r="AO41" s="176">
        <f>((($W$39)^Q41)*((1-($W$39))^($U$33-Q41))*HLOOKUP($U$33,$AV$24:$BF$34,Q41+1))*V47</f>
        <v>4.8826358632642397E-2</v>
      </c>
      <c r="AP41" s="28">
        <v>2</v>
      </c>
      <c r="AQ41" s="176">
        <f>((($W$39)^Q41)*((1-($W$39))^($U$34-Q41))*HLOOKUP($U$34,$AV$24:$BF$34,Q41+1))*V48</f>
        <v>2.0047947919535031E-2</v>
      </c>
      <c r="AR41" s="28">
        <v>2</v>
      </c>
      <c r="AS41" s="176">
        <f>((($W$39)^Q41)*((1-($W$39))^($U$35-Q41))*HLOOKUP($U$35,$AV$24:$BF$34,Q41+1))*V49</f>
        <v>3.7090793996814716E-3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1.770680244083323E-6</v>
      </c>
      <c r="BQ41" s="31">
        <f t="shared" si="31"/>
        <v>9</v>
      </c>
      <c r="BR41" s="31">
        <v>2</v>
      </c>
      <c r="BS41" s="107">
        <f t="shared" si="32"/>
        <v>6.7817920259223298E-9</v>
      </c>
    </row>
    <row r="42" spans="1:71" ht="15" customHeight="1" x14ac:dyDescent="0.25">
      <c r="G42" s="91">
        <v>3</v>
      </c>
      <c r="H42" s="130">
        <f>J42*L39+J41*L40+L42*J39+L41*J40</f>
        <v>0.18457006948999363</v>
      </c>
      <c r="I42" s="138">
        <v>3</v>
      </c>
      <c r="J42" s="86">
        <f t="shared" si="29"/>
        <v>9.8595848096434971E-2</v>
      </c>
      <c r="K42" s="95">
        <v>3</v>
      </c>
      <c r="L42" s="86">
        <f>AK18</f>
        <v>3.0125143018396375E-2</v>
      </c>
      <c r="M42" s="85">
        <v>3</v>
      </c>
      <c r="N42" s="173">
        <f>(($C$24)^M28)*((1-($C$24))^($B$21-M28))*HLOOKUP($B$21,$AV$24:$BF$34,M28+1)</f>
        <v>0.33957598602316508</v>
      </c>
      <c r="O42" s="72">
        <v>3</v>
      </c>
      <c r="P42" s="173">
        <f t="shared" si="30"/>
        <v>0.33957598602316508</v>
      </c>
      <c r="Q42" s="28">
        <v>3</v>
      </c>
      <c r="R42" s="174">
        <f>P42*N39+P41*N40+P40*N41+P39*N42</f>
        <v>2.4452579696982956E-2</v>
      </c>
      <c r="S42" s="72">
        <v>3</v>
      </c>
      <c r="T42" s="175">
        <f t="shared" si="33"/>
        <v>0</v>
      </c>
      <c r="U42" s="138">
        <v>3</v>
      </c>
      <c r="V42" s="86">
        <f>R42*T39+R41*T40+R40*T41+R39*T42</f>
        <v>2.4259881127301017E-2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1.9917238897291986E-4</v>
      </c>
      <c r="AF42" s="28">
        <v>3</v>
      </c>
      <c r="AG42" s="176">
        <f>((($W$39)^M42)*((1-($W$39))^($U$29-M42))*HLOOKUP($U$29,$AV$24:$BF$34,M42+1))*V43</f>
        <v>1.9854776305613477E-3</v>
      </c>
      <c r="AH42" s="28">
        <v>3</v>
      </c>
      <c r="AI42" s="176">
        <f>((($W$39)^M42)*((1-($W$39))^($U$30-M42))*HLOOKUP($U$30,$AV$24:$BF$34,M42+1))*V44</f>
        <v>8.4856214072069631E-3</v>
      </c>
      <c r="AJ42" s="28">
        <v>3</v>
      </c>
      <c r="AK42" s="176">
        <f>((($W$39)^M42)*((1-($W$39))^($U$31-M42))*HLOOKUP($U$31,$AV$24:$BF$34,M42+1))*V45</f>
        <v>2.0159729639798347E-2</v>
      </c>
      <c r="AL42" s="28">
        <v>3</v>
      </c>
      <c r="AM42" s="176">
        <f>((($W$39)^Q42)*((1-($W$39))^($U$32-Q42))*HLOOKUP($U$32,$AV$24:$BF$34,Q42+1))*V46</f>
        <v>2.87661683779591E-2</v>
      </c>
      <c r="AN42" s="28">
        <v>3</v>
      </c>
      <c r="AO42" s="176">
        <f>((($W$39)^Q42)*((1-($W$39))^($U$33-Q42))*HLOOKUP($U$33,$AV$24:$BF$34,Q42+1))*V47</f>
        <v>2.4678406953432385E-2</v>
      </c>
      <c r="AP42" s="28">
        <v>3</v>
      </c>
      <c r="AQ42" s="176">
        <f>((($W$39)^Q42)*((1-($W$39))^($U$34-Q42))*HLOOKUP($U$34,$AV$24:$BF$34,Q42+1))*V48</f>
        <v>1.1821688183607437E-2</v>
      </c>
      <c r="AR42" s="28">
        <v>3</v>
      </c>
      <c r="AS42" s="176">
        <f>((($W$39)^Q42)*((1-($W$39))^($U$35-Q42))*HLOOKUP($U$35,$AV$24:$BF$34,Q42+1))*V49</f>
        <v>2.4995835148964741E-3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1.9050226694685388E-7</v>
      </c>
      <c r="BQ42" s="31">
        <f t="shared" si="31"/>
        <v>9</v>
      </c>
      <c r="BR42" s="31">
        <v>3</v>
      </c>
      <c r="BS42" s="107">
        <f t="shared" si="32"/>
        <v>4.3903453888532011E-9</v>
      </c>
    </row>
    <row r="43" spans="1:71" ht="15" customHeight="1" x14ac:dyDescent="0.25">
      <c r="G43" s="91">
        <v>4</v>
      </c>
      <c r="H43" s="130">
        <f>J43*L39+J42*L40+J41*L41+J40*L42</f>
        <v>8.4916015977923115E-2</v>
      </c>
      <c r="I43" s="138">
        <v>4</v>
      </c>
      <c r="J43" s="86">
        <f t="shared" si="29"/>
        <v>2.5670883596734376E-2</v>
      </c>
      <c r="K43" s="95">
        <v>4</v>
      </c>
      <c r="L43" s="86"/>
      <c r="M43" s="85">
        <v>4</v>
      </c>
      <c r="N43" s="173">
        <f>(($C$24)^M29)*((1-($C$24))^($B$21-M29))*HLOOKUP($B$21,$AV$24:$BF$34,M29+1)</f>
        <v>0.30256392311700447</v>
      </c>
      <c r="O43" s="72">
        <v>4</v>
      </c>
      <c r="P43" s="173">
        <f t="shared" si="30"/>
        <v>0.30256392311700447</v>
      </c>
      <c r="Q43" s="28">
        <v>4</v>
      </c>
      <c r="R43" s="174">
        <f>P43*N39+P42*N40+P41*N41+P40*N42+P39*N43</f>
        <v>7.6255803171870487E-2</v>
      </c>
      <c r="S43" s="72">
        <v>4</v>
      </c>
      <c r="T43" s="175">
        <f t="shared" si="33"/>
        <v>0</v>
      </c>
      <c r="U43" s="138">
        <v>4</v>
      </c>
      <c r="V43" s="86">
        <f>T43*R39+T42*R40+T41*R41+T40*R42+T39*R43</f>
        <v>7.5738583346107072E-2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1.2544050574348021E-4</v>
      </c>
      <c r="AH43" s="28">
        <v>4</v>
      </c>
      <c r="AI43" s="176">
        <f>((($W$39)^M43)*((1-($W$39))^($U$30-M43))*HLOOKUP($U$30,$AV$24:$BF$34,M43+1))*V44</f>
        <v>1.0722262739034714E-3</v>
      </c>
      <c r="AJ43" s="28">
        <v>4</v>
      </c>
      <c r="AK43" s="176">
        <f>((($W$39)^M43)*((1-($W$39))^($U$31-M43))*HLOOKUP($U$31,$AV$24:$BF$34,M43+1))*V45</f>
        <v>3.821015119097302E-3</v>
      </c>
      <c r="AL43" s="28">
        <v>4</v>
      </c>
      <c r="AM43" s="176">
        <f>((($W$39)^Q43)*((1-($W$39))^($U$32-Q43))*HLOOKUP($U$32,$AV$24:$BF$34,Q43+1))*V46</f>
        <v>7.2696718494140748E-3</v>
      </c>
      <c r="AN43" s="28">
        <v>4</v>
      </c>
      <c r="AO43" s="176">
        <f>((($W$39)^Q43)*((1-($W$39))^($U$33-Q43))*HLOOKUP($U$33,$AV$24:$BF$34,Q43+1))*V47</f>
        <v>7.7957862670725419E-3</v>
      </c>
      <c r="AP43" s="28">
        <v>4</v>
      </c>
      <c r="AQ43" s="176">
        <f>((($W$39)^Q43)*((1-($W$39))^($U$34-Q43))*HLOOKUP($U$34,$AV$24:$BF$34,Q43+1))*V48</f>
        <v>4.4812951453122524E-3</v>
      </c>
      <c r="AR43" s="28">
        <v>4</v>
      </c>
      <c r="AS43" s="176">
        <f>((($W$39)^Q43)*((1-($W$39))^($U$35-Q43))*HLOOKUP($U$35,$AV$24:$BF$34,Q43+1))*V49</f>
        <v>1.1054484361912532E-3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1.4611255671073914E-8</v>
      </c>
      <c r="BQ43" s="31">
        <f t="shared" si="31"/>
        <v>9</v>
      </c>
      <c r="BR43" s="31">
        <v>4</v>
      </c>
      <c r="BS43" s="107">
        <f t="shared" si="32"/>
        <v>2.0198867574716453E-9</v>
      </c>
    </row>
    <row r="44" spans="1:71" ht="15" customHeight="1" thickBot="1" x14ac:dyDescent="0.3">
      <c r="G44" s="91">
        <v>5</v>
      </c>
      <c r="H44" s="130">
        <f>J44*L39+J43*L40+J42*L41+J41*L42</f>
        <v>2.9084069401332652E-2</v>
      </c>
      <c r="I44" s="138">
        <v>5</v>
      </c>
      <c r="J44" s="86">
        <f t="shared" si="29"/>
        <v>4.5865727055465662E-3</v>
      </c>
      <c r="K44" s="95">
        <v>5</v>
      </c>
      <c r="L44" s="86"/>
      <c r="M44" s="85">
        <v>5</v>
      </c>
      <c r="N44" s="173">
        <f>(($C$24)^M30)*((1-($C$24))^($B$21-M30))*HLOOKUP($B$21,$AV$24:$BF$34,M30+1)</f>
        <v>0.10783439505726133</v>
      </c>
      <c r="O44" s="72">
        <v>5</v>
      </c>
      <c r="P44" s="173">
        <f t="shared" si="30"/>
        <v>0.10783439505726133</v>
      </c>
      <c r="Q44" s="28">
        <v>5</v>
      </c>
      <c r="R44" s="174">
        <f>P44*N39+P43*N40+P42*N41+P41*N42+P40*N43+P39*N44</f>
        <v>0.16306633626239034</v>
      </c>
      <c r="S44" s="72">
        <v>5</v>
      </c>
      <c r="T44" s="175">
        <f t="shared" si="33"/>
        <v>0</v>
      </c>
      <c r="U44" s="138">
        <v>5</v>
      </c>
      <c r="V44" s="86">
        <f>T44*R39+T43*R40+T42*R41+T41*R42+T40*R43+T39*R44</f>
        <v>0.16219910611422553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5.4193753281167661E-5</v>
      </c>
      <c r="AJ44" s="28">
        <v>5</v>
      </c>
      <c r="AK44" s="176">
        <f>((($W$39)^M44)*((1-($W$39))^($U$31-M44))*HLOOKUP($U$31,$AV$24:$BF$34,M44+1))*V45</f>
        <v>3.8625270745158561E-4</v>
      </c>
      <c r="AL44" s="28">
        <v>5</v>
      </c>
      <c r="AM44" s="176">
        <f>((($W$39)^Q44)*((1-($W$39))^($U$32-Q44))*HLOOKUP($U$32,$AV$24:$BF$34,Q44+1))*V46</f>
        <v>1.1022975622708828E-3</v>
      </c>
      <c r="AN44" s="28">
        <v>5</v>
      </c>
      <c r="AO44" s="176">
        <f>((($W$39)^Q44)*((1-($W$39))^($U$33-Q44))*HLOOKUP($U$33,$AV$24:$BF$34,Q44+1))*V47</f>
        <v>1.5760961202802195E-3</v>
      </c>
      <c r="AP44" s="28">
        <v>5</v>
      </c>
      <c r="AQ44" s="176">
        <f>((($W$39)^Q44)*((1-($W$39))^($U$34-Q44))*HLOOKUP($U$34,$AV$24:$BF$34,Q44+1))*V48</f>
        <v>1.1324951150516679E-3</v>
      </c>
      <c r="AR44" s="28">
        <v>5</v>
      </c>
      <c r="AS44" s="176">
        <f>((($W$39)^Q44)*((1-($W$39))^($U$35-Q44))*HLOOKUP($U$35,$AV$24:$BF$34,Q44+1))*V49</f>
        <v>3.3523744721104299E-4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8.4100479104004775E-6</v>
      </c>
      <c r="BQ44" s="31">
        <f t="shared" si="31"/>
        <v>9</v>
      </c>
      <c r="BR44" s="31">
        <v>5</v>
      </c>
      <c r="BS44" s="107">
        <f t="shared" si="32"/>
        <v>6.918191575592915E-10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7.5267456579507334E-3</v>
      </c>
      <c r="I45" s="138">
        <v>6</v>
      </c>
      <c r="J45" s="86">
        <f t="shared" si="29"/>
        <v>5.6967684889093701E-4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0.24215488559557008</v>
      </c>
      <c r="S45" s="72">
        <v>6</v>
      </c>
      <c r="T45" s="175">
        <f t="shared" si="33"/>
        <v>0</v>
      </c>
      <c r="U45" s="138">
        <v>6</v>
      </c>
      <c r="V45" s="86">
        <f>T45*R39+T44*R40+T43*R41+T42*R42+T41*R43+T40*R44+T39*R45</f>
        <v>0.24136380705264437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1.6268708419483862E-5</v>
      </c>
      <c r="AL45" s="28">
        <v>6</v>
      </c>
      <c r="AM45" s="176">
        <f>((($W$39)^Q45)*((1-($W$39))^($U$32-Q45))*HLOOKUP($U$32,$AV$24:$BF$34,Q45+1))*V46</f>
        <v>9.2856087665563536E-5</v>
      </c>
      <c r="AN45" s="28">
        <v>6</v>
      </c>
      <c r="AO45" s="176">
        <f>((($W$39)^Q45)*((1-($W$39))^($U$33-Q45))*HLOOKUP($U$33,$AV$24:$BF$34,Q45+1))*V47</f>
        <v>1.9915237662223459E-4</v>
      </c>
      <c r="AP45" s="28">
        <v>6</v>
      </c>
      <c r="AQ45" s="176">
        <f>((($W$39)^Q45)*((1-($W$39))^($U$34-Q45))*HLOOKUP($U$34,$AV$24:$BF$34,Q45+1))*V48</f>
        <v>1.9079977908581812E-4</v>
      </c>
      <c r="AR45" s="28">
        <v>6</v>
      </c>
      <c r="AS45" s="176">
        <f>((($W$39)^Q45)*((1-($W$39))^($U$35-Q45))*HLOOKUP($U$35,$AV$24:$BF$34,Q45+1))*V49</f>
        <v>7.059989709783694E-5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1.6440236456678782E-6</v>
      </c>
      <c r="BQ45" s="31">
        <f t="shared" si="31"/>
        <v>9</v>
      </c>
      <c r="BR45" s="31">
        <v>6</v>
      </c>
      <c r="BS45" s="107">
        <f t="shared" si="32"/>
        <v>1.7903776697795723E-10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1.4713528351362024E-3</v>
      </c>
      <c r="I46" s="138">
        <v>7</v>
      </c>
      <c r="J46" s="86">
        <f t="shared" si="29"/>
        <v>4.85922296777618E-5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0.24658426206598538</v>
      </c>
      <c r="S46" s="72">
        <v>7</v>
      </c>
      <c r="T46" s="175">
        <f t="shared" si="33"/>
        <v>0</v>
      </c>
      <c r="U46" s="138">
        <v>7</v>
      </c>
      <c r="V46" s="86">
        <f>T46*R39+T45*R40+T44*R41+T43*R42+T42*R43+T41*R44+T40*R45+T39*R46</f>
        <v>0.24653810182195968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3.3523173953106533E-6</v>
      </c>
      <c r="AN46" s="28">
        <v>7</v>
      </c>
      <c r="AO46" s="176">
        <f>((($W$39)^Q46)*((1-($W$39))^($U$33-Q46))*HLOOKUP($U$33,$AV$24:$BF$34,Q46+1))*V47</f>
        <v>1.4379713667729057E-5</v>
      </c>
      <c r="AP46" s="28">
        <v>7</v>
      </c>
      <c r="AQ46" s="176">
        <f>((($W$39)^Q46)*((1-($W$39))^($U$34-Q46))*HLOOKUP($U$34,$AV$24:$BF$34,Q46+1))*V48</f>
        <v>2.066492680871456E-5</v>
      </c>
      <c r="AR46" s="28">
        <v>7</v>
      </c>
      <c r="AS46" s="176">
        <f>((($W$39)^Q46)*((1-($W$39))^($U$35-Q46))*HLOOKUP($U$35,$AV$24:$BF$34,Q46+1))*V49</f>
        <v>1.0195271806007531E-5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2.4055365675705893E-7</v>
      </c>
      <c r="BQ46" s="31">
        <f t="shared" si="31"/>
        <v>9</v>
      </c>
      <c r="BR46" s="31">
        <v>7</v>
      </c>
      <c r="BS46" s="107">
        <f t="shared" si="32"/>
        <v>3.4998887701380651E-11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2.152884514797189E-4</v>
      </c>
      <c r="I47" s="138">
        <v>8</v>
      </c>
      <c r="J47" s="86">
        <f t="shared" si="29"/>
        <v>2.7260283074943709E-6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0.16478086962951466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0.16559674773465671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4.5424801749501075E-7</v>
      </c>
      <c r="AP47" s="28">
        <v>8</v>
      </c>
      <c r="AQ47" s="176">
        <f>((($W$39)^Q47)*((1-($W$39))^($U$34-Q47))*HLOOKUP($U$34,$AV$24:$BF$34,Q47+1))*V48</f>
        <v>1.3055895619958543E-6</v>
      </c>
      <c r="AR47" s="28">
        <v>8</v>
      </c>
      <c r="AS47" s="176">
        <f>((($W$39)^Q47)*((1-($W$39))^($U$35-Q47))*HLOOKUP($U$35,$AV$24:$BF$34,Q47+1))*V49</f>
        <v>9.6619072800350565E-7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2.5880458703767334E-8</v>
      </c>
      <c r="BQ47" s="31">
        <f>BM12+1</f>
        <v>9</v>
      </c>
      <c r="BR47" s="31">
        <v>8</v>
      </c>
      <c r="BS47" s="107">
        <f t="shared" si="32"/>
        <v>5.1210397375863422E-12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2.3162249757632842E-5</v>
      </c>
      <c r="I48" s="138">
        <v>9</v>
      </c>
      <c r="J48" s="86">
        <f t="shared" si="29"/>
        <v>9.0920797613189136E-8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6.5253595230947814E-2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6.6248424877884432E-2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3.6660378882987352E-8</v>
      </c>
      <c r="AR48" s="28">
        <v>9</v>
      </c>
      <c r="AS48" s="176">
        <f>((($W$39)^Q48)*((1-($W$39))^($U$35-Q48))*HLOOKUP($U$35,$AV$24:$BF$34,Q48+1))*V49</f>
        <v>5.4260418730201784E-8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1.9849947460777962E-9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1.7765119468129898E-6</v>
      </c>
      <c r="I49" s="94">
        <v>10</v>
      </c>
      <c r="J49" s="89">
        <f t="shared" si="29"/>
        <v>1.3712477567314923E-9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1.1628256757365507E-2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1.2283280891534853E-2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1.3712477567314923E-9</v>
      </c>
      <c r="BI49" s="31">
        <f>BQ14+1</f>
        <v>6</v>
      </c>
      <c r="BJ49" s="31">
        <v>0</v>
      </c>
      <c r="BK49" s="107">
        <f>$H$31*H39</f>
        <v>1.4619075293624871E-5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89"/>
      <c r="J50" s="289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89"/>
      <c r="X50" s="157"/>
      <c r="Y50" s="157"/>
      <c r="BI50" s="31">
        <f>BI45+1</f>
        <v>6</v>
      </c>
      <c r="BJ50" s="31">
        <v>7</v>
      </c>
      <c r="BK50" s="107">
        <f>$H$31*H46</f>
        <v>1.6811767958556433E-7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2.4598990833486416E-8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2.6465328983269123E-9</v>
      </c>
    </row>
    <row r="53" spans="1:63" x14ac:dyDescent="0.25">
      <c r="BI53" s="31">
        <f>BI48+1</f>
        <v>6</v>
      </c>
      <c r="BJ53" s="31">
        <v>10</v>
      </c>
      <c r="BK53" s="107">
        <f>$H$31*H49</f>
        <v>2.0298534730902002E-10</v>
      </c>
    </row>
    <row r="54" spans="1:63" x14ac:dyDescent="0.25">
      <c r="BI54" s="31">
        <f>BI51+1</f>
        <v>7</v>
      </c>
      <c r="BJ54" s="31">
        <v>8</v>
      </c>
      <c r="BK54" s="107">
        <f>$H$32*H47</f>
        <v>1.9183638861544263E-9</v>
      </c>
    </row>
    <row r="55" spans="1:63" x14ac:dyDescent="0.25">
      <c r="BI55" s="31">
        <f>BI52+1</f>
        <v>7</v>
      </c>
      <c r="BJ55" s="31">
        <v>9</v>
      </c>
      <c r="BK55" s="107">
        <f>$H$32*H48</f>
        <v>2.0639111458014179E-10</v>
      </c>
    </row>
    <row r="56" spans="1:63" x14ac:dyDescent="0.25">
      <c r="BI56" s="31">
        <f>BI53+1</f>
        <v>7</v>
      </c>
      <c r="BJ56" s="31">
        <v>10</v>
      </c>
      <c r="BK56" s="107">
        <f>$H$32*H49</f>
        <v>1.5829907915004818E-11</v>
      </c>
    </row>
    <row r="57" spans="1:63" x14ac:dyDescent="0.25">
      <c r="BI57" s="31">
        <f>BI55+1</f>
        <v>8</v>
      </c>
      <c r="BJ57" s="31">
        <v>9</v>
      </c>
      <c r="BK57" s="107">
        <f>$H$33*H48</f>
        <v>1.2280038431003283E-11</v>
      </c>
    </row>
    <row r="58" spans="1:63" x14ac:dyDescent="0.25">
      <c r="BI58" s="31">
        <f>BI56+1</f>
        <v>8</v>
      </c>
      <c r="BJ58" s="31">
        <v>10</v>
      </c>
      <c r="BK58" s="107">
        <f>$H$33*H49</f>
        <v>9.4186165887494997E-13</v>
      </c>
    </row>
    <row r="59" spans="1:63" x14ac:dyDescent="0.25">
      <c r="BI59" s="31">
        <f>BI58+1</f>
        <v>9</v>
      </c>
      <c r="BJ59" s="31">
        <v>10</v>
      </c>
      <c r="BK59" s="107">
        <f>$H$34*H49</f>
        <v>4.2257669704978243E-14</v>
      </c>
    </row>
  </sheetData>
  <mergeCells count="1">
    <mergeCell ref="B3:C3"/>
  </mergeCells>
  <conditionalFormatting sqref="H49">
    <cfRule type="cellIs" dxfId="69" priority="1" operator="greaterThan">
      <formula>0.15</formula>
    </cfRule>
  </conditionalFormatting>
  <conditionalFormatting sqref="H39:H49">
    <cfRule type="cellIs" dxfId="68" priority="2" operator="greaterThan">
      <formula>0.15</formula>
    </cfRule>
  </conditionalFormatting>
  <conditionalFormatting sqref="H49">
    <cfRule type="cellIs" dxfId="67" priority="3" operator="greaterThan">
      <formula>0.15</formula>
    </cfRule>
  </conditionalFormatting>
  <conditionalFormatting sqref="H39:H49">
    <cfRule type="cellIs" dxfId="66" priority="4" operator="greaterThan">
      <formula>0.15</formula>
    </cfRule>
  </conditionalFormatting>
  <conditionalFormatting sqref="H35">
    <cfRule type="cellIs" dxfId="65" priority="5" operator="greaterThan">
      <formula>0.15</formula>
    </cfRule>
  </conditionalFormatting>
  <conditionalFormatting sqref="H25:H35">
    <cfRule type="cellIs" dxfId="64" priority="6" operator="greaterThan">
      <formula>0.15</formula>
    </cfRule>
  </conditionalFormatting>
  <conditionalFormatting sqref="H35">
    <cfRule type="cellIs" dxfId="63" priority="7" operator="greaterThan">
      <formula>0.15</formula>
    </cfRule>
  </conditionalFormatting>
  <conditionalFormatting sqref="H25:H35">
    <cfRule type="cellIs" dxfId="62" priority="8" operator="greaterThan">
      <formula>0.15</formula>
    </cfRule>
  </conditionalFormatting>
  <conditionalFormatting sqref="V49">
    <cfRule type="cellIs" dxfId="61" priority="9" operator="greaterThan">
      <formula>0.15</formula>
    </cfRule>
  </conditionalFormatting>
  <conditionalFormatting sqref="V35">
    <cfRule type="cellIs" dxfId="60" priority="10" operator="greaterThan">
      <formula>0.15</formula>
    </cfRule>
  </conditionalFormatting>
  <conditionalFormatting sqref="V25:V35 V39:V49">
    <cfRule type="cellIs" dxfId="59" priority="11" operator="greaterThan">
      <formula>0.15</formula>
    </cfRule>
  </conditionalFormatting>
  <conditionalFormatting sqref="V49">
    <cfRule type="cellIs" dxfId="58" priority="12" operator="greaterThan">
      <formula>0.15</formula>
    </cfRule>
  </conditionalFormatting>
  <conditionalFormatting sqref="V35">
    <cfRule type="cellIs" dxfId="57" priority="13" operator="greaterThan">
      <formula>0.15</formula>
    </cfRule>
  </conditionalFormatting>
  <conditionalFormatting sqref="V25:V35 V39:V49">
    <cfRule type="cellIs" dxfId="56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3547-87F4-43EB-8678-432C4ED6828C}">
  <sheetPr>
    <tabColor theme="9" tint="-0.249977111117893"/>
  </sheetPr>
  <dimension ref="A1:BS59"/>
  <sheetViews>
    <sheetView tabSelected="1" zoomScale="90" zoomScaleNormal="90" workbookViewId="0">
      <selection activeCell="K12" sqref="K12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1" t="s">
        <v>137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0</v>
      </c>
      <c r="Q1" s="263">
        <f>COUNTIF(F10:H10,"CAB")+COUNTIF(E9:I9,"CAB")</f>
        <v>1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91" t="s">
        <v>193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3.0700000000000003</v>
      </c>
      <c r="S2" s="166">
        <f>SUM(S4:S15)</f>
        <v>3.67</v>
      </c>
      <c r="T2" s="219">
        <f>SUM(T4:T16)</f>
        <v>1.3166288190064861</v>
      </c>
      <c r="U2" s="219">
        <f>SUM(U4:U16)</f>
        <v>0.47079759034194862</v>
      </c>
      <c r="V2" s="157"/>
      <c r="W2" s="157"/>
      <c r="X2" s="253">
        <f>SUM(X4:X16)</f>
        <v>0.72618101118414813</v>
      </c>
      <c r="Y2" s="254">
        <f>SUM(Y4:Y16)</f>
        <v>0.26960046425497702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90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2" t="s">
        <v>5</v>
      </c>
      <c r="C3" s="292"/>
      <c r="D3" s="31" t="str">
        <f>IF(B3="Sol","SI",IF(B3="Lluvia","SI","NO"))</f>
        <v>SI</v>
      </c>
      <c r="E3" s="211"/>
      <c r="F3" s="212"/>
      <c r="G3" s="281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1" t="s">
        <v>33</v>
      </c>
      <c r="F4" s="281" t="s">
        <v>151</v>
      </c>
      <c r="G4" s="281" t="s">
        <v>33</v>
      </c>
      <c r="H4" s="281" t="s">
        <v>151</v>
      </c>
      <c r="I4" s="281" t="s">
        <v>33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3</v>
      </c>
      <c r="Q4" s="214">
        <f>COUNTIF(E8:I9,"IMP")</f>
        <v>0</v>
      </c>
      <c r="R4" s="221">
        <f t="shared" ref="R4:R14" si="0">IF(P4+Q4=0,0,N4)</f>
        <v>0.45</v>
      </c>
      <c r="S4" s="221">
        <f t="shared" ref="S4:S16" si="1">R4*$N$2/$R$2</f>
        <v>0.53794788273615635</v>
      </c>
      <c r="T4" s="226">
        <f>IF(S4=0,0,S4*(P4^2.7/(P4^2.7+Q4^2.7))*P4/L4)</f>
        <v>0.26897394136807817</v>
      </c>
      <c r="U4" s="228">
        <f>IF(S4=0,0,S4*Q4^2.7/(P4^2.7+Q4^2.7)*Q4/L4)</f>
        <v>0</v>
      </c>
      <c r="V4" s="218">
        <f>$G$17</f>
        <v>0.56999999999999995</v>
      </c>
      <c r="W4" s="216">
        <f>$H$17</f>
        <v>0.56999999999999995</v>
      </c>
      <c r="X4" s="251">
        <f>V4*T4</f>
        <v>0.15331514657980455</v>
      </c>
      <c r="Y4" s="252">
        <f>W4*U4</f>
        <v>0</v>
      </c>
      <c r="Z4" s="190"/>
      <c r="AA4" s="244">
        <f>X4</f>
        <v>0.15331514657980455</v>
      </c>
      <c r="AB4" s="245">
        <f>1-AA4</f>
        <v>0.84668485342019539</v>
      </c>
      <c r="AC4" s="245">
        <f>PRODUCT(AB5:AB16)*AA4</f>
        <v>8.177366891916564E-2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</v>
      </c>
      <c r="AH4" s="247">
        <f t="shared" ref="AH4:AH16" si="2">(1-AG4)</f>
        <v>1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2.7841229612199578E-2</v>
      </c>
      <c r="BM4" s="31">
        <v>0</v>
      </c>
      <c r="BN4" s="31">
        <v>0</v>
      </c>
      <c r="BO4" s="107">
        <f>H25*H39</f>
        <v>7.9103157849243783E-3</v>
      </c>
      <c r="BQ4" s="31">
        <v>1</v>
      </c>
      <c r="BR4" s="31">
        <v>0</v>
      </c>
      <c r="BS4" s="107">
        <f>$H$26*H39</f>
        <v>1.4907952788802714E-2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1" t="s">
        <v>1</v>
      </c>
      <c r="F5" s="281" t="s">
        <v>151</v>
      </c>
      <c r="G5" s="281" t="s">
        <v>151</v>
      </c>
      <c r="H5" s="281" t="s">
        <v>1</v>
      </c>
      <c r="I5" s="281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2</v>
      </c>
      <c r="R5" s="221">
        <f t="shared" si="0"/>
        <v>0.35</v>
      </c>
      <c r="S5" s="221">
        <f t="shared" si="1"/>
        <v>0.41840390879478823</v>
      </c>
      <c r="T5" s="226">
        <f t="shared" ref="T5:T9" si="5">IF(S5=0,0,S5*(P5^2.7/(P5^2.7+Q5^2.7))*P5/L5)</f>
        <v>0</v>
      </c>
      <c r="U5" s="228">
        <f t="shared" ref="U5:U9" si="6">IF(S5=0,0,S5*Q5^2.7/(P5^2.7+Q5^2.7)*Q5/L5)</f>
        <v>0.10460097719869706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0</v>
      </c>
      <c r="Y5" s="252">
        <f t="shared" si="7"/>
        <v>5.9622557003257318E-2</v>
      </c>
      <c r="Z5" s="199"/>
      <c r="AA5" s="244">
        <f t="shared" ref="AA5:AA16" si="8">X5</f>
        <v>0</v>
      </c>
      <c r="AB5" s="245">
        <f t="shared" ref="AB5:AB16" si="9">1-AA5</f>
        <v>1</v>
      </c>
      <c r="AC5" s="245">
        <f>PRODUCT(AB6:AB16)*AA5*PRODUCT(AB4)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6" si="10">Y5</f>
        <v>5.9622557003257318E-2</v>
      </c>
      <c r="AH5" s="247">
        <f t="shared" si="2"/>
        <v>0.94037744299674264</v>
      </c>
      <c r="AI5" s="247">
        <f>AG5*PRODUCT(AH3:AH4)*PRODUCT(AH6:AH17)</f>
        <v>4.810133075999877E-2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1.0564905507322413E-2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4.4812829204219286E-2</v>
      </c>
      <c r="BM5" s="31">
        <v>1</v>
      </c>
      <c r="BN5" s="31">
        <v>1</v>
      </c>
      <c r="BO5" s="107">
        <f>$H$26*H40</f>
        <v>5.2470185505350882E-2</v>
      </c>
      <c r="BQ5" s="31">
        <f>BQ4+1</f>
        <v>2</v>
      </c>
      <c r="BR5" s="31">
        <v>0</v>
      </c>
      <c r="BS5" s="107">
        <f>$H$27*H39</f>
        <v>1.1928595375670361E-2</v>
      </c>
    </row>
    <row r="6" spans="1:71" ht="15.75" x14ac:dyDescent="0.25">
      <c r="A6" s="2" t="s">
        <v>31</v>
      </c>
      <c r="B6" s="269">
        <v>10</v>
      </c>
      <c r="C6" s="270">
        <v>10.75</v>
      </c>
      <c r="E6" s="211"/>
      <c r="F6" s="281" t="s">
        <v>1</v>
      </c>
      <c r="G6" s="281" t="s">
        <v>151</v>
      </c>
      <c r="H6" s="281" t="s">
        <v>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3</v>
      </c>
      <c r="Q6" s="214">
        <f>COUNTIF(E9:I11,"IMP")</f>
        <v>2</v>
      </c>
      <c r="R6" s="221">
        <f t="shared" si="0"/>
        <v>0.45</v>
      </c>
      <c r="S6" s="221">
        <f t="shared" si="1"/>
        <v>0.53794788273615635</v>
      </c>
      <c r="T6" s="226">
        <f t="shared" si="5"/>
        <v>9.3016511703542248E-2</v>
      </c>
      <c r="U6" s="228">
        <f t="shared" si="6"/>
        <v>2.0750204926277951E-2</v>
      </c>
      <c r="V6" s="218">
        <f>$G$18</f>
        <v>0.45</v>
      </c>
      <c r="W6" s="216">
        <f>$H$18</f>
        <v>0.45</v>
      </c>
      <c r="X6" s="251">
        <f t="shared" si="7"/>
        <v>4.1857430266594012E-2</v>
      </c>
      <c r="Y6" s="252">
        <f t="shared" si="7"/>
        <v>9.3375922168250792E-3</v>
      </c>
      <c r="Z6" s="199"/>
      <c r="AA6" s="244">
        <f t="shared" si="8"/>
        <v>4.1857430266594012E-2</v>
      </c>
      <c r="AB6" s="245">
        <f t="shared" si="9"/>
        <v>0.95814256973340595</v>
      </c>
      <c r="AC6" s="245">
        <f>PRODUCT(AB7:AB16)*AA6*PRODUCT(AB4:AB5)</f>
        <v>1.9728435122070866E-2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1.2812997277986241E-2</v>
      </c>
      <c r="AE6" s="183"/>
      <c r="AF6" s="197"/>
      <c r="AG6" s="246">
        <f t="shared" si="10"/>
        <v>9.3375922168250792E-3</v>
      </c>
      <c r="AH6" s="247">
        <f t="shared" si="2"/>
        <v>0.99066240778317494</v>
      </c>
      <c r="AI6" s="247">
        <f>AG6*PRODUCT(AH3:AH5)*PRODUCT(AH7:AH17)</f>
        <v>7.1508541104284866E-3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1.5032019504828799E-3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4.3652313462748407E-2</v>
      </c>
      <c r="BM6" s="31">
        <f>BI14+1</f>
        <v>2</v>
      </c>
      <c r="BN6" s="31">
        <v>2</v>
      </c>
      <c r="BO6" s="107">
        <f>$H$27*H41</f>
        <v>6.7576835331266877E-2</v>
      </c>
      <c r="BQ6" s="31">
        <f>BM5+1</f>
        <v>2</v>
      </c>
      <c r="BR6" s="31">
        <v>1</v>
      </c>
      <c r="BS6" s="107">
        <f>$H$27*H40</f>
        <v>4.1984008203312898E-2</v>
      </c>
    </row>
    <row r="7" spans="1:71" ht="15.75" x14ac:dyDescent="0.25">
      <c r="A7" s="5" t="s">
        <v>36</v>
      </c>
      <c r="B7" s="269">
        <v>15.75</v>
      </c>
      <c r="C7" s="270">
        <v>18.75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0</v>
      </c>
      <c r="Q7" s="214">
        <f>COUNTIF(E4:I4,"IMP")+COUNTIF(F5:H5,"IMP")</f>
        <v>3</v>
      </c>
      <c r="R7" s="221">
        <f t="shared" si="0"/>
        <v>0.04</v>
      </c>
      <c r="S7" s="221">
        <f t="shared" si="1"/>
        <v>4.7817589576547234E-2</v>
      </c>
      <c r="T7" s="226">
        <f t="shared" si="5"/>
        <v>0</v>
      </c>
      <c r="U7" s="228">
        <f t="shared" si="6"/>
        <v>1.7931596091205211E-2</v>
      </c>
      <c r="V7" s="218">
        <f>$G$18</f>
        <v>0.45</v>
      </c>
      <c r="W7" s="216">
        <f>$H$18</f>
        <v>0.45</v>
      </c>
      <c r="X7" s="251">
        <f t="shared" si="7"/>
        <v>0</v>
      </c>
      <c r="Y7" s="252">
        <f t="shared" si="7"/>
        <v>8.0692182410423453E-3</v>
      </c>
      <c r="Z7" s="199"/>
      <c r="AA7" s="244">
        <f t="shared" si="8"/>
        <v>0</v>
      </c>
      <c r="AB7" s="245">
        <f t="shared" si="9"/>
        <v>1</v>
      </c>
      <c r="AC7" s="245">
        <f>PRODUCT(AB8:AB$16)*AA7*PRODUCT(AB$4:AB6)</f>
        <v>0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</v>
      </c>
      <c r="AE7" s="183"/>
      <c r="AF7" s="197"/>
      <c r="AG7" s="246">
        <f t="shared" si="10"/>
        <v>8.0692182410423453E-3</v>
      </c>
      <c r="AH7" s="247">
        <f t="shared" si="2"/>
        <v>0.99193078175895766</v>
      </c>
      <c r="AI7" s="247">
        <f>AG7*PRODUCT(AH3:AH6)*PRODUCT(AH8:AH17)</f>
        <v>6.1716145077226059E-3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1.2471479092118862E-3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2.8699441659325722E-2</v>
      </c>
      <c r="BM7" s="31">
        <f>BI23+1</f>
        <v>3</v>
      </c>
      <c r="BN7" s="31">
        <v>3</v>
      </c>
      <c r="BO7" s="107">
        <f>$H$28*H42</f>
        <v>3.7881399385846642E-2</v>
      </c>
      <c r="BQ7" s="31">
        <f>BQ5+1</f>
        <v>3</v>
      </c>
      <c r="BR7" s="31">
        <v>0</v>
      </c>
      <c r="BS7" s="107">
        <f>$H$28*H39</f>
        <v>6.8645578606642025E-3</v>
      </c>
    </row>
    <row r="8" spans="1:71" ht="15.75" x14ac:dyDescent="0.25">
      <c r="A8" s="5" t="s">
        <v>39</v>
      </c>
      <c r="B8" s="269">
        <v>14.5</v>
      </c>
      <c r="C8" s="270">
        <v>18.5</v>
      </c>
      <c r="E8" s="213"/>
      <c r="F8" s="214"/>
      <c r="G8" s="282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5</v>
      </c>
      <c r="Q8" s="214">
        <f>COUNTIF(E10:I11,"RAP")</f>
        <v>1</v>
      </c>
      <c r="R8" s="221">
        <f t="shared" si="0"/>
        <v>0.5</v>
      </c>
      <c r="S8" s="221">
        <f t="shared" si="1"/>
        <v>0.59771986970684043</v>
      </c>
      <c r="T8" s="226">
        <f t="shared" si="5"/>
        <v>0.36879341867246795</v>
      </c>
      <c r="U8" s="228">
        <f t="shared" si="6"/>
        <v>9.562999788614579E-4</v>
      </c>
      <c r="V8" s="218">
        <f>$G$17</f>
        <v>0.56999999999999995</v>
      </c>
      <c r="W8" s="216">
        <f>$H$17</f>
        <v>0.56999999999999995</v>
      </c>
      <c r="X8" s="251">
        <f t="shared" si="7"/>
        <v>0.2102122486433067</v>
      </c>
      <c r="Y8" s="252">
        <f t="shared" si="7"/>
        <v>5.4509098795103091E-4</v>
      </c>
      <c r="Z8" s="199"/>
      <c r="AA8" s="244">
        <f t="shared" si="8"/>
        <v>0.2102122486433067</v>
      </c>
      <c r="AB8" s="245">
        <f t="shared" si="9"/>
        <v>0.78978775135669332</v>
      </c>
      <c r="AC8" s="245">
        <f>PRODUCT(AB9:AB$16)*AA8*PRODUCT(AB$4:AB7)</f>
        <v>0.12019816441271539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4.6072622546960137E-2</v>
      </c>
      <c r="AE8" s="183"/>
      <c r="AF8" s="197"/>
      <c r="AG8" s="246">
        <f t="shared" si="10"/>
        <v>5.4509098795103091E-4</v>
      </c>
      <c r="AH8" s="247">
        <f t="shared" si="2"/>
        <v>0.99945490901204892</v>
      </c>
      <c r="AI8" s="247">
        <f>AG8*PRODUCT(AH3:AH7)*PRODUCT(AH9:AH17)</f>
        <v>4.1376570723330146E-4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8.3387309950591932E-5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1.3446721466326179E-2</v>
      </c>
      <c r="BM8" s="31">
        <f>BI31+1</f>
        <v>4</v>
      </c>
      <c r="BN8" s="31">
        <v>4</v>
      </c>
      <c r="BO8" s="107">
        <f>$H$29*H43</f>
        <v>1.1000062334805868E-2</v>
      </c>
      <c r="BQ8" s="31">
        <f>BQ6+1</f>
        <v>3</v>
      </c>
      <c r="BR8" s="31">
        <v>1</v>
      </c>
      <c r="BS8" s="107">
        <f>$H$28*H40</f>
        <v>2.4160569158214538E-2</v>
      </c>
    </row>
    <row r="9" spans="1:71" ht="15.75" x14ac:dyDescent="0.25">
      <c r="A9" s="5" t="s">
        <v>42</v>
      </c>
      <c r="B9" s="269">
        <v>14.25</v>
      </c>
      <c r="C9" s="270">
        <v>19</v>
      </c>
      <c r="E9" s="282" t="s">
        <v>1</v>
      </c>
      <c r="F9" s="282" t="s">
        <v>151</v>
      </c>
      <c r="G9" s="282" t="s">
        <v>6</v>
      </c>
      <c r="H9" s="282" t="s">
        <v>151</v>
      </c>
      <c r="I9" s="282" t="s">
        <v>151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5</v>
      </c>
      <c r="Q9" s="214">
        <f>COUNTIF(E10:I11,"RAP")</f>
        <v>1</v>
      </c>
      <c r="R9" s="221">
        <f t="shared" si="0"/>
        <v>0.5</v>
      </c>
      <c r="S9" s="221">
        <f t="shared" si="1"/>
        <v>0.59771986970684043</v>
      </c>
      <c r="T9" s="226">
        <f t="shared" si="5"/>
        <v>0.36879341867246795</v>
      </c>
      <c r="U9" s="228">
        <f t="shared" si="6"/>
        <v>9.562999788614579E-4</v>
      </c>
      <c r="V9" s="218">
        <f>$G$17</f>
        <v>0.56999999999999995</v>
      </c>
      <c r="W9" s="216">
        <f>$H$17</f>
        <v>0.56999999999999995</v>
      </c>
      <c r="X9" s="251">
        <f t="shared" si="7"/>
        <v>0.2102122486433067</v>
      </c>
      <c r="Y9" s="252">
        <f t="shared" si="7"/>
        <v>5.4509098795103091E-4</v>
      </c>
      <c r="Z9" s="199"/>
      <c r="AA9" s="244">
        <f t="shared" si="8"/>
        <v>0.2102122486433067</v>
      </c>
      <c r="AB9" s="245">
        <f t="shared" si="9"/>
        <v>0.78978775135669332</v>
      </c>
      <c r="AC9" s="245">
        <f>PRODUCT(AB10:AB$16)*AA9*PRODUCT(AB$4:AB8)</f>
        <v>0.12019816441271537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1.4080322868228672E-2</v>
      </c>
      <c r="AE9" s="183"/>
      <c r="AF9" s="197"/>
      <c r="AG9" s="246">
        <f t="shared" si="10"/>
        <v>5.4509098795103091E-4</v>
      </c>
      <c r="AH9" s="247">
        <f t="shared" si="2"/>
        <v>0.99945490901204892</v>
      </c>
      <c r="AI9" s="247">
        <f>AG9*PRODUCT(AH3:AH8)*PRODUCT(AH10:AH17)</f>
        <v>4.1376570723330146E-4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8.3161646985607367E-5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4.621283019021611E-3</v>
      </c>
      <c r="BM9" s="31">
        <f>BI38+1</f>
        <v>5</v>
      </c>
      <c r="BN9" s="31">
        <v>5</v>
      </c>
      <c r="BO9" s="107">
        <f>$H$30*H44</f>
        <v>1.6526966235270925E-3</v>
      </c>
      <c r="BQ9" s="31">
        <f>BM6+1</f>
        <v>3</v>
      </c>
      <c r="BR9" s="31">
        <v>2</v>
      </c>
      <c r="BS9" s="107">
        <f>$H$28*H41</f>
        <v>3.8888492866327028E-2</v>
      </c>
    </row>
    <row r="10" spans="1:71" ht="15.75" x14ac:dyDescent="0.25">
      <c r="A10" s="6" t="s">
        <v>45</v>
      </c>
      <c r="B10" s="269">
        <v>8.5</v>
      </c>
      <c r="C10" s="270">
        <v>14.75</v>
      </c>
      <c r="E10" s="282" t="s">
        <v>138</v>
      </c>
      <c r="F10" s="282" t="s">
        <v>2</v>
      </c>
      <c r="G10" s="282" t="s">
        <v>6</v>
      </c>
      <c r="H10" s="282" t="s">
        <v>138</v>
      </c>
      <c r="I10" s="282" t="s">
        <v>33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0.22713355048859935</v>
      </c>
      <c r="T10" s="226">
        <f>S10*G13</f>
        <v>0.10946195204269848</v>
      </c>
      <c r="U10" s="228">
        <f>S10*G14</f>
        <v>0.11767159844590086</v>
      </c>
      <c r="V10" s="218">
        <f>$G$18</f>
        <v>0.45</v>
      </c>
      <c r="W10" s="216">
        <f>$H$18</f>
        <v>0.45</v>
      </c>
      <c r="X10" s="251">
        <f t="shared" si="7"/>
        <v>4.9257878419214321E-2</v>
      </c>
      <c r="Y10" s="252">
        <f t="shared" si="7"/>
        <v>5.2952219300655391E-2</v>
      </c>
      <c r="Z10" s="199"/>
      <c r="AA10" s="244">
        <f t="shared" si="8"/>
        <v>4.9257878419214321E-2</v>
      </c>
      <c r="AB10" s="245">
        <f t="shared" si="9"/>
        <v>0.95074212158078564</v>
      </c>
      <c r="AC10" s="245">
        <f>PRODUCT(AB11:AB$16)*AA10*PRODUCT(AB$4:AB9)</f>
        <v>2.3397161823950435E-2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1.5285986481577455E-3</v>
      </c>
      <c r="AE10" s="183"/>
      <c r="AF10" s="197"/>
      <c r="AG10" s="246">
        <f t="shared" si="10"/>
        <v>5.2952219300655391E-2</v>
      </c>
      <c r="AH10" s="247">
        <f t="shared" si="2"/>
        <v>0.94704778069934459</v>
      </c>
      <c r="AI10" s="247">
        <f>AG10*PRODUCT(AH3:AH9)*PRODUCT(AH11:AH17)</f>
        <v>4.2419053442461996E-2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6.1539167705224225E-3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1.1811852025176036E-3</v>
      </c>
      <c r="BM10" s="31">
        <f>BI44+1</f>
        <v>6</v>
      </c>
      <c r="BN10" s="31">
        <v>6</v>
      </c>
      <c r="BO10" s="107">
        <f>$H$31*H45</f>
        <v>1.2907951443263163E-4</v>
      </c>
      <c r="BQ10" s="31">
        <f>BQ7+1</f>
        <v>4</v>
      </c>
      <c r="BR10" s="31">
        <v>0</v>
      </c>
      <c r="BS10" s="107">
        <f>$H$29*H39</f>
        <v>3.0319045142082855E-3</v>
      </c>
    </row>
    <row r="11" spans="1:71" ht="15.75" x14ac:dyDescent="0.25">
      <c r="A11" s="6" t="s">
        <v>48</v>
      </c>
      <c r="B11" s="269">
        <v>9.75</v>
      </c>
      <c r="C11" s="270">
        <v>14.5</v>
      </c>
      <c r="E11" s="213"/>
      <c r="F11" s="282" t="s">
        <v>33</v>
      </c>
      <c r="G11" s="282" t="s">
        <v>151</v>
      </c>
      <c r="H11" s="282" t="s">
        <v>1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0</v>
      </c>
      <c r="Q11" s="214">
        <f>COUNTIF(E9:I11,"CAB")</f>
        <v>2</v>
      </c>
      <c r="R11" s="221">
        <f t="shared" si="0"/>
        <v>0.19</v>
      </c>
      <c r="S11" s="221">
        <f t="shared" si="1"/>
        <v>0.22713355048859935</v>
      </c>
      <c r="T11" s="226">
        <f>IF(P11&gt;0,IF(Q11&gt;0,G13^2.7/(G14^2.7+G13^2.7),1),0)*P11/L11*S11</f>
        <v>0</v>
      </c>
      <c r="U11" s="228">
        <f>IF(Q11&gt;0,IF(P11&gt;0,G14^2.7/(G14^2.7+G13^2.7),1),0)*Q11/L11*S11</f>
        <v>5.0474122330799849E-2</v>
      </c>
      <c r="V11" s="218">
        <f>IF(P11-Q11&gt;3,0.9,IF(P11-Q11=3,0.83,IF(P11-Q11=2,0.75,IF(P11-Q11=1,0.65,IF(P11-Q11=0,0.44,IF(P11-Q11=-1,0.16,IF(P11-Q11&lt;-1,0.05,0.02)))))))</f>
        <v>0.05</v>
      </c>
      <c r="W11" s="216">
        <f>IF(Q11-P11&gt;3,0.9,IF(Q11-P11=3,0.83,IF(Q11-P11=2,0.75,IF(Q11-P11=1,0.65,IF(Q11-P11=0,0.44,IF(Q11-P11=-1,0.16,IF(Q11-P11&lt;-1,0.05,0.02)))))))</f>
        <v>0.75</v>
      </c>
      <c r="X11" s="251">
        <f t="shared" si="7"/>
        <v>0</v>
      </c>
      <c r="Y11" s="252">
        <f t="shared" si="7"/>
        <v>3.7855591748099889E-2</v>
      </c>
      <c r="Z11" s="199"/>
      <c r="AA11" s="244">
        <f t="shared" si="8"/>
        <v>0</v>
      </c>
      <c r="AB11" s="245">
        <f t="shared" si="9"/>
        <v>1</v>
      </c>
      <c r="AC11" s="245">
        <f>PRODUCT(AB12:AB$16)*AA11*PRODUCT(AB$4:AB10)</f>
        <v>0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183"/>
      <c r="AF11" s="197"/>
      <c r="AG11" s="246">
        <f t="shared" si="10"/>
        <v>3.7855591748099889E-2</v>
      </c>
      <c r="AH11" s="247">
        <f t="shared" si="2"/>
        <v>0.96214440825190006</v>
      </c>
      <c r="AI11" s="247">
        <f>AG11*PRODUCT(AH3:AH10)*PRODUCT(AH12:AH17)</f>
        <v>2.9849597295955949E-2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3.1559780151404013E-3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2.2520362059978848E-4</v>
      </c>
      <c r="BM11" s="31">
        <f>BI50+1</f>
        <v>7</v>
      </c>
      <c r="BN11" s="31">
        <v>7</v>
      </c>
      <c r="BO11" s="107">
        <f>$H$32*H46</f>
        <v>5.324676189175368E-6</v>
      </c>
      <c r="BQ11" s="31">
        <f>BQ8+1</f>
        <v>4</v>
      </c>
      <c r="BR11" s="31">
        <v>1</v>
      </c>
      <c r="BS11" s="107">
        <f>$H$29*H40</f>
        <v>1.0671122624865506E-2</v>
      </c>
    </row>
    <row r="12" spans="1:71" ht="15.75" x14ac:dyDescent="0.25">
      <c r="A12" s="6" t="s">
        <v>52</v>
      </c>
      <c r="B12" s="269">
        <v>14</v>
      </c>
      <c r="C12" s="270">
        <v>14.5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2</v>
      </c>
      <c r="R12" s="221">
        <f t="shared" si="0"/>
        <v>0.04</v>
      </c>
      <c r="S12" s="221">
        <f t="shared" si="1"/>
        <v>4.7817589576547234E-2</v>
      </c>
      <c r="T12" s="226">
        <f t="shared" ref="T12" si="11">IF(S12=0,0,S12*(P12^2.7/(P12^2.7+Q12^2.7))*P12/L12)</f>
        <v>0</v>
      </c>
      <c r="U12" s="228">
        <f>IF(S12=0,0,S12*Q12^2.7/(P12^2.7+Q12^2.7)*Q12/L12)</f>
        <v>1.9127035830618894E-2</v>
      </c>
      <c r="V12" s="218">
        <f>$G$18</f>
        <v>0.45</v>
      </c>
      <c r="W12" s="216">
        <f>$H$18</f>
        <v>0.45</v>
      </c>
      <c r="X12" s="251">
        <f t="shared" si="7"/>
        <v>0</v>
      </c>
      <c r="Y12" s="252">
        <f t="shared" si="7"/>
        <v>8.6071661237785025E-3</v>
      </c>
      <c r="Z12" s="199"/>
      <c r="AA12" s="244">
        <f t="shared" si="8"/>
        <v>0</v>
      </c>
      <c r="AB12" s="245">
        <f t="shared" si="9"/>
        <v>1</v>
      </c>
      <c r="AC12" s="245">
        <f>PRODUCT(AB13:AB$16)*AA12*PRODUCT(AB$4:AB11)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0"/>
        <v>8.6071661237785025E-3</v>
      </c>
      <c r="AH12" s="247">
        <f t="shared" si="2"/>
        <v>0.99139283387622146</v>
      </c>
      <c r="AI12" s="247">
        <f>AG12*PRODUCT(AH3:AH11)*PRODUCT(AH13:AH17)</f>
        <v>6.5866275611989209E-3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6.3921534617871682E-4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3.1802662472669886E-5</v>
      </c>
      <c r="BM12" s="31">
        <f>BI54+1</f>
        <v>8</v>
      </c>
      <c r="BN12" s="31">
        <v>8</v>
      </c>
      <c r="BO12" s="107">
        <f>$H$33*H47</f>
        <v>1.1691124713702418E-7</v>
      </c>
      <c r="BQ12" s="31">
        <f>BQ9+1</f>
        <v>4</v>
      </c>
      <c r="BR12" s="31">
        <v>2</v>
      </c>
      <c r="BS12" s="107">
        <f>$H$29*H41</f>
        <v>1.7176080304866895E-2</v>
      </c>
    </row>
    <row r="13" spans="1:71" ht="15.75" x14ac:dyDescent="0.25">
      <c r="A13" s="7" t="s">
        <v>55</v>
      </c>
      <c r="B13" s="269">
        <v>14</v>
      </c>
      <c r="C13" s="270">
        <v>11.25</v>
      </c>
      <c r="E13" s="210"/>
      <c r="F13" s="210" t="s">
        <v>152</v>
      </c>
      <c r="G13" s="217">
        <f>B22</f>
        <v>0.48192771084337349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0</v>
      </c>
      <c r="Q13" s="214">
        <f>COUNTIF(E10:I11,"CAB")</f>
        <v>2</v>
      </c>
      <c r="R13" s="221">
        <f t="shared" si="0"/>
        <v>0.18</v>
      </c>
      <c r="S13" s="221">
        <f t="shared" si="1"/>
        <v>0.21517915309446253</v>
      </c>
      <c r="T13" s="226">
        <f>IF((Q13+P13)=0,0,S13*P14/4*P13/L13)</f>
        <v>0</v>
      </c>
      <c r="U13" s="228">
        <f>IF(P13+Q13=0,0,S13*Q14/4*Q13/L13)</f>
        <v>3.0739879013494648E-2</v>
      </c>
      <c r="V13" s="218">
        <v>1</v>
      </c>
      <c r="W13" s="216">
        <v>1</v>
      </c>
      <c r="X13" s="251">
        <f t="shared" si="7"/>
        <v>0</v>
      </c>
      <c r="Y13" s="252">
        <f t="shared" si="7"/>
        <v>3.0739879013494648E-2</v>
      </c>
      <c r="Z13" s="199"/>
      <c r="AA13" s="244">
        <f t="shared" si="8"/>
        <v>0</v>
      </c>
      <c r="AB13" s="245">
        <f t="shared" si="9"/>
        <v>1</v>
      </c>
      <c r="AC13" s="245">
        <f>PRODUCT(AB14:AB$16)*AA13*PRODUCT(AB$4:AB12)</f>
        <v>0</v>
      </c>
      <c r="AD13" s="245">
        <f>AA13*AA14*PRODUCT(AB3:AB12)*PRODUCT(AB15:AB17)+AA13*AA15*PRODUCT(AB3:AB12)*AB14*PRODUCT(AB16:AB17)+AA13*AA16*PRODUCT(AB3:AB12)*AB14*AB15*AB17+AA13*AA17*PRODUCT(AB3:AB12)*AB14*AB15*AB16</f>
        <v>0</v>
      </c>
      <c r="AE13" s="183"/>
      <c r="AF13" s="197"/>
      <c r="AG13" s="246">
        <f t="shared" si="10"/>
        <v>3.0739879013494648E-2</v>
      </c>
      <c r="AH13" s="247">
        <f t="shared" si="2"/>
        <v>0.96926012098650538</v>
      </c>
      <c r="AI13" s="247">
        <f>AG13*PRODUCT(AH3:AH12)*PRODUCT(AH14:AH17)</f>
        <v>2.4060824563121794E-2</v>
      </c>
      <c r="AJ13" s="247">
        <f>AG13*AG14*PRODUCT(AH3:AH12)*PRODUCT(AH15:AH17)+AG13*AG15*PRODUCT(AH3:AH12)*AH14*PRODUCT(AH16:AH17)+AG13*AG16*PRODUCT(AH3:AH12)*AH14*AH15*AH17+AG13*AG17*PRODUCT(AH3:AH12)*AH14*AH15*AH16</f>
        <v>1.5719574954214995E-3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3.2612813590205273E-6</v>
      </c>
      <c r="BM13" s="31">
        <f>BI57+1</f>
        <v>9</v>
      </c>
      <c r="BN13" s="31">
        <v>9</v>
      </c>
      <c r="BO13" s="107">
        <f>$H$34*H48</f>
        <v>1.3513126621548061E-9</v>
      </c>
      <c r="BQ13" s="31">
        <f>BM7+1</f>
        <v>4</v>
      </c>
      <c r="BR13" s="31">
        <v>3</v>
      </c>
      <c r="BS13" s="107">
        <f>$H$29*H42</f>
        <v>1.6731272156742E-2</v>
      </c>
    </row>
    <row r="14" spans="1:71" ht="15.75" x14ac:dyDescent="0.25">
      <c r="A14" s="7" t="s">
        <v>58</v>
      </c>
      <c r="B14" s="269">
        <v>11.25</v>
      </c>
      <c r="C14" s="270">
        <v>7</v>
      </c>
      <c r="E14" s="210"/>
      <c r="F14" s="210" t="s">
        <v>153</v>
      </c>
      <c r="G14" s="215">
        <f>C22</f>
        <v>0.51807228915662651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0.21517915309446253</v>
      </c>
      <c r="T14" s="226">
        <f>S14*P14^2.7/(Q14^2.7+P14^2.7)</f>
        <v>0.10758957654723127</v>
      </c>
      <c r="U14" s="228">
        <f>S14*Q14^2.7/(Q14^2.7+P14^2.7)</f>
        <v>0.10758957654723127</v>
      </c>
      <c r="V14" s="218">
        <f>$G$17</f>
        <v>0.56999999999999995</v>
      </c>
      <c r="W14" s="216">
        <f>$H$17</f>
        <v>0.56999999999999995</v>
      </c>
      <c r="X14" s="251">
        <f t="shared" si="7"/>
        <v>6.1326058631921816E-2</v>
      </c>
      <c r="Y14" s="252">
        <f t="shared" si="7"/>
        <v>6.1326058631921816E-2</v>
      </c>
      <c r="Z14" s="199"/>
      <c r="AA14" s="244">
        <f t="shared" si="8"/>
        <v>6.1326058631921816E-2</v>
      </c>
      <c r="AB14" s="245">
        <f t="shared" si="9"/>
        <v>0.93867394136807814</v>
      </c>
      <c r="AC14" s="245">
        <f>PRODUCT(AB15:AB$16)*AA14*PRODUCT(AB$4:AB13)</f>
        <v>2.9503973139616932E-2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6.1326058631921816E-2</v>
      </c>
      <c r="AH14" s="247">
        <f t="shared" si="2"/>
        <v>0.93867394136807814</v>
      </c>
      <c r="AI14" s="247">
        <f>AG14*PRODUCT(AH3:AH13)*PRODUCT(AH15:AH17)</f>
        <v>4.9565442711372372E-2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8.4455230394517966E-2</v>
      </c>
      <c r="BM14" s="31">
        <f>BQ39+1</f>
        <v>10</v>
      </c>
      <c r="BN14" s="31">
        <v>10</v>
      </c>
      <c r="BO14" s="107">
        <f>$H$35*H49</f>
        <v>7.9058714428531479E-12</v>
      </c>
      <c r="BQ14" s="31">
        <f>BQ10+1</f>
        <v>5</v>
      </c>
      <c r="BR14" s="31">
        <v>0</v>
      </c>
      <c r="BS14" s="107">
        <f>$H$30*H39</f>
        <v>9.722334341137652E-4</v>
      </c>
    </row>
    <row r="15" spans="1:71" ht="15.75" x14ac:dyDescent="0.25">
      <c r="A15" s="162" t="s">
        <v>62</v>
      </c>
      <c r="B15" s="271">
        <v>5</v>
      </c>
      <c r="C15" s="272">
        <v>9.5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0</v>
      </c>
      <c r="Q15" s="214">
        <f>COUNTIF(E10:I11,"TEC")</f>
        <v>1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8.2268097243970092E-2</v>
      </c>
      <c r="BQ15" s="31">
        <f>BQ11+1</f>
        <v>5</v>
      </c>
      <c r="BR15" s="31">
        <v>1</v>
      </c>
      <c r="BS15" s="107">
        <f>$H$30*H40</f>
        <v>3.4218828946634035E-3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79">
        <v>0.7</v>
      </c>
      <c r="H16" s="280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185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4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5.4087590553291147E-2</v>
      </c>
      <c r="BQ16" s="31">
        <f>BQ12+1</f>
        <v>5</v>
      </c>
      <c r="BR16" s="31">
        <v>2</v>
      </c>
      <c r="BS16" s="107">
        <f>$H$30*H41</f>
        <v>5.5078118262491399E-3</v>
      </c>
    </row>
    <row r="17" spans="1:71" x14ac:dyDescent="0.25">
      <c r="A17" s="161" t="s">
        <v>69</v>
      </c>
      <c r="B17" s="273" t="s">
        <v>70</v>
      </c>
      <c r="C17" s="274" t="s">
        <v>70</v>
      </c>
      <c r="E17" s="210"/>
      <c r="F17" s="210" t="s">
        <v>154</v>
      </c>
      <c r="G17" s="279">
        <v>0.56999999999999995</v>
      </c>
      <c r="H17" s="280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2.5341983080652334E-2</v>
      </c>
      <c r="BQ17" s="31">
        <f>BQ13+1</f>
        <v>5</v>
      </c>
      <c r="BR17" s="31">
        <v>3</v>
      </c>
      <c r="BS17" s="107">
        <f>$H$30*H42</f>
        <v>5.3651762810508511E-3</v>
      </c>
    </row>
    <row r="18" spans="1:71" x14ac:dyDescent="0.25">
      <c r="A18" s="161" t="s">
        <v>73</v>
      </c>
      <c r="B18" s="273">
        <v>20</v>
      </c>
      <c r="C18" s="274">
        <v>20</v>
      </c>
      <c r="E18" s="210"/>
      <c r="F18" s="209" t="s">
        <v>3</v>
      </c>
      <c r="G18" s="279">
        <v>0.45</v>
      </c>
      <c r="H18" s="280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0.45159613010848815</v>
      </c>
      <c r="AC18" s="159">
        <f>SUM(AC4:AC16)</f>
        <v>0.39479956783023462</v>
      </c>
      <c r="AD18" s="159">
        <f>SUM(AD3:AD17)</f>
        <v>7.4494541341332793E-2</v>
      </c>
      <c r="AE18" s="159">
        <f>IF((1-AB18-AC18-AD18)&lt;0,(1-AB18-AC18-AD18)-1,1-AB18-AC18-AD18)</f>
        <v>7.9109760719944494E-2</v>
      </c>
      <c r="AF18" s="197"/>
      <c r="AG18" s="157"/>
      <c r="AH18" s="160">
        <f>PRODUCT(AH3:AH17)</f>
        <v>0.75866263874521511</v>
      </c>
      <c r="AI18" s="159">
        <f>SUM(AI3:AI17)</f>
        <v>0.2147328763667275</v>
      </c>
      <c r="AJ18" s="159">
        <f>SUM(AJ3:AJ17)</f>
        <v>2.5002871951216421E-2</v>
      </c>
      <c r="AK18" s="159">
        <f>IF((1-AH18-AI18-AJ18)&lt;0,(1-AH18-AI18-AJ18)-1,(1-AH18-AI18-AJ18))</f>
        <v>1.6016129368409682E-3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8.7093702633931538E-3</v>
      </c>
      <c r="BQ18" s="31">
        <f>BM8+1</f>
        <v>5</v>
      </c>
      <c r="BR18" s="31">
        <v>4</v>
      </c>
      <c r="BS18" s="107">
        <f>$H$30*H43</f>
        <v>3.5273631900727769E-3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2.2260872653812958E-3</v>
      </c>
      <c r="BQ19" s="31">
        <f>BQ15+1</f>
        <v>6</v>
      </c>
      <c r="BR19" s="31">
        <v>1</v>
      </c>
      <c r="BS19" s="107">
        <f>$H$31*H40</f>
        <v>7.7764819526482257E-4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4.2442363049115375E-4</v>
      </c>
      <c r="BQ20" s="31">
        <f>BQ16+1</f>
        <v>6</v>
      </c>
      <c r="BR20" s="31">
        <v>2</v>
      </c>
      <c r="BS20" s="107">
        <f>$H$31*H41</f>
        <v>1.2516909720144602E-3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5.9935987840632449E-5</v>
      </c>
      <c r="BQ21" s="31">
        <f>BQ17+1</f>
        <v>6</v>
      </c>
      <c r="BR21" s="31">
        <v>3</v>
      </c>
      <c r="BS21" s="107">
        <f>$H$31*H42</f>
        <v>1.2192759894687254E-3</v>
      </c>
    </row>
    <row r="22" spans="1:71" x14ac:dyDescent="0.25">
      <c r="A22" s="26" t="s">
        <v>81</v>
      </c>
      <c r="B22" s="169">
        <f>(B6)/((B6)+(C6))</f>
        <v>0.48192771084337349</v>
      </c>
      <c r="C22" s="170">
        <f>1-B22</f>
        <v>0.51807228915662651</v>
      </c>
      <c r="V22" s="171">
        <f>SUM(V25:V35)</f>
        <v>1</v>
      </c>
      <c r="AS22" s="82">
        <f>Y23+AA23+AC23+AE23+AG23+AI23+AK23+AM23+AO23+AQ23+AS23</f>
        <v>1.0000000000000002</v>
      </c>
      <c r="BI22" s="31">
        <v>1</v>
      </c>
      <c r="BJ22" s="31">
        <v>10</v>
      </c>
      <c r="BK22" s="107">
        <f t="shared" si="12"/>
        <v>6.1462816217703206E-6</v>
      </c>
      <c r="BQ22" s="31">
        <f>BQ18+1</f>
        <v>6</v>
      </c>
      <c r="BR22" s="31">
        <v>4</v>
      </c>
      <c r="BS22" s="107">
        <f>$H$31*H43</f>
        <v>8.0161937250441322E-4</v>
      </c>
    </row>
    <row r="23" spans="1:71" ht="15.75" thickBot="1" x14ac:dyDescent="0.3">
      <c r="A23" s="40" t="s">
        <v>82</v>
      </c>
      <c r="B23" s="56">
        <f>((B22^2.8)/((B22^2.8)+(C22^2.8)))*B21</f>
        <v>2.2477391004409277</v>
      </c>
      <c r="C23" s="57">
        <f>B21-B23</f>
        <v>2.7522608995590723</v>
      </c>
      <c r="D23" s="149">
        <f>SUM(D25:D30)</f>
        <v>1</v>
      </c>
      <c r="E23" s="149">
        <f>SUM(E25:E30)</f>
        <v>1</v>
      </c>
      <c r="H23" s="229">
        <f>SUM(H25:H35)</f>
        <v>0.99999998374410015</v>
      </c>
      <c r="I23" s="81"/>
      <c r="J23" s="229">
        <f>SUM(J25:J35)</f>
        <v>1</v>
      </c>
      <c r="K23" s="229"/>
      <c r="L23" s="229">
        <f>SUM(L25:L35)</f>
        <v>1.0000000000000002</v>
      </c>
      <c r="M23" s="81"/>
      <c r="N23" s="229">
        <f>SUM(N25:N35)</f>
        <v>1.0000000000000004</v>
      </c>
      <c r="O23" s="81"/>
      <c r="P23" s="229">
        <f>SUM(P25:P35)</f>
        <v>1.0000000000000004</v>
      </c>
      <c r="Q23" s="81"/>
      <c r="R23" s="229">
        <f>SUM(R25:R35)</f>
        <v>1.0000000000000004</v>
      </c>
      <c r="S23" s="81"/>
      <c r="T23" s="229">
        <f>SUM(T25:T35)</f>
        <v>1</v>
      </c>
      <c r="V23" s="171">
        <f>SUM(V25:V34)</f>
        <v>0.99959958480959621</v>
      </c>
      <c r="Y23" s="168">
        <f>SUM(Y25:Y35)</f>
        <v>2.5157367956248401E-3</v>
      </c>
      <c r="Z23" s="81"/>
      <c r="AA23" s="168">
        <f>SUM(AA25:AA35)</f>
        <v>2.0583652151434189E-2</v>
      </c>
      <c r="AB23" s="81"/>
      <c r="AC23" s="168">
        <f>SUM(AC25:AC35)</f>
        <v>7.5817464187776004E-2</v>
      </c>
      <c r="AD23" s="81"/>
      <c r="AE23" s="168">
        <f>SUM(AE25:AE35)</f>
        <v>0.1655828451109489</v>
      </c>
      <c r="AF23" s="81"/>
      <c r="AG23" s="168">
        <f>SUM(AG25:AG35)</f>
        <v>0.23750740086049746</v>
      </c>
      <c r="AH23" s="81"/>
      <c r="AI23" s="168">
        <f>SUM(AI25:AI35)</f>
        <v>0.23388379060419062</v>
      </c>
      <c r="AJ23" s="81"/>
      <c r="AK23" s="168">
        <f>SUM(AK25:AK35)</f>
        <v>0.16024543359581164</v>
      </c>
      <c r="AL23" s="81"/>
      <c r="AM23" s="168">
        <f>SUM(AM25:AM35)</f>
        <v>7.5535040227529687E-2</v>
      </c>
      <c r="AN23" s="81"/>
      <c r="AO23" s="168">
        <f>SUM(AO25:AO35)</f>
        <v>2.3518866397604265E-2</v>
      </c>
      <c r="AP23" s="81"/>
      <c r="AQ23" s="168">
        <f>SUM(AQ25:AQ35)</f>
        <v>4.4093548781787275E-3</v>
      </c>
      <c r="AR23" s="81"/>
      <c r="AS23" s="168">
        <f>SUM(AS25:AS35)</f>
        <v>4.0041519040379125E-4</v>
      </c>
      <c r="BI23" s="31">
        <f t="shared" ref="BI23:BI30" si="15">BI15+1</f>
        <v>2</v>
      </c>
      <c r="BJ23" s="31">
        <v>3</v>
      </c>
      <c r="BK23" s="107">
        <f t="shared" ref="BK23:BK30" si="16">$H$27*H42</f>
        <v>6.5826801188068065E-2</v>
      </c>
      <c r="BQ23" s="31">
        <f>BM9+1</f>
        <v>6</v>
      </c>
      <c r="BR23" s="31">
        <v>5</v>
      </c>
      <c r="BS23" s="107">
        <f>$H$31*H44</f>
        <v>3.7558753065760042E-4</v>
      </c>
    </row>
    <row r="24" spans="1:71" ht="15.75" thickBot="1" x14ac:dyDescent="0.3">
      <c r="A24" s="26" t="s">
        <v>83</v>
      </c>
      <c r="B24" s="64">
        <f>B23/B21</f>
        <v>0.44954782008818556</v>
      </c>
      <c r="C24" s="65">
        <f>C23/B21</f>
        <v>0.5504521799118145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4.3278174521704869E-2</v>
      </c>
      <c r="BQ24" s="31">
        <f>BI49+1</f>
        <v>7</v>
      </c>
      <c r="BR24" s="31">
        <v>0</v>
      </c>
      <c r="BS24" s="107">
        <f t="shared" ref="BS24:BS30" si="17">$H$32*H39</f>
        <v>3.5658988970628572E-5</v>
      </c>
    </row>
    <row r="25" spans="1:71" x14ac:dyDescent="0.25">
      <c r="A25" s="26" t="s">
        <v>108</v>
      </c>
      <c r="B25" s="172">
        <f>1/(1+EXP(-3.1416*4*((B11/(B11+C8))-(3.1416/6))))</f>
        <v>9.5981797307224156E-2</v>
      </c>
      <c r="C25" s="170">
        <f>1/(1+EXP(-3.1416*4*((C11/(C11+B8))-(3.1416/6))))</f>
        <v>0.42639691249266598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0.17242583065024941</v>
      </c>
      <c r="I25" s="97">
        <v>0</v>
      </c>
      <c r="J25" s="98">
        <f t="shared" ref="J25:J35" si="18">Y25+AA25+AC25+AE25+AG25+AI25+AK25+AM25+AO25+AQ25+AS25</f>
        <v>0.38181423434436229</v>
      </c>
      <c r="K25" s="97">
        <v>0</v>
      </c>
      <c r="L25" s="98">
        <f>AB18</f>
        <v>0.45159613010848815</v>
      </c>
      <c r="M25" s="85">
        <v>0</v>
      </c>
      <c r="N25" s="173">
        <f>(1-$B$24)^$B$21</f>
        <v>5.0535664401497545E-2</v>
      </c>
      <c r="O25" s="72">
        <v>0</v>
      </c>
      <c r="P25" s="173">
        <f t="shared" ref="P25:P30" si="19">N25</f>
        <v>5.0535664401497545E-2</v>
      </c>
      <c r="Q25" s="28">
        <v>0</v>
      </c>
      <c r="R25" s="174">
        <f>P25*N25</f>
        <v>2.5538533765007863E-3</v>
      </c>
      <c r="S25" s="72">
        <v>0</v>
      </c>
      <c r="T25" s="175">
        <f>(1-$B$33)^(INT(C23*2*(1-C31)))</f>
        <v>0.98507487500000002</v>
      </c>
      <c r="U25" s="138">
        <v>0</v>
      </c>
      <c r="V25" s="86">
        <f>R25*T25</f>
        <v>2.5157367956248401E-3</v>
      </c>
      <c r="W25" s="134">
        <f>B31</f>
        <v>0.20357066719330222</v>
      </c>
      <c r="X25" s="28">
        <v>0</v>
      </c>
      <c r="Y25" s="176">
        <f>V25</f>
        <v>2.5157367956248401E-3</v>
      </c>
      <c r="Z25" s="28">
        <v>0</v>
      </c>
      <c r="AA25" s="176">
        <f>((1-W25)^Z26)*V26</f>
        <v>1.639342434969188E-2</v>
      </c>
      <c r="AB25" s="28">
        <v>0</v>
      </c>
      <c r="AC25" s="176">
        <f>(((1-$W$25)^AB27))*V27</f>
        <v>4.8090993436098482E-2</v>
      </c>
      <c r="AD25" s="28">
        <v>0</v>
      </c>
      <c r="AE25" s="176">
        <f>(((1-$W$25)^AB28))*V28</f>
        <v>8.3648292693296933E-2</v>
      </c>
      <c r="AF25" s="28">
        <v>0</v>
      </c>
      <c r="AG25" s="176">
        <f>(((1-$W$25)^AB29))*V29</f>
        <v>9.5557798243937134E-2</v>
      </c>
      <c r="AH25" s="28">
        <v>0</v>
      </c>
      <c r="AI25" s="176">
        <f>(((1-$W$25)^AB30))*V30</f>
        <v>7.4943911871905966E-2</v>
      </c>
      <c r="AJ25" s="28">
        <v>0</v>
      </c>
      <c r="AK25" s="176">
        <f>(((1-$W$25)^AB31))*V31</f>
        <v>4.0894899373526541E-2</v>
      </c>
      <c r="AL25" s="28">
        <v>0</v>
      </c>
      <c r="AM25" s="176">
        <f>(((1-$W$25)^AB32))*V32</f>
        <v>1.5352503075235011E-2</v>
      </c>
      <c r="AN25" s="28">
        <v>0</v>
      </c>
      <c r="AO25" s="176">
        <f>(((1-$W$25)^AB33))*V33</f>
        <v>3.8071006634925741E-3</v>
      </c>
      <c r="AP25" s="28">
        <v>0</v>
      </c>
      <c r="AQ25" s="176">
        <f>(((1-$W$25)^AB34))*V34</f>
        <v>5.6846047752002755E-4</v>
      </c>
      <c r="AR25" s="28">
        <v>0</v>
      </c>
      <c r="AS25" s="176">
        <f>(((1-$W$25)^AB35))*V35</f>
        <v>4.1113364032936077E-5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2.027738258020495E-2</v>
      </c>
      <c r="BQ25" s="31">
        <f>BQ19+1</f>
        <v>7</v>
      </c>
      <c r="BR25" s="31">
        <v>1</v>
      </c>
      <c r="BS25" s="107">
        <f t="shared" si="17"/>
        <v>1.2550574802111433E-4</v>
      </c>
    </row>
    <row r="26" spans="1:71" x14ac:dyDescent="0.25">
      <c r="A26" s="40" t="s">
        <v>109</v>
      </c>
      <c r="B26" s="169">
        <f>1/(1+EXP(-3.1416*4*((B10/(B10+C9))-(3.1416/6))))</f>
        <v>6.3233072774650262E-2</v>
      </c>
      <c r="C26" s="170">
        <f>1/(1+EXP(-3.1416*4*((C10/(C10+B9))-(3.1416/6))))</f>
        <v>0.45307946068917127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0.32495746222963007</v>
      </c>
      <c r="I26" s="138">
        <v>1</v>
      </c>
      <c r="J26" s="86">
        <f t="shared" si="18"/>
        <v>0.38578135618033582</v>
      </c>
      <c r="K26" s="138">
        <v>1</v>
      </c>
      <c r="L26" s="86">
        <f>AC18</f>
        <v>0.39479956783023462</v>
      </c>
      <c r="M26" s="85">
        <v>1</v>
      </c>
      <c r="N26" s="173">
        <f>(($B$24)^M26)*((1-($B$24))^($B$21-M26))*HLOOKUP($B$21,$AV$24:$BF$34,M26+1)</f>
        <v>0.20635941320135132</v>
      </c>
      <c r="O26" s="72">
        <v>1</v>
      </c>
      <c r="P26" s="173">
        <f t="shared" si="19"/>
        <v>0.20635941320135132</v>
      </c>
      <c r="Q26" s="28">
        <v>1</v>
      </c>
      <c r="R26" s="174">
        <f>N26*P25+P26*N25</f>
        <v>2.0857020103266906E-2</v>
      </c>
      <c r="S26" s="72">
        <v>1</v>
      </c>
      <c r="T26" s="175">
        <f t="shared" ref="T26:T35" si="20">(($B$33)^S26)*((1-($B$33))^(INT($C$23*2*(1-$C$31))-S26))*HLOOKUP(INT($C$23*2*(1-$C$31)),$AV$24:$BF$34,S26+1)</f>
        <v>1.4850375000000002E-2</v>
      </c>
      <c r="U26" s="138">
        <v>1</v>
      </c>
      <c r="V26" s="86">
        <f>R26*T25+T26*R25</f>
        <v>2.0583652151434189E-2</v>
      </c>
      <c r="W26" s="177"/>
      <c r="X26" s="28">
        <v>1</v>
      </c>
      <c r="Y26" s="174"/>
      <c r="Z26" s="28">
        <v>1</v>
      </c>
      <c r="AA26" s="176">
        <f>(1-((1-W25)^Z26))*V26</f>
        <v>4.1902278017423083E-3</v>
      </c>
      <c r="AB26" s="28">
        <v>1</v>
      </c>
      <c r="AC26" s="176">
        <f>((($W$25)^M26)*((1-($W$25))^($U$27-M26))*HLOOKUP($U$27,$AV$24:$BF$34,M26+1))*V27</f>
        <v>2.458451796413532E-2</v>
      </c>
      <c r="AD26" s="28">
        <v>1</v>
      </c>
      <c r="AE26" s="176">
        <f>((($W$25)^M26)*((1-($W$25))^($U$28-M26))*HLOOKUP($U$28,$AV$24:$BF$34,M26+1))*V28</f>
        <v>6.4142559992656806E-2</v>
      </c>
      <c r="AF26" s="28">
        <v>1</v>
      </c>
      <c r="AG26" s="176">
        <f>((($W$25)^M26)*((1-($W$25))^($U$29-M26))*HLOOKUP($U$29,$AV$24:$BF$34,M26+1))*V29</f>
        <v>9.7699890964526526E-2</v>
      </c>
      <c r="AH26" s="28">
        <v>1</v>
      </c>
      <c r="AI26" s="176">
        <f>((($W$25)^M26)*((1-($W$25))^($U$30-M26))*HLOOKUP($U$30,$AV$24:$BF$34,M26+1))*V30</f>
        <v>9.5779886007430828E-2</v>
      </c>
      <c r="AJ26" s="28">
        <v>1</v>
      </c>
      <c r="AK26" s="176">
        <f>((($W$25)^M26)*((1-($W$25))^($U$31-M26))*HLOOKUP($U$31,$AV$24:$BF$34,M26+1))*V31</f>
        <v>6.2717443524589453E-2</v>
      </c>
      <c r="AL26" s="28">
        <v>1</v>
      </c>
      <c r="AM26" s="176">
        <f>((($W$25)^Q26)*((1-($W$25))^($U$32-Q26))*HLOOKUP($U$32,$AV$24:$BF$34,Q26+1))*V32</f>
        <v>2.7469147804604473E-2</v>
      </c>
      <c r="AN26" s="28">
        <v>1</v>
      </c>
      <c r="AO26" s="176">
        <f>((($W$25)^Q26)*((1-($W$25))^($U$33-Q26))*HLOOKUP($U$33,$AV$24:$BF$34,Q26+1))*V33</f>
        <v>7.7848867711390662E-3</v>
      </c>
      <c r="AP26" s="28">
        <v>1</v>
      </c>
      <c r="AQ26" s="176">
        <f>((($W$25)^Q26)*((1-($W$25))^($U$34-Q26))*HLOOKUP($U$34,$AV$24:$BF$34,Q26+1))*V34</f>
        <v>1.3077078721669328E-3</v>
      </c>
      <c r="AR26" s="28">
        <v>1</v>
      </c>
      <c r="AS26" s="176">
        <f>((($W$25)^Q26)*((1-($W$25))^($U$35-Q26))*HLOOKUP($U$35,$AV$24:$BF$34,Q26+1))*V35</f>
        <v>1.0508747734404799E-4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6.9688008354134431E-3</v>
      </c>
      <c r="BQ26" s="31">
        <f>BQ20+1</f>
        <v>7</v>
      </c>
      <c r="BR26" s="31">
        <v>2</v>
      </c>
      <c r="BS26" s="107">
        <f t="shared" si="17"/>
        <v>2.0201218583224917E-4</v>
      </c>
    </row>
    <row r="27" spans="1:71" x14ac:dyDescent="0.25">
      <c r="A27" s="26" t="s">
        <v>110</v>
      </c>
      <c r="B27" s="169">
        <f>1/(1+EXP(-3.1416*4*((B12/(B12+C7))-(3.1416/6))))</f>
        <v>0.23007799510294671</v>
      </c>
      <c r="C27" s="170">
        <f>1/(1+EXP(-3.1416*4*((C12/(C12+B7))-(3.1416/6))))</f>
        <v>0.36442637312875453</v>
      </c>
      <c r="D27" s="167">
        <f>D26</f>
        <v>0.25700000000000001</v>
      </c>
      <c r="E27" s="167">
        <f>E26</f>
        <v>0.25700000000000001</v>
      </c>
      <c r="G27" s="87">
        <v>2</v>
      </c>
      <c r="H27" s="126">
        <f>L25*J27+J26*L26+J25*L27</f>
        <v>0.26001464695765603</v>
      </c>
      <c r="I27" s="138">
        <v>2</v>
      </c>
      <c r="J27" s="86">
        <f t="shared" si="18"/>
        <v>0.17552244740578291</v>
      </c>
      <c r="K27" s="138">
        <v>2</v>
      </c>
      <c r="L27" s="86">
        <f>AD18</f>
        <v>7.4494541341332793E-2</v>
      </c>
      <c r="M27" s="85">
        <v>2</v>
      </c>
      <c r="N27" s="173">
        <f>(($B$24)^M27)*((1-($B$24))^($B$21-M27))*HLOOKUP($B$21,$AV$24:$BF$34,M27+1)</f>
        <v>0.337062610503992</v>
      </c>
      <c r="O27" s="72">
        <v>2</v>
      </c>
      <c r="P27" s="173">
        <f t="shared" si="19"/>
        <v>0.337062610503992</v>
      </c>
      <c r="Q27" s="28">
        <v>2</v>
      </c>
      <c r="R27" s="174">
        <f>P25*N27+P26*N26+P27*N25</f>
        <v>7.6651573350250884E-2</v>
      </c>
      <c r="S27" s="72">
        <v>2</v>
      </c>
      <c r="T27" s="175">
        <f t="shared" si="20"/>
        <v>7.4625000000000011E-5</v>
      </c>
      <c r="U27" s="138">
        <v>2</v>
      </c>
      <c r="V27" s="86">
        <f>R27*T25+T26*R26+R25*T27</f>
        <v>7.581746418777599E-2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3.1419527875421959E-3</v>
      </c>
      <c r="AD27" s="28">
        <v>2</v>
      </c>
      <c r="AE27" s="176">
        <f>((($W$25)^M27)*((1-($W$25))^($U$28-M27))*HLOOKUP($U$28,$AV$24:$BF$34,M27+1))*V28</f>
        <v>1.6395106502639038E-2</v>
      </c>
      <c r="AF27" s="28">
        <v>2</v>
      </c>
      <c r="AG27" s="176">
        <f>((($W$25)^M27)*((1-($W$25))^($U$29-M27))*HLOOKUP($U$29,$AV$24:$BF$34,M27+1))*V29</f>
        <v>3.7458750894328464E-2</v>
      </c>
      <c r="AH27" s="28">
        <v>2</v>
      </c>
      <c r="AI27" s="176">
        <f>((($W$25)^M27)*((1-($W$25))^($U$30-M27))*HLOOKUP($U$30,$AV$24:$BF$34,M27+1))*V30</f>
        <v>4.8963478603979281E-2</v>
      </c>
      <c r="AJ27" s="28">
        <v>2</v>
      </c>
      <c r="AK27" s="176">
        <f>((($W$25)^M27)*((1-($W$25))^($U$31-M27))*HLOOKUP($U$31,$AV$24:$BF$34,M27+1))*V31</f>
        <v>4.0077101938112945E-2</v>
      </c>
      <c r="AL27" s="28">
        <v>2</v>
      </c>
      <c r="AM27" s="176">
        <f>((($W$25)^Q27)*((1-($W$25))^($U$32-Q27))*HLOOKUP($U$32,$AV$24:$BF$34,Q27+1))*V32</f>
        <v>2.1063687067281775E-2</v>
      </c>
      <c r="AN27" s="28">
        <v>2</v>
      </c>
      <c r="AO27" s="176">
        <f>((($W$25)^Q27)*((1-($W$25))^($U$33-Q27))*HLOOKUP($U$33,$AV$24:$BF$34,Q27+1))*V33</f>
        <v>6.9644736207048656E-3</v>
      </c>
      <c r="AP27" s="28">
        <v>2</v>
      </c>
      <c r="AQ27" s="176">
        <f>((($W$25)^Q27)*((1-($W$25))^($U$34-Q27))*HLOOKUP($U$34,$AV$24:$BF$34,Q27+1))*V34</f>
        <v>1.3370223976698675E-3</v>
      </c>
      <c r="AR27" s="28">
        <v>2</v>
      </c>
      <c r="AS27" s="176">
        <f>((($W$25)^Q27)*((1-($W$25))^($U$35-Q27))*HLOOKUP($U$35,$AV$24:$BF$34,Q27+1))*V35</f>
        <v>1.2087359352448045E-4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1.7812032702176684E-3</v>
      </c>
      <c r="BQ27" s="31">
        <f>BQ21+1</f>
        <v>7</v>
      </c>
      <c r="BR27" s="31">
        <v>3</v>
      </c>
      <c r="BS27" s="107">
        <f t="shared" si="17"/>
        <v>1.9678068570627201E-4</v>
      </c>
    </row>
    <row r="28" spans="1:71" x14ac:dyDescent="0.25">
      <c r="A28" s="26" t="s">
        <v>111</v>
      </c>
      <c r="B28" s="275">
        <v>0.9</v>
      </c>
      <c r="C28" s="276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0.14963082680308437</v>
      </c>
      <c r="I28" s="138">
        <v>3</v>
      </c>
      <c r="J28" s="86">
        <f t="shared" si="18"/>
        <v>4.7367107668736329E-2</v>
      </c>
      <c r="K28" s="138">
        <v>3</v>
      </c>
      <c r="L28" s="86">
        <f>AE18</f>
        <v>7.9109760719944494E-2</v>
      </c>
      <c r="M28" s="85">
        <v>3</v>
      </c>
      <c r="N28" s="173">
        <f>(($B$24)^M28)*((1-($B$24))^($B$21-M28))*HLOOKUP($B$21,$AV$24:$BF$34,M28+1)</f>
        <v>0.27527506896162718</v>
      </c>
      <c r="O28" s="72">
        <v>3</v>
      </c>
      <c r="P28" s="173">
        <f t="shared" si="19"/>
        <v>0.27527506896162718</v>
      </c>
      <c r="Q28" s="28">
        <v>3</v>
      </c>
      <c r="R28" s="174">
        <f>P25*N28+P26*N27+P27*N26+P28*N25</f>
        <v>0.16693450203772661</v>
      </c>
      <c r="S28" s="72">
        <v>3</v>
      </c>
      <c r="T28" s="175">
        <f t="shared" si="20"/>
        <v>1.2500000000000002E-7</v>
      </c>
      <c r="U28" s="138">
        <v>3</v>
      </c>
      <c r="V28" s="86">
        <f>R28*T25+R27*T26+R26*T27+R25*T28</f>
        <v>0.1655828451109489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1.3968859223561266E-3</v>
      </c>
      <c r="AF28" s="28">
        <v>3</v>
      </c>
      <c r="AG28" s="176">
        <f>((($W$25)^M28)*((1-($W$25))^($U$29-M28))*HLOOKUP($U$29,$AV$24:$BF$34,M28+1))*V29</f>
        <v>6.3830755579306325E-3</v>
      </c>
      <c r="AH28" s="28">
        <v>3</v>
      </c>
      <c r="AI28" s="176">
        <f>((($W$25)^M28)*((1-($W$25))^($U$30-M28))*HLOOKUP($U$30,$AV$24:$BF$34,M28+1))*V30</f>
        <v>1.2515269838681682E-2</v>
      </c>
      <c r="AJ28" s="28">
        <v>3</v>
      </c>
      <c r="AK28" s="176">
        <f>((($W$25)^M28)*((1-($W$25))^($U$31-M28))*HLOOKUP($U$31,$AV$24:$BF$34,M28+1))*V31</f>
        <v>1.3658499747389896E-2</v>
      </c>
      <c r="AL28" s="28">
        <v>3</v>
      </c>
      <c r="AM28" s="176">
        <f>((($W$25)^Q28)*((1-($W$25))^($U$32-Q28))*HLOOKUP($U$32,$AV$24:$BF$34,Q28+1))*V32</f>
        <v>8.9732774631456538E-3</v>
      </c>
      <c r="AN28" s="28">
        <v>3</v>
      </c>
      <c r="AO28" s="176">
        <f>((($W$25)^Q28)*((1-($W$25))^($U$33-Q28))*HLOOKUP($U$33,$AV$24:$BF$34,Q28+1))*V33</f>
        <v>3.5602971493295028E-3</v>
      </c>
      <c r="AP28" s="28">
        <v>3</v>
      </c>
      <c r="AQ28" s="176">
        <f>((($W$25)^Q28)*((1-($W$25))^($U$34-Q28))*HLOOKUP($U$34,$AV$24:$BF$34,Q28+1))*V34</f>
        <v>7.9741320095448663E-4</v>
      </c>
      <c r="AR28" s="28">
        <v>3</v>
      </c>
      <c r="AS28" s="176">
        <f>((($W$25)^Q28)*((1-($W$25))^($U$35-Q28))*HLOOKUP($U$35,$AV$24:$BF$34,Q28+1))*V35</f>
        <v>8.2388788948343827E-5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3.3960248115385964E-4</v>
      </c>
      <c r="BQ28" s="31">
        <f>BQ22+1</f>
        <v>7</v>
      </c>
      <c r="BR28" s="31">
        <v>4</v>
      </c>
      <c r="BS28" s="107">
        <f t="shared" si="17"/>
        <v>1.2937449040195019E-4</v>
      </c>
    </row>
    <row r="29" spans="1:71" x14ac:dyDescent="0.25">
      <c r="A29" s="26" t="s">
        <v>112</v>
      </c>
      <c r="B29" s="169">
        <f>1/(1+EXP(-3.1416*4*((B14/(B14+C13))-(3.1416/6))))</f>
        <v>0.42639691249266598</v>
      </c>
      <c r="C29" s="170">
        <f>1/(1+EXP(-3.1416*4*((C14/(C14+B13))-(3.1416/6))))</f>
        <v>8.3864103423478886E-2</v>
      </c>
      <c r="D29" s="167">
        <v>0.04</v>
      </c>
      <c r="E29" s="167">
        <v>0.04</v>
      </c>
      <c r="G29" s="87">
        <v>4</v>
      </c>
      <c r="H29" s="126">
        <f>J29*L25+J28*L26+J27*L27+J26*L28</f>
        <v>6.6088215506001094E-2</v>
      </c>
      <c r="I29" s="138">
        <v>4</v>
      </c>
      <c r="J29" s="86">
        <f t="shared" si="18"/>
        <v>8.3994671873306465E-3</v>
      </c>
      <c r="K29" s="138">
        <v>4</v>
      </c>
      <c r="L29" s="86"/>
      <c r="M29" s="85">
        <v>4</v>
      </c>
      <c r="N29" s="173">
        <f>(($B$24)^M29)*((1-($B$24))^($B$21-M29))*HLOOKUP($B$21,$AV$24:$BF$34,M29+1)</f>
        <v>0.11240695531094977</v>
      </c>
      <c r="O29" s="72">
        <v>4</v>
      </c>
      <c r="P29" s="173">
        <f t="shared" si="19"/>
        <v>0.11240695531094977</v>
      </c>
      <c r="Q29" s="28">
        <v>4</v>
      </c>
      <c r="R29" s="174">
        <f>P25*N29+P26*N28+P27*N27+P28*N26+P29*N25</f>
        <v>0.2385835271395082</v>
      </c>
      <c r="S29" s="72">
        <v>4</v>
      </c>
      <c r="T29" s="175">
        <f t="shared" si="20"/>
        <v>0</v>
      </c>
      <c r="U29" s="138">
        <v>4</v>
      </c>
      <c r="V29" s="86">
        <f>T29*R25+T28*R26+T27*R27+T26*R28+T25*R29</f>
        <v>0.23750740086049743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4.0788519977471091E-4</v>
      </c>
      <c r="AH29" s="28">
        <v>4</v>
      </c>
      <c r="AI29" s="176">
        <f>((($W$25)^M29)*((1-($W$25))^($U$30-M29))*HLOOKUP($U$30,$AV$24:$BF$34,M29+1))*V30</f>
        <v>1.5994776474305265E-3</v>
      </c>
      <c r="AJ29" s="28">
        <v>4</v>
      </c>
      <c r="AK29" s="176">
        <f>((($W$25)^M29)*((1-($W$25))^($U$31-M29))*HLOOKUP($U$31,$AV$24:$BF$34,M29+1))*V31</f>
        <v>2.6183772293742491E-3</v>
      </c>
      <c r="AL29" s="28">
        <v>4</v>
      </c>
      <c r="AM29" s="176">
        <f>((($W$25)^Q29)*((1-($W$25))^($U$32-Q29))*HLOOKUP($U$32,$AV$24:$BF$34,Q29+1))*V32</f>
        <v>2.2936072352404712E-3</v>
      </c>
      <c r="AN29" s="28">
        <v>4</v>
      </c>
      <c r="AO29" s="176">
        <f>((($W$25)^Q29)*((1-($W$25))^($U$33-Q29))*HLOOKUP($U$33,$AV$24:$BF$34,Q29+1))*V33</f>
        <v>1.1375335454139551E-3</v>
      </c>
      <c r="AP29" s="28">
        <v>4</v>
      </c>
      <c r="AQ29" s="176">
        <f>((($W$25)^Q29)*((1-($W$25))^($U$34-Q29))*HLOOKUP($U$34,$AV$24:$BF$34,Q29+1))*V34</f>
        <v>3.0573322200787946E-4</v>
      </c>
      <c r="AR29" s="28">
        <v>4</v>
      </c>
      <c r="AS29" s="176">
        <f>((($W$25)^Q29)*((1-($W$25))^($U$35-Q29))*HLOOKUP($U$35,$AV$24:$BF$34,Q29+1))*V35</f>
        <v>3.6853108088854383E-5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4.7957768415325281E-5</v>
      </c>
      <c r="BQ29" s="31">
        <f>BQ23+1</f>
        <v>7</v>
      </c>
      <c r="BR29" s="31">
        <v>5</v>
      </c>
      <c r="BS29" s="107">
        <f t="shared" si="17"/>
        <v>6.061660564457776E-5</v>
      </c>
    </row>
    <row r="30" spans="1:71" x14ac:dyDescent="0.25">
      <c r="A30" s="26" t="s">
        <v>113</v>
      </c>
      <c r="B30" s="275">
        <f>IF(B17="TL",0.55,0.15)</f>
        <v>0.15</v>
      </c>
      <c r="C30" s="276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2.1192347059329576E-2</v>
      </c>
      <c r="I30" s="138">
        <v>5</v>
      </c>
      <c r="J30" s="86">
        <f t="shared" si="18"/>
        <v>1.023284384561969E-3</v>
      </c>
      <c r="K30" s="138">
        <v>5</v>
      </c>
      <c r="L30" s="86"/>
      <c r="M30" s="85">
        <v>5</v>
      </c>
      <c r="N30" s="173">
        <f>(($B$24)^M30)*((1-($B$24))^($B$21-M30))*HLOOKUP($B$21,$AV$24:$BF$34,M30+1)</f>
        <v>1.8360287620582453E-2</v>
      </c>
      <c r="O30" s="72">
        <v>5</v>
      </c>
      <c r="P30" s="173">
        <f t="shared" si="19"/>
        <v>1.8360287620582453E-2</v>
      </c>
      <c r="Q30" s="28">
        <v>5</v>
      </c>
      <c r="R30" s="174">
        <f>P25*N30+P26*N29+P27*N28+P28*N27+P29*N26+P30*N25</f>
        <v>0.23381803204419865</v>
      </c>
      <c r="S30" s="72">
        <v>5</v>
      </c>
      <c r="T30" s="175">
        <f t="shared" si="20"/>
        <v>0</v>
      </c>
      <c r="U30" s="138">
        <v>5</v>
      </c>
      <c r="V30" s="86">
        <f>T30*R25+T29*R26+T28*R27+T27*R28+T26*R29+T25*R30</f>
        <v>0.23388379060419062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8.1766634762367319E-5</v>
      </c>
      <c r="AJ30" s="28">
        <v>5</v>
      </c>
      <c r="AK30" s="176">
        <f>((($W$25)^M30)*((1-($W$25))^($U$31-M30))*HLOOKUP($U$31,$AV$24:$BF$34,M30+1))*V31</f>
        <v>2.6770726671707703E-4</v>
      </c>
      <c r="AL30" s="28">
        <v>5</v>
      </c>
      <c r="AM30" s="176">
        <f>((($W$25)^Q30)*((1-($W$25))^($U$32-Q30))*HLOOKUP($U$32,$AV$24:$BF$34,Q30+1))*V32</f>
        <v>3.5175335909227171E-4</v>
      </c>
      <c r="AN30" s="28">
        <v>5</v>
      </c>
      <c r="AO30" s="176">
        <f>((($W$25)^Q30)*((1-($W$25))^($U$33-Q30))*HLOOKUP($U$33,$AV$24:$BF$34,Q30+1))*V33</f>
        <v>2.3260666402490286E-4</v>
      </c>
      <c r="AP30" s="28">
        <v>5</v>
      </c>
      <c r="AQ30" s="176">
        <f>((($W$25)^Q30)*((1-($W$25))^($U$34-Q30))*HLOOKUP($U$34,$AV$24:$BF$34,Q30+1))*V34</f>
        <v>7.8146689760870389E-5</v>
      </c>
      <c r="AR30" s="28">
        <v>5</v>
      </c>
      <c r="AS30" s="176">
        <f>((($W$25)^Q30)*((1-($W$25))^($U$35-Q30))*HLOOKUP($U$35,$AV$24:$BF$34,Q30+1))*V35</f>
        <v>1.1303770204479657E-5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4.9179459829041603E-6</v>
      </c>
      <c r="BQ30" s="31">
        <f>BM10+1</f>
        <v>7</v>
      </c>
      <c r="BR30" s="31">
        <v>6</v>
      </c>
      <c r="BS30" s="107">
        <f t="shared" si="17"/>
        <v>2.0832326380636411E-5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0.20357066719330222</v>
      </c>
      <c r="C31" s="61">
        <f>(C25*E25)+(C26*E26)+(C27*E27)+(C28*E28)+(C29*E29)+(C30*E30)/(C25+C26+C27+C28+C29+C30)</f>
        <v>0.44351953632758534</v>
      </c>
      <c r="G31" s="87">
        <v>6</v>
      </c>
      <c r="H31" s="126">
        <f>J31*L25+J30*L26+J29*L27+J28*L28</f>
        <v>4.8161176029182916E-3</v>
      </c>
      <c r="I31" s="138">
        <v>6</v>
      </c>
      <c r="J31" s="86">
        <f t="shared" si="18"/>
        <v>8.6826166590552996E-5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0.15913036354284005</v>
      </c>
      <c r="S31" s="72">
        <v>6</v>
      </c>
      <c r="T31" s="175">
        <f t="shared" si="20"/>
        <v>0</v>
      </c>
      <c r="U31" s="138">
        <v>6</v>
      </c>
      <c r="V31" s="86">
        <f>T31*R25+T30*R26+T29*R27+T28*R28+T27*R29+T26*R30+T25*R31</f>
        <v>0.16024543359581161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1.1404516101476012E-5</v>
      </c>
      <c r="AL31" s="28">
        <v>6</v>
      </c>
      <c r="AM31" s="176">
        <f>((($W$25)^Q31)*((1-($W$25))^($U$32-Q31))*HLOOKUP($U$32,$AV$24:$BF$34,Q31+1))*V32</f>
        <v>2.9969876400521237E-5</v>
      </c>
      <c r="AN31" s="28">
        <v>6</v>
      </c>
      <c r="AO31" s="176">
        <f>((($W$25)^Q31)*((1-($W$25))^($U$33-Q31))*HLOOKUP($U$33,$AV$24:$BF$34,Q31+1))*V33</f>
        <v>2.9727617905712293E-5</v>
      </c>
      <c r="AP31" s="28">
        <v>6</v>
      </c>
      <c r="AQ31" s="176">
        <f>((($W$25)^Q31)*((1-($W$25))^($U$34-Q31))*HLOOKUP($U$34,$AV$24:$BF$34,Q31+1))*V34</f>
        <v>1.3316413746762824E-5</v>
      </c>
      <c r="AR31" s="28">
        <v>6</v>
      </c>
      <c r="AS31" s="176">
        <f>((($W$25)^Q31)*((1-($W$25))^($U$35-Q31))*HLOOKUP($U$35,$AV$24:$BF$34,Q31+1))*V35</f>
        <v>2.407742436080641E-6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2.4905324034555143E-2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4.106527600223076E-6</v>
      </c>
    </row>
    <row r="32" spans="1:71" x14ac:dyDescent="0.25">
      <c r="A32" s="26" t="s">
        <v>115</v>
      </c>
      <c r="B32" s="277">
        <f>IF(B17&lt;&gt;"TL",0.001,IF(B18&lt;5,0.1,IF(B18&lt;10,0.2,IF(B18&lt;14,0.3,0.35))))</f>
        <v>1E-3</v>
      </c>
      <c r="C32" s="278">
        <f>IF(C17&lt;&gt;"TL",0.001,IF(C18&lt;5,0.1,IF(C18&lt;10,0.2,IF(C18&lt;14,0.3,0.35))))</f>
        <v>1E-3</v>
      </c>
      <c r="G32" s="87">
        <v>7</v>
      </c>
      <c r="H32" s="126">
        <f>J32*L25+J31*L26+J30*L27+J29*L28</f>
        <v>7.7728006827827202E-4</v>
      </c>
      <c r="I32" s="138">
        <v>7</v>
      </c>
      <c r="J32" s="86">
        <f t="shared" si="18"/>
        <v>5.0757631093306974E-6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7.426279769997178E-2</v>
      </c>
      <c r="S32" s="72">
        <v>7</v>
      </c>
      <c r="T32" s="175">
        <f t="shared" si="20"/>
        <v>0</v>
      </c>
      <c r="U32" s="138">
        <v>7</v>
      </c>
      <c r="V32" s="86">
        <f>T32*R25+T31*R26+T30*R27+T29*R28+T28*R29+T27*R30+T26*R31+T25*R32</f>
        <v>7.5535040227529687E-2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1.0943465295200606E-6</v>
      </c>
      <c r="AN32" s="28">
        <v>7</v>
      </c>
      <c r="AO32" s="176">
        <f>((($W$25)^Q32)*((1-($W$25))^($U$33-Q32))*HLOOKUP($U$33,$AV$24:$BF$34,Q32+1))*V33</f>
        <v>2.1710009778651511E-6</v>
      </c>
      <c r="AP32" s="28">
        <v>7</v>
      </c>
      <c r="AQ32" s="176">
        <f>((($W$25)^Q32)*((1-($W$25))^($U$34-Q32))*HLOOKUP($U$34,$AV$24:$BF$34,Q32+1))*V34</f>
        <v>1.4587418688022693E-6</v>
      </c>
      <c r="AR32" s="28">
        <v>7</v>
      </c>
      <c r="AS32" s="176">
        <f>((($W$25)^Q32)*((1-($W$25))^($U$35-Q32))*HLOOKUP($U$35,$AV$24:$BF$34,Q32+1))*V35</f>
        <v>3.5167373314321703E-7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1.166904078820083E-2</v>
      </c>
      <c r="BQ32" s="31">
        <f t="shared" si="24"/>
        <v>8</v>
      </c>
      <c r="BR32" s="31">
        <v>1</v>
      </c>
      <c r="BS32" s="107">
        <f t="shared" si="25"/>
        <v>1.4453377202025134E-5</v>
      </c>
    </row>
    <row r="33" spans="1:71" x14ac:dyDescent="0.25">
      <c r="A33" s="26" t="s">
        <v>116</v>
      </c>
      <c r="B33" s="277">
        <f>IF(B17&lt;&gt;"CA",0.005,IF((B18-B16)&lt;0,0.1,0.1+0.048*(B18-B16)))</f>
        <v>5.0000000000000001E-3</v>
      </c>
      <c r="C33" s="278">
        <f>IF(C17&lt;&gt;"CA",0.005,IF((C18-C16)&lt;0,0.1,0.1+0.048*(C18-C16)))</f>
        <v>5.0000000000000001E-3</v>
      </c>
      <c r="G33" s="87">
        <v>8</v>
      </c>
      <c r="H33" s="126">
        <f>J33*L25+J32*L26+J31*L27+J30*L28</f>
        <v>8.9512410352326818E-5</v>
      </c>
      <c r="I33" s="138">
        <v>8</v>
      </c>
      <c r="J33" s="86">
        <f t="shared" si="18"/>
        <v>1.9628822459280277E-7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2.2743582484100147E-2</v>
      </c>
      <c r="S33" s="72">
        <v>8</v>
      </c>
      <c r="T33" s="175">
        <f t="shared" si="20"/>
        <v>0</v>
      </c>
      <c r="U33" s="138">
        <v>8</v>
      </c>
      <c r="V33" s="86">
        <f>T33*R25+T32*R26+T31*R27+T30*R28+T29*R29+T28*R30+T27*R31+T26*R32+T25*R33</f>
        <v>2.3518866397604251E-2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6.9364615813407479E-8</v>
      </c>
      <c r="AP33" s="28">
        <v>8</v>
      </c>
      <c r="AQ33" s="176">
        <f>((($W$25)^Q33)*((1-($W$25))^($U$34-Q33))*HLOOKUP($U$34,$AV$24:$BF$34,Q33+1))*V34</f>
        <v>9.3215130100863968E-8</v>
      </c>
      <c r="AR33" s="28">
        <v>8</v>
      </c>
      <c r="AS33" s="176">
        <f>((($W$25)^Q33)*((1-($W$25))^($U$35-Q33))*HLOOKUP($U$35,$AV$24:$BF$34,Q33+1))*V35</f>
        <v>3.3708478678531333E-8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4.0103411212782658E-3</v>
      </c>
      <c r="BQ33" s="31">
        <f t="shared" si="24"/>
        <v>8</v>
      </c>
      <c r="BR33" s="31">
        <v>2</v>
      </c>
      <c r="BS33" s="107">
        <f t="shared" si="25"/>
        <v>2.3263941032787532E-5</v>
      </c>
    </row>
    <row r="34" spans="1:71" x14ac:dyDescent="0.25">
      <c r="A34" s="40" t="s">
        <v>117</v>
      </c>
      <c r="B34" s="56">
        <f>B23*2</f>
        <v>4.4954782008818555</v>
      </c>
      <c r="C34" s="57">
        <f>C23*2</f>
        <v>5.5045217991181445</v>
      </c>
      <c r="G34" s="87">
        <v>9</v>
      </c>
      <c r="H34" s="126">
        <f>J34*L25+J33*L26+J32*L27+J31*L28</f>
        <v>7.3264686074782427E-6</v>
      </c>
      <c r="I34" s="138">
        <v>9</v>
      </c>
      <c r="J34" s="86">
        <f t="shared" si="18"/>
        <v>4.5620259031261932E-9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4.1276480601259921E-3</v>
      </c>
      <c r="S34" s="72">
        <v>9</v>
      </c>
      <c r="T34" s="175">
        <f t="shared" si="20"/>
        <v>0</v>
      </c>
      <c r="U34" s="138">
        <v>9</v>
      </c>
      <c r="V34" s="86">
        <f>T34*R25+T33*R26+T32*R27+T31*R28+T30*R29+T29*R30+T28*R31+T27*R32+T26*R33+T25*R34</f>
        <v>4.4093548781787258E-3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2.6473529966097375E-9</v>
      </c>
      <c r="AR34" s="28">
        <v>9</v>
      </c>
      <c r="AS34" s="176">
        <f>((($W$25)^Q34)*((1-($W$25))^($U$35-Q34))*HLOOKUP($U$35,$AV$24:$BF$34,Q34+1))*V35</f>
        <v>1.9146729065164553E-9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1.0250304017312966E-3</v>
      </c>
      <c r="BQ34" s="31">
        <f t="shared" si="24"/>
        <v>8</v>
      </c>
      <c r="BR34" s="31">
        <v>3</v>
      </c>
      <c r="BS34" s="107">
        <f t="shared" si="25"/>
        <v>2.2661475840193574E-5</v>
      </c>
    </row>
    <row r="35" spans="1:71" ht="15.75" thickBot="1" x14ac:dyDescent="0.3">
      <c r="G35" s="88">
        <v>10</v>
      </c>
      <c r="H35" s="127">
        <f>J35*L25+J34*L26+J33*L27+J32*L28</f>
        <v>4.1798799320934634E-7</v>
      </c>
      <c r="I35" s="94">
        <v>10</v>
      </c>
      <c r="J35" s="89">
        <f t="shared" si="18"/>
        <v>4.8939839980893277E-11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3.3710016151051325E-4</v>
      </c>
      <c r="S35" s="72">
        <v>10</v>
      </c>
      <c r="T35" s="175">
        <f t="shared" si="20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4.0041519040379114E-4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4.8939839980893277E-11</v>
      </c>
      <c r="BI35" s="31">
        <f t="shared" si="22"/>
        <v>3</v>
      </c>
      <c r="BJ35" s="31">
        <v>8</v>
      </c>
      <c r="BK35" s="107">
        <f t="shared" si="23"/>
        <v>1.9543129832876773E-4</v>
      </c>
      <c r="BQ35" s="31">
        <f t="shared" si="24"/>
        <v>8</v>
      </c>
      <c r="BR35" s="31">
        <v>4</v>
      </c>
      <c r="BS35" s="107">
        <f t="shared" si="25"/>
        <v>1.4898905744018878E-5</v>
      </c>
    </row>
    <row r="36" spans="1:71" ht="15.75" x14ac:dyDescent="0.25">
      <c r="A36" s="283" t="s">
        <v>118</v>
      </c>
      <c r="B36" s="182">
        <f>SUM(BO4:BO14)</f>
        <v>0.17862601742680922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0.99999999999999978</v>
      </c>
      <c r="BI36" s="31">
        <f t="shared" si="22"/>
        <v>3</v>
      </c>
      <c r="BJ36" s="31">
        <v>9</v>
      </c>
      <c r="BK36" s="107">
        <f t="shared" si="23"/>
        <v>2.7598293494537591E-5</v>
      </c>
      <c r="BQ36" s="31">
        <f t="shared" si="24"/>
        <v>8</v>
      </c>
      <c r="BR36" s="31">
        <v>5</v>
      </c>
      <c r="BS36" s="107">
        <f t="shared" si="25"/>
        <v>6.9806736336896376E-6</v>
      </c>
    </row>
    <row r="37" spans="1:71" ht="16.5" thickBot="1" x14ac:dyDescent="0.3">
      <c r="A37" s="110" t="s">
        <v>119</v>
      </c>
      <c r="B37" s="182">
        <f>SUM(BK4:BK59)</f>
        <v>0.61093980641546286</v>
      </c>
      <c r="G37" s="157"/>
      <c r="H37" s="229">
        <f>SUM(H39:H49)</f>
        <v>0.99999858678636333</v>
      </c>
      <c r="I37" s="230"/>
      <c r="J37" s="229">
        <f>SUM(J39:J49)</f>
        <v>1</v>
      </c>
      <c r="K37" s="229"/>
      <c r="L37" s="229">
        <f>SUM(L39:L49)</f>
        <v>1</v>
      </c>
      <c r="M37" s="230"/>
      <c r="N37" s="231">
        <f>SUM(N39:N49)</f>
        <v>1.0000000000000002</v>
      </c>
      <c r="O37" s="230"/>
      <c r="P37" s="231">
        <f>SUM(P39:P49)</f>
        <v>1.0000000000000002</v>
      </c>
      <c r="Q37" s="230"/>
      <c r="R37" s="229">
        <f>SUM(R39:R49)</f>
        <v>1.0000000000000002</v>
      </c>
      <c r="S37" s="230"/>
      <c r="T37" s="229">
        <f>SUM(T39:T49)</f>
        <v>1</v>
      </c>
      <c r="U37" s="230"/>
      <c r="V37" s="171">
        <f>SUM(V39:V48)</f>
        <v>0.99712910241941</v>
      </c>
      <c r="W37" s="157"/>
      <c r="X37" s="157"/>
      <c r="Y37" s="168">
        <f>SUM(Y39:Y49)</f>
        <v>3.3206889946244846E-4</v>
      </c>
      <c r="Z37" s="81"/>
      <c r="AA37" s="168">
        <f>SUM(AA39:AA49)</f>
        <v>4.0710484606835927E-3</v>
      </c>
      <c r="AB37" s="81"/>
      <c r="AC37" s="168">
        <f>SUM(AC39:AC49)</f>
        <v>2.2465453950237583E-2</v>
      </c>
      <c r="AD37" s="81"/>
      <c r="AE37" s="168">
        <f>SUM(AE39:AE49)</f>
        <v>7.3492474958056289E-2</v>
      </c>
      <c r="AF37" s="81"/>
      <c r="AG37" s="168">
        <f>SUM(AG39:AG49)</f>
        <v>0.15785985112586026</v>
      </c>
      <c r="AH37" s="81"/>
      <c r="AI37" s="168">
        <f>SUM(AI39:AI49)</f>
        <v>0.23269695896540857</v>
      </c>
      <c r="AJ37" s="81"/>
      <c r="AK37" s="168">
        <f>SUM(AK39:AK49)</f>
        <v>0.23850680801785754</v>
      </c>
      <c r="AL37" s="81"/>
      <c r="AM37" s="168">
        <f>SUM(AM39:AM49)</f>
        <v>0.16800350713678178</v>
      </c>
      <c r="AN37" s="81"/>
      <c r="AO37" s="168">
        <f>SUM(AO39:AO49)</f>
        <v>7.8004412515216989E-2</v>
      </c>
      <c r="AP37" s="81"/>
      <c r="AQ37" s="168">
        <f>SUM(AQ39:AQ49)</f>
        <v>2.1696518389844818E-2</v>
      </c>
      <c r="AR37" s="81"/>
      <c r="AS37" s="168">
        <f>SUM(AS39:AS49)</f>
        <v>2.8708975805900034E-3</v>
      </c>
      <c r="BI37" s="31">
        <f t="shared" si="22"/>
        <v>3</v>
      </c>
      <c r="BJ37" s="31">
        <v>10</v>
      </c>
      <c r="BK37" s="107">
        <f t="shared" si="23"/>
        <v>2.8301341182317932E-6</v>
      </c>
      <c r="BQ37" s="31">
        <f t="shared" si="24"/>
        <v>8</v>
      </c>
      <c r="BR37" s="31">
        <v>6</v>
      </c>
      <c r="BS37" s="107">
        <f t="shared" si="25"/>
        <v>2.3990731573854465E-6</v>
      </c>
    </row>
    <row r="38" spans="1:71" ht="16.5" thickBot="1" x14ac:dyDescent="0.3">
      <c r="A38" s="111" t="s">
        <v>120</v>
      </c>
      <c r="B38" s="182">
        <f>SUM(BS4:BS47)</f>
        <v>0.21043232870871786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5.1539251559026781E-3</v>
      </c>
      <c r="BQ38" s="31">
        <f>BM11+1</f>
        <v>8</v>
      </c>
      <c r="BR38" s="31">
        <v>7</v>
      </c>
      <c r="BS38" s="107">
        <f t="shared" si="25"/>
        <v>6.1319544844946958E-7</v>
      </c>
    </row>
    <row r="39" spans="1:71" x14ac:dyDescent="0.25">
      <c r="G39" s="128">
        <v>0</v>
      </c>
      <c r="H39" s="129">
        <f>L39*J39</f>
        <v>4.5876628548594652E-2</v>
      </c>
      <c r="I39" s="97">
        <v>0</v>
      </c>
      <c r="J39" s="98">
        <f t="shared" ref="J39:J49" si="29">Y39+AA39+AC39+AE39+AG39+AI39+AK39+AM39+AO39+AQ39+AS39</f>
        <v>6.0470393829425935E-2</v>
      </c>
      <c r="K39" s="102">
        <v>0</v>
      </c>
      <c r="L39" s="98">
        <f>AH18</f>
        <v>0.75866263874521511</v>
      </c>
      <c r="M39" s="85">
        <v>0</v>
      </c>
      <c r="N39" s="173">
        <f>(1-$C$24)^$B$21</f>
        <v>1.8360287620582446E-2</v>
      </c>
      <c r="O39" s="72">
        <v>0</v>
      </c>
      <c r="P39" s="173">
        <f t="shared" ref="P39:P44" si="30">N39</f>
        <v>1.8360287620582446E-2</v>
      </c>
      <c r="Q39" s="28">
        <v>0</v>
      </c>
      <c r="R39" s="174">
        <f>P39*N39</f>
        <v>3.3710016151051303E-4</v>
      </c>
      <c r="S39" s="72">
        <v>0</v>
      </c>
      <c r="T39" s="175">
        <f>(1-$C$33)^(INT(B23*2*(1-B31)))</f>
        <v>0.98507487500000002</v>
      </c>
      <c r="U39" s="138">
        <v>0</v>
      </c>
      <c r="V39" s="86">
        <f>R39*T39</f>
        <v>3.3206889946244846E-4</v>
      </c>
      <c r="W39" s="134">
        <f>C31</f>
        <v>0.44351953632758534</v>
      </c>
      <c r="X39" s="28">
        <v>0</v>
      </c>
      <c r="Y39" s="176">
        <f>V39</f>
        <v>3.3206889946244846E-4</v>
      </c>
      <c r="Z39" s="28">
        <v>0</v>
      </c>
      <c r="AA39" s="176">
        <f>((1-W39)^Z40)*V40</f>
        <v>2.2654589350340755E-3</v>
      </c>
      <c r="AB39" s="28">
        <v>0</v>
      </c>
      <c r="AC39" s="176">
        <f>(((1-$W$39)^AB41))*V41</f>
        <v>6.9568885023782341E-3</v>
      </c>
      <c r="AD39" s="28">
        <v>0</v>
      </c>
      <c r="AE39" s="176">
        <f>(((1-$W$39)^AB42))*V42</f>
        <v>1.2664633888291634E-2</v>
      </c>
      <c r="AF39" s="28">
        <v>0</v>
      </c>
      <c r="AG39" s="176">
        <f>(((1-$W$39)^AB43))*V43</f>
        <v>1.5138100273611378E-2</v>
      </c>
      <c r="AH39" s="28">
        <v>0</v>
      </c>
      <c r="AI39" s="176">
        <f>(((1-$W$39)^AB44))*V44</f>
        <v>1.2417675842767832E-2</v>
      </c>
      <c r="AJ39" s="28">
        <v>0</v>
      </c>
      <c r="AK39" s="176">
        <f>(((1-$W$39)^AB45))*V45</f>
        <v>7.0827239152930852E-3</v>
      </c>
      <c r="AL39" s="28">
        <v>0</v>
      </c>
      <c r="AM39" s="176">
        <f>(((1-$W$39)^AB46))*V46</f>
        <v>2.7763090143299086E-3</v>
      </c>
      <c r="AN39" s="28">
        <v>0</v>
      </c>
      <c r="AO39" s="176">
        <f>(((1-$W$39)^AB47))*V47</f>
        <v>7.1732926278263718E-4</v>
      </c>
      <c r="AP39" s="28">
        <v>0</v>
      </c>
      <c r="AQ39" s="176">
        <f>(((1-$W$39)^AB48))*V48</f>
        <v>1.110297465622578E-4</v>
      </c>
      <c r="AR39" s="28">
        <v>0</v>
      </c>
      <c r="AS39" s="176">
        <f>(((1-$W$39)^AB49))*V49</f>
        <v>8.1755489124419406E-6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1.7712679528557736E-3</v>
      </c>
      <c r="BQ39" s="31">
        <f t="shared" ref="BQ39:BQ46" si="31">BQ31+1</f>
        <v>9</v>
      </c>
      <c r="BR39" s="31">
        <v>0</v>
      </c>
      <c r="BS39" s="107">
        <f t="shared" ref="BS39:BS47" si="32">$H$34*H39</f>
        <v>3.3611367887821886E-7</v>
      </c>
    </row>
    <row r="40" spans="1:71" x14ac:dyDescent="0.25">
      <c r="G40" s="91">
        <v>1</v>
      </c>
      <c r="H40" s="130">
        <f>L39*J40+L40*J39</f>
        <v>0.16146785842472208</v>
      </c>
      <c r="I40" s="138">
        <v>1</v>
      </c>
      <c r="J40" s="86">
        <f t="shared" si="29"/>
        <v>0.19571660609026811</v>
      </c>
      <c r="K40" s="95">
        <v>1</v>
      </c>
      <c r="L40" s="86">
        <f>AI18</f>
        <v>0.2147328763667275</v>
      </c>
      <c r="M40" s="85">
        <v>1</v>
      </c>
      <c r="N40" s="173">
        <f>(($C$24)^M26)*((1-($C$24))^($B$21-M26))*HLOOKUP($B$21,$AV$24:$BF$34,M26+1)</f>
        <v>0.11240695531094974</v>
      </c>
      <c r="O40" s="72">
        <v>1</v>
      </c>
      <c r="P40" s="173">
        <f t="shared" si="30"/>
        <v>0.11240695531094974</v>
      </c>
      <c r="Q40" s="28">
        <v>1</v>
      </c>
      <c r="R40" s="174">
        <f>P40*N39+P39*N40</f>
        <v>4.1276480601259895E-3</v>
      </c>
      <c r="S40" s="72">
        <v>1</v>
      </c>
      <c r="T40" s="175">
        <f t="shared" ref="T40:T49" si="33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4.0710484606835927E-3</v>
      </c>
      <c r="W40" s="177"/>
      <c r="X40" s="28">
        <v>1</v>
      </c>
      <c r="Y40" s="174"/>
      <c r="Z40" s="28">
        <v>1</v>
      </c>
      <c r="AA40" s="176">
        <f>(1-((1-W39)^Z40))*V40</f>
        <v>1.805589525649517E-3</v>
      </c>
      <c r="AB40" s="28">
        <v>1</v>
      </c>
      <c r="AC40" s="176">
        <f>((($W$39)^M40)*((1-($W$39))^($U$27-M40))*HLOOKUP($U$27,$AV$24:$BF$34,M40+1))*V41</f>
        <v>1.1089395456922512E-2</v>
      </c>
      <c r="AD40" s="28">
        <v>1</v>
      </c>
      <c r="AE40" s="176">
        <f>((($W$39)^M40)*((1-($W$39))^($U$28-M40))*HLOOKUP($U$28,$AV$24:$BF$34,M40+1))*V42</f>
        <v>3.0281454156494785E-2</v>
      </c>
      <c r="AF40" s="28">
        <v>1</v>
      </c>
      <c r="AG40" s="176">
        <f>((($W$39)^M40)*((1-($W$39))^($U$29-M40))*HLOOKUP($U$29,$AV$24:$BF$34,M40+1))*V43</f>
        <v>4.826076495066315E-2</v>
      </c>
      <c r="AH40" s="28">
        <v>1</v>
      </c>
      <c r="AI40" s="176">
        <f>((($W$39)^M40)*((1-($W$39))^($U$30-M40))*HLOOKUP($U$30,$AV$24:$BF$34,M40+1))*V44</f>
        <v>4.9484952227296472E-2</v>
      </c>
      <c r="AJ40" s="28">
        <v>1</v>
      </c>
      <c r="AK40" s="176">
        <f>((($W$39)^M40)*((1-($W$39))^($U$31-M40))*HLOOKUP($U$31,$AV$24:$BF$34,M40+1))*V45</f>
        <v>3.3869937565639011E-2</v>
      </c>
      <c r="AL40" s="28">
        <v>1</v>
      </c>
      <c r="AM40" s="176">
        <f>((($W$39)^Q40)*((1-($W$39))^($U$32-Q40))*HLOOKUP($U$32,$AV$24:$BF$34,Q40+1))*V46</f>
        <v>1.54891888751694E-2</v>
      </c>
      <c r="AN40" s="28">
        <v>1</v>
      </c>
      <c r="AO40" s="176">
        <f>((($W$39)^Q40)*((1-($W$39))^($U$33-Q40))*HLOOKUP($U$33,$AV$24:$BF$34,Q40+1))*V47</f>
        <v>4.5737388863426494E-3</v>
      </c>
      <c r="AP40" s="28">
        <v>1</v>
      </c>
      <c r="AQ40" s="176">
        <f>((($W$39)^Q40)*((1-($W$39))^($U$34-Q40))*HLOOKUP($U$34,$AV$24:$BF$34,Q40+1))*V48</f>
        <v>7.9642464445194624E-4</v>
      </c>
      <c r="AR40" s="28">
        <v>1</v>
      </c>
      <c r="AS40" s="176">
        <f>((($W$39)^Q40)*((1-($W$39))^($U$35-Q40))*HLOOKUP($U$35,$AV$24:$BF$34,Q40+1))*V49</f>
        <v>6.5159801638684E-5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4.527304402251984E-4</v>
      </c>
      <c r="BQ40" s="31">
        <f t="shared" si="31"/>
        <v>9</v>
      </c>
      <c r="BR40" s="31">
        <v>1</v>
      </c>
      <c r="BS40" s="107">
        <f t="shared" si="32"/>
        <v>1.1829891958654676E-6</v>
      </c>
    </row>
    <row r="41" spans="1:71" x14ac:dyDescent="0.25">
      <c r="G41" s="91">
        <v>2</v>
      </c>
      <c r="H41" s="130">
        <f>L39*J41+J40*L40+J39*L41</f>
        <v>0.25989626400651161</v>
      </c>
      <c r="I41" s="138">
        <v>2</v>
      </c>
      <c r="J41" s="86">
        <f t="shared" si="29"/>
        <v>0.28518280677706875</v>
      </c>
      <c r="K41" s="95">
        <v>2</v>
      </c>
      <c r="L41" s="86">
        <f>AJ18</f>
        <v>2.5002871951216421E-2</v>
      </c>
      <c r="M41" s="85">
        <v>2</v>
      </c>
      <c r="N41" s="173">
        <f>(($C$24)^M27)*((1-($C$24))^($B$21-M27))*HLOOKUP($B$21,$AV$24:$BF$34,M27+1)</f>
        <v>0.27527506896162712</v>
      </c>
      <c r="O41" s="72">
        <v>2</v>
      </c>
      <c r="P41" s="173">
        <f t="shared" si="30"/>
        <v>0.27527506896162712</v>
      </c>
      <c r="Q41" s="28">
        <v>2</v>
      </c>
      <c r="R41" s="174">
        <f>P41*N39+P40*N40+P39*N41</f>
        <v>2.2743582484100137E-2</v>
      </c>
      <c r="S41" s="72">
        <v>2</v>
      </c>
      <c r="T41" s="175">
        <f t="shared" si="33"/>
        <v>7.4625000000000011E-5</v>
      </c>
      <c r="U41" s="138">
        <v>2</v>
      </c>
      <c r="V41" s="86">
        <f>R41*T39+T40*R40+R39*T41</f>
        <v>2.2465453950237583E-2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4.4191699909368375E-3</v>
      </c>
      <c r="AD41" s="28">
        <v>2</v>
      </c>
      <c r="AE41" s="176">
        <f>((($W$39)^M41)*((1-($W$39))^($U$28-M41))*HLOOKUP($U$28,$AV$24:$BF$34,M41+1))*V42</f>
        <v>2.4134569645412982E-2</v>
      </c>
      <c r="AF41" s="28">
        <v>2</v>
      </c>
      <c r="AG41" s="176">
        <f>((($W$39)^M41)*((1-($W$39))^($U$29-M41))*HLOOKUP($U$29,$AV$24:$BF$34,M41+1))*V43</f>
        <v>5.769634378305781E-2</v>
      </c>
      <c r="AH41" s="28">
        <v>2</v>
      </c>
      <c r="AI41" s="176">
        <f>((($W$39)^M41)*((1-($W$39))^($U$30-M41))*HLOOKUP($U$30,$AV$24:$BF$34,M41+1))*V44</f>
        <v>7.8879833165044155E-2</v>
      </c>
      <c r="AJ41" s="28">
        <v>2</v>
      </c>
      <c r="AK41" s="176">
        <f>((($W$39)^M41)*((1-($W$39))^($U$31-M41))*HLOOKUP($U$31,$AV$24:$BF$34,M41+1))*V45</f>
        <v>6.748655157371132E-2</v>
      </c>
      <c r="AL41" s="28">
        <v>2</v>
      </c>
      <c r="AM41" s="176">
        <f>((($W$39)^Q41)*((1-($W$39))^($U$32-Q41))*HLOOKUP($U$32,$AV$24:$BF$34,Q41+1))*V46</f>
        <v>3.7035035278702451E-2</v>
      </c>
      <c r="AN41" s="28">
        <v>2</v>
      </c>
      <c r="AO41" s="176">
        <f>((($W$39)^Q41)*((1-($W$39))^($U$33-Q41))*HLOOKUP($U$33,$AV$24:$BF$34,Q41+1))*V47</f>
        <v>1.2758577145161033E-2</v>
      </c>
      <c r="AP41" s="28">
        <v>2</v>
      </c>
      <c r="AQ41" s="176">
        <f>((($W$39)^Q41)*((1-($W$39))^($U$34-Q41))*HLOOKUP($U$34,$AV$24:$BF$34,Q41+1))*V48</f>
        <v>2.5390281390731896E-3</v>
      </c>
      <c r="AR41" s="28">
        <v>2</v>
      </c>
      <c r="AS41" s="176">
        <f>((($W$39)^Q41)*((1-($W$39))^($U$35-Q41))*HLOOKUP($U$35,$AV$24:$BF$34,Q41+1))*V49</f>
        <v>2.3369805596894339E-4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8.6317144912701637E-5</v>
      </c>
      <c r="BQ41" s="31">
        <f t="shared" si="31"/>
        <v>9</v>
      </c>
      <c r="BR41" s="31">
        <v>2</v>
      </c>
      <c r="BS41" s="107">
        <f t="shared" si="32"/>
        <v>1.9041218194445849E-6</v>
      </c>
    </row>
    <row r="42" spans="1:71" ht="15" customHeight="1" x14ac:dyDescent="0.25">
      <c r="G42" s="91">
        <v>3</v>
      </c>
      <c r="H42" s="130">
        <f>J42*L39+J41*L40+L42*J39+L41*J40</f>
        <v>0.25316574261598468</v>
      </c>
      <c r="I42" s="138">
        <v>3</v>
      </c>
      <c r="J42" s="86">
        <f t="shared" si="29"/>
        <v>0.24640371263007887</v>
      </c>
      <c r="K42" s="95">
        <v>3</v>
      </c>
      <c r="L42" s="86">
        <f>AK18</f>
        <v>1.6016129368409682E-3</v>
      </c>
      <c r="M42" s="85">
        <v>3</v>
      </c>
      <c r="N42" s="173">
        <f>(($C$24)^M28)*((1-($C$24))^($B$21-M28))*HLOOKUP($B$21,$AV$24:$BF$34,M28+1)</f>
        <v>0.33706261050399194</v>
      </c>
      <c r="O42" s="72">
        <v>3</v>
      </c>
      <c r="P42" s="173">
        <f t="shared" si="30"/>
        <v>0.33706261050399194</v>
      </c>
      <c r="Q42" s="28">
        <v>3</v>
      </c>
      <c r="R42" s="174">
        <f>P42*N39+P41*N40+P40*N41+P39*N42</f>
        <v>7.4262797699971753E-2</v>
      </c>
      <c r="S42" s="72">
        <v>3</v>
      </c>
      <c r="T42" s="175">
        <f t="shared" si="33"/>
        <v>1.2500000000000002E-7</v>
      </c>
      <c r="U42" s="138">
        <v>3</v>
      </c>
      <c r="V42" s="86">
        <f>R42*T39+R41*T40+R40*T41+R39*T42</f>
        <v>7.3492474958056289E-2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6.4118172678568836E-3</v>
      </c>
      <c r="AF42" s="28">
        <v>3</v>
      </c>
      <c r="AG42" s="176">
        <f>((($W$39)^M42)*((1-($W$39))^($U$29-M42))*HLOOKUP($U$29,$AV$24:$BF$34,M42+1))*V43</f>
        <v>3.0656309086557729E-2</v>
      </c>
      <c r="AH42" s="28">
        <v>3</v>
      </c>
      <c r="AI42" s="176">
        <f>((($W$39)^M42)*((1-($W$39))^($U$30-M42))*HLOOKUP($U$30,$AV$24:$BF$34,M42+1))*V44</f>
        <v>6.2867880033165499E-2</v>
      </c>
      <c r="AJ42" s="28">
        <v>3</v>
      </c>
      <c r="AK42" s="176">
        <f>((($W$39)^M42)*((1-($W$39))^($U$31-M42))*HLOOKUP($U$31,$AV$24:$BF$34,M42+1))*V45</f>
        <v>7.1716453715291756E-2</v>
      </c>
      <c r="AL42" s="28">
        <v>3</v>
      </c>
      <c r="AM42" s="176">
        <f>((($W$39)^Q42)*((1-($W$39))^($U$32-Q42))*HLOOKUP($U$32,$AV$24:$BF$34,Q42+1))*V46</f>
        <v>4.9195382848022995E-2</v>
      </c>
      <c r="AN42" s="28">
        <v>3</v>
      </c>
      <c r="AO42" s="176">
        <f>((($W$39)^Q42)*((1-($W$39))^($U$33-Q42))*HLOOKUP($U$33,$AV$24:$BF$34,Q42+1))*V47</f>
        <v>2.0337383211183717E-2</v>
      </c>
      <c r="AP42" s="28">
        <v>3</v>
      </c>
      <c r="AQ42" s="176">
        <f>((($W$39)^Q42)*((1-($W$39))^($U$34-Q42))*HLOOKUP($U$34,$AV$24:$BF$34,Q42+1))*V48</f>
        <v>4.7217950406439916E-3</v>
      </c>
      <c r="AR42" s="28">
        <v>3</v>
      </c>
      <c r="AS42" s="176">
        <f>((($W$39)^Q42)*((1-($W$39))^($U$35-Q42))*HLOOKUP($U$35,$AV$24:$BF$34,Q42+1))*V49</f>
        <v>4.9669142735629353E-4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1.2189479982391379E-5</v>
      </c>
      <c r="BQ42" s="31">
        <f t="shared" si="31"/>
        <v>9</v>
      </c>
      <c r="BR42" s="31">
        <v>3</v>
      </c>
      <c r="BS42" s="107">
        <f t="shared" si="32"/>
        <v>1.8548108657649285E-6</v>
      </c>
    </row>
    <row r="43" spans="1:71" ht="15" customHeight="1" x14ac:dyDescent="0.25">
      <c r="G43" s="91">
        <v>4</v>
      </c>
      <c r="H43" s="130">
        <f>J43*L39+J42*L40+J41*L41+J40*L42</f>
        <v>0.16644514079529074</v>
      </c>
      <c r="I43" s="138">
        <v>4</v>
      </c>
      <c r="J43" s="86">
        <f t="shared" si="29"/>
        <v>0.13983858696594889</v>
      </c>
      <c r="K43" s="95">
        <v>4</v>
      </c>
      <c r="L43" s="86"/>
      <c r="M43" s="85">
        <v>4</v>
      </c>
      <c r="N43" s="173">
        <f>(($C$24)^M29)*((1-($C$24))^($B$21-M29))*HLOOKUP($B$21,$AV$24:$BF$34,M29+1)</f>
        <v>0.20635941320135129</v>
      </c>
      <c r="O43" s="72">
        <v>4</v>
      </c>
      <c r="P43" s="173">
        <f t="shared" si="30"/>
        <v>0.20635941320135129</v>
      </c>
      <c r="Q43" s="28">
        <v>4</v>
      </c>
      <c r="R43" s="174">
        <f>P43*N39+P42*N40+P41*N41+P40*N42+P39*N43</f>
        <v>0.15913036354283999</v>
      </c>
      <c r="S43" s="72">
        <v>4</v>
      </c>
      <c r="T43" s="175">
        <f t="shared" si="33"/>
        <v>0</v>
      </c>
      <c r="U43" s="138">
        <v>4</v>
      </c>
      <c r="V43" s="86">
        <f>T43*R39+T42*R40+T41*R41+T40*R42+T39*R43</f>
        <v>0.15785985112586026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6.1083330319702056E-3</v>
      </c>
      <c r="AH43" s="28">
        <v>4</v>
      </c>
      <c r="AI43" s="176">
        <f>((($W$39)^M43)*((1-($W$39))^($U$30-M43))*HLOOKUP($U$30,$AV$24:$BF$34,M43+1))*V44</f>
        <v>2.5053110416668536E-2</v>
      </c>
      <c r="AJ43" s="28">
        <v>4</v>
      </c>
      <c r="AK43" s="176">
        <f>((($W$39)^M43)*((1-($W$39))^($U$31-M43))*HLOOKUP($U$31,$AV$24:$BF$34,M43+1))*V45</f>
        <v>4.2868955482670702E-2</v>
      </c>
      <c r="AL43" s="28">
        <v>4</v>
      </c>
      <c r="AM43" s="176">
        <f>((($W$39)^Q43)*((1-($W$39))^($U$32-Q43))*HLOOKUP($U$32,$AV$24:$BF$34,Q43+1))*V46</f>
        <v>3.9209127390063311E-2</v>
      </c>
      <c r="AN43" s="28">
        <v>4</v>
      </c>
      <c r="AO43" s="176">
        <f>((($W$39)^Q43)*((1-($W$39))^($U$33-Q43))*HLOOKUP($U$33,$AV$24:$BF$34,Q43+1))*V47</f>
        <v>2.0261328475968007E-2</v>
      </c>
      <c r="AP43" s="28">
        <v>4</v>
      </c>
      <c r="AQ43" s="176">
        <f>((($W$39)^Q43)*((1-($W$39))^($U$34-Q43))*HLOOKUP($U$34,$AV$24:$BF$34,Q43+1))*V48</f>
        <v>5.6449646046149073E-3</v>
      </c>
      <c r="AR43" s="28">
        <v>4</v>
      </c>
      <c r="AS43" s="176">
        <f>((($W$39)^Q43)*((1-($W$39))^($U$35-Q43))*HLOOKUP($U$35,$AV$24:$BF$34,Q43+1))*V49</f>
        <v>6.9276756399323054E-4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1.2499998664228037E-6</v>
      </c>
      <c r="BQ43" s="31">
        <f t="shared" si="31"/>
        <v>9</v>
      </c>
      <c r="BR43" s="31">
        <v>4</v>
      </c>
      <c r="BS43" s="107">
        <f t="shared" si="32"/>
        <v>1.2194550989039939E-6</v>
      </c>
    </row>
    <row r="44" spans="1:71" ht="15" customHeight="1" thickBot="1" x14ac:dyDescent="0.3">
      <c r="G44" s="91">
        <v>5</v>
      </c>
      <c r="H44" s="130">
        <f>J44*L39+J43*L40+J42*L41+J41*L42</f>
        <v>7.7985539728102959E-2</v>
      </c>
      <c r="I44" s="138">
        <v>5</v>
      </c>
      <c r="J44" s="86">
        <f t="shared" si="29"/>
        <v>5.4490682238322825E-2</v>
      </c>
      <c r="K44" s="95">
        <v>5</v>
      </c>
      <c r="L44" s="86"/>
      <c r="M44" s="85">
        <v>5</v>
      </c>
      <c r="N44" s="173">
        <f>(($C$24)^M30)*((1-($C$24))^($B$21-M30))*HLOOKUP($B$21,$AV$24:$BF$34,M30+1)</f>
        <v>5.0535664401497545E-2</v>
      </c>
      <c r="O44" s="72">
        <v>5</v>
      </c>
      <c r="P44" s="173">
        <f t="shared" si="30"/>
        <v>5.0535664401497545E-2</v>
      </c>
      <c r="Q44" s="28">
        <v>5</v>
      </c>
      <c r="R44" s="174">
        <f>P44*N39+P43*N40+P42*N41+P41*N42+P40*N43+P39*N44</f>
        <v>0.23381803204419854</v>
      </c>
      <c r="S44" s="72">
        <v>5</v>
      </c>
      <c r="T44" s="175">
        <f t="shared" si="33"/>
        <v>0</v>
      </c>
      <c r="U44" s="138">
        <v>5</v>
      </c>
      <c r="V44" s="86">
        <f>T44*R39+T43*R40+T42*R41+T41*R42+T40*R43+T39*R44</f>
        <v>0.23269695896540857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3.9935072804660752E-3</v>
      </c>
      <c r="AJ44" s="28">
        <v>5</v>
      </c>
      <c r="AK44" s="176">
        <f>((($W$39)^M44)*((1-($W$39))^($U$31-M44))*HLOOKUP($U$31,$AV$24:$BF$34,M44+1))*V45</f>
        <v>1.3666764962814283E-2</v>
      </c>
      <c r="AL44" s="28">
        <v>5</v>
      </c>
      <c r="AM44" s="176">
        <f>((($W$39)^Q44)*((1-($W$39))^($U$32-Q44))*HLOOKUP($U$32,$AV$24:$BF$34,Q44+1))*V46</f>
        <v>1.8749999471773526E-2</v>
      </c>
      <c r="AN44" s="28">
        <v>5</v>
      </c>
      <c r="AO44" s="176">
        <f>((($W$39)^Q44)*((1-($W$39))^($U$33-Q44))*HLOOKUP($U$33,$AV$24:$BF$34,Q44+1))*V47</f>
        <v>1.2918757221755372E-2</v>
      </c>
      <c r="AP44" s="28">
        <v>5</v>
      </c>
      <c r="AQ44" s="176">
        <f>((($W$39)^Q44)*((1-($W$39))^($U$34-Q44))*HLOOKUP($U$34,$AV$24:$BF$34,Q44+1))*V48</f>
        <v>4.4990835212829119E-3</v>
      </c>
      <c r="AR44" s="28">
        <v>5</v>
      </c>
      <c r="AS44" s="176">
        <f>((($W$39)^Q44)*((1-($W$39))^($U$35-Q44))*HLOOKUP($U$35,$AV$24:$BF$34,Q44+1))*V49</f>
        <v>6.6256978023065017E-4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5.6798817920237566E-4</v>
      </c>
      <c r="BQ44" s="31">
        <f t="shared" si="31"/>
        <v>9</v>
      </c>
      <c r="BR44" s="31">
        <v>5</v>
      </c>
      <c r="BS44" s="107">
        <f t="shared" si="32"/>
        <v>5.7135860865519368E-7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2.6801570284416817E-2</v>
      </c>
      <c r="I45" s="138">
        <v>6</v>
      </c>
      <c r="J45" s="86">
        <f t="shared" si="29"/>
        <v>1.4775499836335478E-2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0.23858352713950814</v>
      </c>
      <c r="S45" s="72">
        <v>6</v>
      </c>
      <c r="T45" s="175">
        <f t="shared" si="33"/>
        <v>0</v>
      </c>
      <c r="U45" s="138">
        <v>6</v>
      </c>
      <c r="V45" s="86">
        <f>T45*R39+T44*R40+T43*R41+T42*R42+T41*R43+T40*R44+T39*R45</f>
        <v>0.23850680801785756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1.8154208024374033E-3</v>
      </c>
      <c r="AL45" s="28">
        <v>6</v>
      </c>
      <c r="AM45" s="176">
        <f>((($W$39)^Q45)*((1-($W$39))^($U$32-Q45))*HLOOKUP($U$32,$AV$24:$BF$34,Q45+1))*V46</f>
        <v>4.9813015998101404E-3</v>
      </c>
      <c r="AN45" s="28">
        <v>6</v>
      </c>
      <c r="AO45" s="176">
        <f>((($W$39)^Q45)*((1-($W$39))^($U$33-Q45))*HLOOKUP($U$33,$AV$24:$BF$34,Q45+1))*V47</f>
        <v>5.1481782263379889E-3</v>
      </c>
      <c r="AP45" s="28">
        <v>6</v>
      </c>
      <c r="AQ45" s="176">
        <f>((($W$39)^Q45)*((1-($W$39))^($U$34-Q45))*HLOOKUP($U$34,$AV$24:$BF$34,Q45+1))*V48</f>
        <v>2.3905378745193292E-3</v>
      </c>
      <c r="AR45" s="28">
        <v>6</v>
      </c>
      <c r="AS45" s="176">
        <f>((($W$39)^Q45)*((1-($W$39))^($U$35-Q45))*HLOOKUP($U$35,$AV$24:$BF$34,Q45+1))*V49</f>
        <v>4.400613332306146E-4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1.451759673054609E-4</v>
      </c>
      <c r="BQ45" s="31">
        <f t="shared" si="31"/>
        <v>9</v>
      </c>
      <c r="BR45" s="31">
        <v>6</v>
      </c>
      <c r="BS45" s="107">
        <f t="shared" si="32"/>
        <v>1.9636086331990153E-7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6.8503958952271689E-3</v>
      </c>
      <c r="I46" s="138">
        <v>7</v>
      </c>
      <c r="J46" s="86">
        <f t="shared" si="29"/>
        <v>2.7564550675384055E-3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0.16693450203772653</v>
      </c>
      <c r="S46" s="72">
        <v>7</v>
      </c>
      <c r="T46" s="175">
        <f t="shared" si="33"/>
        <v>0</v>
      </c>
      <c r="U46" s="138">
        <v>7</v>
      </c>
      <c r="V46" s="86">
        <f>T46*R39+T45*R40+T44*R41+T43*R42+T42*R43+T41*R44+T40*R45+T39*R46</f>
        <v>0.1680035071367818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5.6716265891006113E-4</v>
      </c>
      <c r="AN46" s="28">
        <v>7</v>
      </c>
      <c r="AO46" s="176">
        <f>((($W$39)^Q46)*((1-($W$39))^($U$33-Q46))*HLOOKUP($U$33,$AV$24:$BF$34,Q46+1))*V47</f>
        <v>1.1723259043395506E-3</v>
      </c>
      <c r="AP46" s="28">
        <v>7</v>
      </c>
      <c r="AQ46" s="176">
        <f>((($W$39)^Q46)*((1-($W$39))^($U$34-Q46))*HLOOKUP($U$34,$AV$24:$BF$34,Q46+1))*V48</f>
        <v>8.1654791823241441E-4</v>
      </c>
      <c r="AR46" s="28">
        <v>7</v>
      </c>
      <c r="AS46" s="176">
        <f>((($W$39)^Q46)*((1-($W$39))^($U$35-Q46))*HLOOKUP($U$35,$AV$24:$BF$34,Q46+1))*V49</f>
        <v>2.0041858605637908E-4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2.767910856958019E-5</v>
      </c>
      <c r="BQ46" s="31">
        <f t="shared" si="31"/>
        <v>9</v>
      </c>
      <c r="BR46" s="31">
        <v>7</v>
      </c>
      <c r="BS46" s="107">
        <f t="shared" si="32"/>
        <v>5.0189210475179668E-8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1.3060898111988462E-3</v>
      </c>
      <c r="I47" s="138">
        <v>8</v>
      </c>
      <c r="J47" s="86">
        <f t="shared" si="29"/>
        <v>3.3939377107490771E-4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7.6651573350250871E-2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7.8004412515217003E-2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1.1679418134604431E-4</v>
      </c>
      <c r="AP47" s="28">
        <v>8</v>
      </c>
      <c r="AQ47" s="176">
        <f>((($W$39)^Q47)*((1-($W$39))^($U$34-Q47))*HLOOKUP($U$34,$AV$24:$BF$34,Q47+1))*V48</f>
        <v>1.6269886264007577E-4</v>
      </c>
      <c r="AR47" s="28">
        <v>8</v>
      </c>
      <c r="AS47" s="176">
        <f>((($W$39)^Q47)*((1-($W$39))^($U$35-Q47))*HLOOKUP($U$35,$AV$24:$BF$34,Q47+1))*V49</f>
        <v>5.9900727088787628E-5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3.9087708494131117E-6</v>
      </c>
      <c r="BQ47" s="31">
        <f>BM12+1</f>
        <v>9</v>
      </c>
      <c r="BR47" s="31">
        <v>8</v>
      </c>
      <c r="BS47" s="107">
        <f t="shared" si="32"/>
        <v>9.5690260002955313E-9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1.8444256497263906E-4</v>
      </c>
      <c r="I48" s="138">
        <v>9</v>
      </c>
      <c r="J48" s="86">
        <f t="shared" si="29"/>
        <v>2.5017232351198755E-5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2.0857020103266902E-2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2.1696518389844821E-2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1.4408037823794147E-5</v>
      </c>
      <c r="AR48" s="28">
        <v>9</v>
      </c>
      <c r="AS48" s="176">
        <f>((($W$39)^Q48)*((1-($W$39))^($U$35-Q48))*HLOOKUP($U$35,$AV$24:$BF$34,Q48+1))*V49</f>
        <v>1.0609194527404607E-5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4.0083441186185791E-7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1.8914111341216322E-5</v>
      </c>
      <c r="I49" s="94">
        <v>10</v>
      </c>
      <c r="J49" s="89">
        <f t="shared" si="29"/>
        <v>8.4556158657414836E-7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2.5538533765007863E-3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2.8708975805900039E-3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8.4556158657414836E-7</v>
      </c>
      <c r="BI49" s="31">
        <f>BQ14+1</f>
        <v>6</v>
      </c>
      <c r="BJ49" s="31">
        <v>0</v>
      </c>
      <c r="BK49" s="107">
        <f>$H$31*H39</f>
        <v>2.2094723831543055E-4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91"/>
      <c r="J50" s="291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91"/>
      <c r="X50" s="157"/>
      <c r="Y50" s="157"/>
      <c r="BI50" s="31">
        <f>BI45+1</f>
        <v>6</v>
      </c>
      <c r="BJ50" s="31">
        <v>7</v>
      </c>
      <c r="BK50" s="107">
        <f>$H$31*H46</f>
        <v>3.2992312257962778E-5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6.2902821307069912E-6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8.8829708389212764E-7</v>
      </c>
    </row>
    <row r="53" spans="1:63" x14ac:dyDescent="0.25">
      <c r="BI53" s="31">
        <f>BI48+1</f>
        <v>6</v>
      </c>
      <c r="BJ53" s="31">
        <v>10</v>
      </c>
      <c r="BK53" s="107">
        <f>$H$31*H49</f>
        <v>9.1092584573988429E-8</v>
      </c>
    </row>
    <row r="54" spans="1:63" x14ac:dyDescent="0.25">
      <c r="BI54" s="31">
        <f>BI51+1</f>
        <v>7</v>
      </c>
      <c r="BJ54" s="31">
        <v>8</v>
      </c>
      <c r="BK54" s="107">
        <f>$H$32*H47</f>
        <v>1.0151975776261946E-6</v>
      </c>
    </row>
    <row r="55" spans="1:63" x14ac:dyDescent="0.25">
      <c r="BI55" s="31">
        <f>BI52+1</f>
        <v>7</v>
      </c>
      <c r="BJ55" s="31">
        <v>9</v>
      </c>
      <c r="BK55" s="107">
        <f>$H$32*H48</f>
        <v>1.4336352949535252E-7</v>
      </c>
    </row>
    <row r="56" spans="1:63" x14ac:dyDescent="0.25">
      <c r="BI56" s="31">
        <f>BI53+1</f>
        <v>7</v>
      </c>
      <c r="BJ56" s="31">
        <v>10</v>
      </c>
      <c r="BK56" s="107">
        <f>$H$32*H49</f>
        <v>1.4701561754723463E-8</v>
      </c>
    </row>
    <row r="57" spans="1:63" x14ac:dyDescent="0.25">
      <c r="BI57" s="31">
        <f>BI55+1</f>
        <v>8</v>
      </c>
      <c r="BJ57" s="31">
        <v>9</v>
      </c>
      <c r="BK57" s="107">
        <f>$H$33*H48</f>
        <v>1.6509898562266569E-8</v>
      </c>
    </row>
    <row r="58" spans="1:63" x14ac:dyDescent="0.25">
      <c r="BI58" s="31">
        <f>BI56+1</f>
        <v>8</v>
      </c>
      <c r="BJ58" s="31">
        <v>10</v>
      </c>
      <c r="BK58" s="107">
        <f>$H$33*H49</f>
        <v>1.6930476958245539E-9</v>
      </c>
    </row>
    <row r="59" spans="1:63" x14ac:dyDescent="0.25">
      <c r="BI59" s="31">
        <f>BI58+1</f>
        <v>9</v>
      </c>
      <c r="BJ59" s="31">
        <v>10</v>
      </c>
      <c r="BK59" s="107">
        <f>$H$34*H49</f>
        <v>1.3857364297976957E-10</v>
      </c>
    </row>
  </sheetData>
  <mergeCells count="1">
    <mergeCell ref="B3:C3"/>
  </mergeCells>
  <conditionalFormatting sqref="H49">
    <cfRule type="cellIs" dxfId="13" priority="1" operator="greaterThan">
      <formula>0.15</formula>
    </cfRule>
  </conditionalFormatting>
  <conditionalFormatting sqref="H39:H49">
    <cfRule type="cellIs" dxfId="12" priority="2" operator="greaterThan">
      <formula>0.15</formula>
    </cfRule>
  </conditionalFormatting>
  <conditionalFormatting sqref="H49">
    <cfRule type="cellIs" dxfId="11" priority="3" operator="greaterThan">
      <formula>0.15</formula>
    </cfRule>
  </conditionalFormatting>
  <conditionalFormatting sqref="H39:H49">
    <cfRule type="cellIs" dxfId="10" priority="4" operator="greaterThan">
      <formula>0.15</formula>
    </cfRule>
  </conditionalFormatting>
  <conditionalFormatting sqref="H35">
    <cfRule type="cellIs" dxfId="9" priority="5" operator="greaterThan">
      <formula>0.15</formula>
    </cfRule>
  </conditionalFormatting>
  <conditionalFormatting sqref="H25:H35">
    <cfRule type="cellIs" dxfId="8" priority="6" operator="greaterThan">
      <formula>0.15</formula>
    </cfRule>
  </conditionalFormatting>
  <conditionalFormatting sqref="H35">
    <cfRule type="cellIs" dxfId="7" priority="7" operator="greaterThan">
      <formula>0.15</formula>
    </cfRule>
  </conditionalFormatting>
  <conditionalFormatting sqref="H25:H35">
    <cfRule type="cellIs" dxfId="6" priority="8" operator="greaterThan">
      <formula>0.15</formula>
    </cfRule>
  </conditionalFormatting>
  <conditionalFormatting sqref="V49">
    <cfRule type="cellIs" dxfId="5" priority="9" operator="greaterThan">
      <formula>0.15</formula>
    </cfRule>
  </conditionalFormatting>
  <conditionalFormatting sqref="V35">
    <cfRule type="cellIs" dxfId="4" priority="10" operator="greaterThan">
      <formula>0.15</formula>
    </cfRule>
  </conditionalFormatting>
  <conditionalFormatting sqref="V25:V35 V39:V49">
    <cfRule type="cellIs" dxfId="3" priority="11" operator="greaterThan">
      <formula>0.15</formula>
    </cfRule>
  </conditionalFormatting>
  <conditionalFormatting sqref="V49">
    <cfRule type="cellIs" dxfId="2" priority="12" operator="greaterThan">
      <formula>0.15</formula>
    </cfRule>
  </conditionalFormatting>
  <conditionalFormatting sqref="V35">
    <cfRule type="cellIs" dxfId="1" priority="13" operator="greaterThan">
      <formula>0.15</formula>
    </cfRule>
  </conditionalFormatting>
  <conditionalFormatting sqref="V25:V35 V39:V49">
    <cfRule type="cellIs" dxfId="0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2E4B-9FF8-42E7-9FD7-FA9368502228}">
  <sheetPr>
    <tabColor rgb="FFFFFF00"/>
  </sheetPr>
  <dimension ref="A1:BS59"/>
  <sheetViews>
    <sheetView zoomScale="90" zoomScaleNormal="90" workbookViewId="0">
      <selection activeCell="D3" sqref="D3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58" t="s">
        <v>137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3</v>
      </c>
      <c r="Q1" s="263">
        <f>COUNTIF(F10:H10,"CAB")+COUNTIF(E9:I9,"CAB")</f>
        <v>0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58" t="s">
        <v>139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1.7399999999999998</v>
      </c>
      <c r="S2" s="166">
        <f>SUM(S4:S15)</f>
        <v>3.6700000000000008</v>
      </c>
      <c r="T2" s="219">
        <f>SUM(T4:T16)</f>
        <v>0.96336663017697521</v>
      </c>
      <c r="U2" s="219">
        <f>SUM(U4:U16)</f>
        <v>2.4993965517241388</v>
      </c>
      <c r="V2" s="157"/>
      <c r="W2" s="157"/>
      <c r="X2" s="253">
        <f>SUM(X4:X16)</f>
        <v>0.73591334154351407</v>
      </c>
      <c r="Y2" s="254">
        <f>SUM(Y4:Y16)</f>
        <v>1.4006112068965519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57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2" t="s">
        <v>5</v>
      </c>
      <c r="C3" s="292"/>
      <c r="D3" s="31" t="str">
        <f>IF(B3="Sol","SI",IF(B3="Lluvia","SI","NO"))</f>
        <v>SI</v>
      </c>
      <c r="E3" s="211"/>
      <c r="F3" s="212"/>
      <c r="G3" s="281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1" t="s">
        <v>151</v>
      </c>
      <c r="F4" s="281" t="s">
        <v>151</v>
      </c>
      <c r="G4" s="281" t="s">
        <v>151</v>
      </c>
      <c r="H4" s="281" t="s">
        <v>151</v>
      </c>
      <c r="I4" s="281" t="s">
        <v>151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0</v>
      </c>
      <c r="Q4" s="214">
        <f>COUNTIF(E8:I9,"IMP")</f>
        <v>0</v>
      </c>
      <c r="R4" s="221">
        <f t="shared" ref="R4:R14" si="0">IF(P4+Q4=0,0,N4)</f>
        <v>0</v>
      </c>
      <c r="S4" s="221">
        <f t="shared" ref="S4:S16" si="1">R4*$N$2/$R$2</f>
        <v>0</v>
      </c>
      <c r="T4" s="226">
        <f>IF(S4=0,0,S4*(P4^2.7/(P4^2.7+Q4^2.7))*P4/L4)</f>
        <v>0</v>
      </c>
      <c r="U4" s="228">
        <f>IF(S4=0,0,S4*Q4^2.7/(P4^2.7+Q4^2.7)*Q4/L4)</f>
        <v>0</v>
      </c>
      <c r="V4" s="218">
        <f>$G$17</f>
        <v>0.56999999999999995</v>
      </c>
      <c r="W4" s="216">
        <f>$H$17</f>
        <v>0.56999999999999995</v>
      </c>
      <c r="X4" s="251">
        <f>V4*T4</f>
        <v>0</v>
      </c>
      <c r="Y4" s="252">
        <f>W4*U4</f>
        <v>0</v>
      </c>
      <c r="Z4" s="190"/>
      <c r="AA4" s="244">
        <f>X4</f>
        <v>0</v>
      </c>
      <c r="AB4" s="245">
        <f>1-AA4</f>
        <v>1</v>
      </c>
      <c r="AC4" s="245">
        <f>PRODUCT(AB5:AB16)*AA4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</v>
      </c>
      <c r="AH4" s="247">
        <f t="shared" ref="AH4:AH16" si="2">(1-AG4)</f>
        <v>1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1.6566769973117212E-3</v>
      </c>
      <c r="BM4" s="31">
        <v>0</v>
      </c>
      <c r="BN4" s="31">
        <v>0</v>
      </c>
      <c r="BO4" s="107">
        <f>H25*H39</f>
        <v>1.992766372486233E-4</v>
      </c>
      <c r="BQ4" s="31">
        <v>1</v>
      </c>
      <c r="BR4" s="31">
        <v>0</v>
      </c>
      <c r="BS4" s="107">
        <f>$H$26*H39</f>
        <v>5.2094492430575256E-4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1" t="s">
        <v>138</v>
      </c>
      <c r="F5" s="281" t="s">
        <v>138</v>
      </c>
      <c r="G5" s="281" t="s">
        <v>138</v>
      </c>
      <c r="H5" s="281" t="s">
        <v>138</v>
      </c>
      <c r="I5" s="281" t="s">
        <v>138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0</v>
      </c>
      <c r="R5" s="221">
        <f t="shared" si="0"/>
        <v>0</v>
      </c>
      <c r="S5" s="221">
        <f t="shared" si="1"/>
        <v>0</v>
      </c>
      <c r="T5" s="226">
        <f t="shared" ref="T5:T9" si="5">IF(S5=0,0,S5*(P5^2.7/(P5^2.7+Q5^2.7))*P5/L5)</f>
        <v>0</v>
      </c>
      <c r="U5" s="228">
        <f t="shared" ref="U5:U9" si="6">IF(S5=0,0,S5*Q5^2.7/(P5^2.7+Q5^2.7)*Q5/L5)</f>
        <v>0</v>
      </c>
      <c r="V5" s="218">
        <f>$G$17</f>
        <v>0.56999999999999995</v>
      </c>
      <c r="W5" s="216">
        <f>$H$17</f>
        <v>0.56999999999999995</v>
      </c>
      <c r="X5" s="251">
        <f t="shared" ref="X5:Y15" si="7">V5*T5</f>
        <v>0</v>
      </c>
      <c r="Y5" s="252">
        <f t="shared" si="7"/>
        <v>0</v>
      </c>
      <c r="Z5" s="199"/>
      <c r="AA5" s="244">
        <f t="shared" ref="AA5:AA16" si="8">X5</f>
        <v>0</v>
      </c>
      <c r="AB5" s="245">
        <f t="shared" ref="AB5:AB16" si="9">1-AA5</f>
        <v>1</v>
      </c>
      <c r="AC5" s="245">
        <f>PRODUCT(AB6:AB16)*AA5*PRODUCT(AB4)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6" si="10">Y5</f>
        <v>0</v>
      </c>
      <c r="AH5" s="247">
        <f t="shared" si="2"/>
        <v>1</v>
      </c>
      <c r="AI5" s="247">
        <f>AG5*PRODUCT(AH3:AH4)*PRODUCT(AH6:AH17)</f>
        <v>0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6.1753205974399254E-3</v>
      </c>
      <c r="BM5" s="31">
        <v>1</v>
      </c>
      <c r="BN5" s="31">
        <v>1</v>
      </c>
      <c r="BO5" s="107">
        <f>$H$26*H40</f>
        <v>4.3308512471880254E-3</v>
      </c>
      <c r="BQ5" s="31">
        <f>BQ4+1</f>
        <v>2</v>
      </c>
      <c r="BR5" s="31">
        <v>0</v>
      </c>
      <c r="BS5" s="107">
        <f>$H$27*H39</f>
        <v>6.2173160705998067E-4</v>
      </c>
    </row>
    <row r="6" spans="1:71" ht="15.75" x14ac:dyDescent="0.25">
      <c r="A6" s="2" t="s">
        <v>31</v>
      </c>
      <c r="B6" s="269">
        <v>10</v>
      </c>
      <c r="C6" s="270">
        <v>10</v>
      </c>
      <c r="E6" s="211"/>
      <c r="F6" s="281" t="s">
        <v>138</v>
      </c>
      <c r="G6" s="281" t="s">
        <v>138</v>
      </c>
      <c r="H6" s="281" t="s">
        <v>138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0</v>
      </c>
      <c r="Q6" s="214">
        <f>COUNTIF(E9:I11,"IMP")</f>
        <v>0</v>
      </c>
      <c r="R6" s="221">
        <f t="shared" si="0"/>
        <v>0</v>
      </c>
      <c r="S6" s="221">
        <f t="shared" si="1"/>
        <v>0</v>
      </c>
      <c r="T6" s="226">
        <f t="shared" si="5"/>
        <v>0</v>
      </c>
      <c r="U6" s="228">
        <f t="shared" si="6"/>
        <v>0</v>
      </c>
      <c r="V6" s="218">
        <f>$G$18</f>
        <v>0.45</v>
      </c>
      <c r="W6" s="216">
        <f>$H$18</f>
        <v>0.45</v>
      </c>
      <c r="X6" s="251">
        <f t="shared" si="7"/>
        <v>0</v>
      </c>
      <c r="Y6" s="252">
        <f t="shared" si="7"/>
        <v>0</v>
      </c>
      <c r="Z6" s="199"/>
      <c r="AA6" s="244">
        <f t="shared" si="8"/>
        <v>0</v>
      </c>
      <c r="AB6" s="245">
        <f t="shared" si="9"/>
        <v>1</v>
      </c>
      <c r="AC6" s="245">
        <f>PRODUCT(AB7:AB16)*AA6*PRODUCT(AB4:AB5)</f>
        <v>0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183"/>
      <c r="AF6" s="197"/>
      <c r="AG6" s="246">
        <f t="shared" si="10"/>
        <v>0</v>
      </c>
      <c r="AH6" s="247">
        <f t="shared" si="2"/>
        <v>1</v>
      </c>
      <c r="AI6" s="247">
        <f>AG6*PRODUCT(AH3:AH5)*PRODUCT(AH7:AH17)</f>
        <v>0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1.3718823575291415E-2</v>
      </c>
      <c r="BM6" s="31">
        <f>BI14+1</f>
        <v>2</v>
      </c>
      <c r="BN6" s="31">
        <v>2</v>
      </c>
      <c r="BO6" s="107">
        <f>$H$27*H41</f>
        <v>1.9266643858340444E-2</v>
      </c>
      <c r="BQ6" s="31">
        <f>BM5+1</f>
        <v>2</v>
      </c>
      <c r="BR6" s="31">
        <v>1</v>
      </c>
      <c r="BS6" s="107">
        <f>$H$27*H40</f>
        <v>5.1687366172927301E-3</v>
      </c>
    </row>
    <row r="7" spans="1:71" ht="15.75" x14ac:dyDescent="0.25">
      <c r="A7" s="5" t="s">
        <v>36</v>
      </c>
      <c r="B7" s="269">
        <v>10</v>
      </c>
      <c r="C7" s="270">
        <v>12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0</v>
      </c>
      <c r="Q7" s="214">
        <f>COUNTIF(E4:I4,"IMP")+COUNTIF(F5:H5,"IMP")</f>
        <v>0</v>
      </c>
      <c r="R7" s="221">
        <f t="shared" si="0"/>
        <v>0</v>
      </c>
      <c r="S7" s="221">
        <f t="shared" si="1"/>
        <v>0</v>
      </c>
      <c r="T7" s="226">
        <f t="shared" si="5"/>
        <v>0</v>
      </c>
      <c r="U7" s="228">
        <f t="shared" si="6"/>
        <v>0</v>
      </c>
      <c r="V7" s="218">
        <f>$G$18</f>
        <v>0.45</v>
      </c>
      <c r="W7" s="216">
        <f>$H$18</f>
        <v>0.45</v>
      </c>
      <c r="X7" s="251">
        <f t="shared" si="7"/>
        <v>0</v>
      </c>
      <c r="Y7" s="252">
        <f t="shared" si="7"/>
        <v>0</v>
      </c>
      <c r="Z7" s="199"/>
      <c r="AA7" s="244">
        <f t="shared" si="8"/>
        <v>0</v>
      </c>
      <c r="AB7" s="245">
        <f t="shared" si="9"/>
        <v>1</v>
      </c>
      <c r="AC7" s="245">
        <f>PRODUCT(AB8:AB$16)*AA7*PRODUCT(AB$4:AB6)</f>
        <v>0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</v>
      </c>
      <c r="AE7" s="183"/>
      <c r="AF7" s="197"/>
      <c r="AG7" s="246">
        <f t="shared" si="10"/>
        <v>0</v>
      </c>
      <c r="AH7" s="247">
        <f t="shared" si="2"/>
        <v>1</v>
      </c>
      <c r="AI7" s="247">
        <f>AG7*PRODUCT(AH3:AH6)*PRODUCT(AH8:AH17)</f>
        <v>0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2.0335404035905388E-2</v>
      </c>
      <c r="BM7" s="31">
        <f>BI23+1</f>
        <v>3</v>
      </c>
      <c r="BN7" s="31">
        <v>3</v>
      </c>
      <c r="BO7" s="107">
        <f>$H$28*H42</f>
        <v>3.1010643646889293E-2</v>
      </c>
      <c r="BQ7" s="31">
        <f>BQ5+1</f>
        <v>3</v>
      </c>
      <c r="BR7" s="31">
        <v>0</v>
      </c>
      <c r="BS7" s="107">
        <f>$H$28*H39</f>
        <v>4.5045384182923378E-4</v>
      </c>
    </row>
    <row r="8" spans="1:71" ht="15.75" x14ac:dyDescent="0.25">
      <c r="A8" s="5" t="s">
        <v>39</v>
      </c>
      <c r="B8" s="269">
        <v>10</v>
      </c>
      <c r="C8" s="270">
        <v>12</v>
      </c>
      <c r="E8" s="213"/>
      <c r="F8" s="214"/>
      <c r="G8" s="282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0</v>
      </c>
      <c r="Q8" s="214">
        <f>COUNTIF(E10:I11,"RAP")</f>
        <v>8</v>
      </c>
      <c r="R8" s="221">
        <f t="shared" si="0"/>
        <v>0.5</v>
      </c>
      <c r="S8" s="221">
        <f t="shared" si="1"/>
        <v>1.0545977011494256</v>
      </c>
      <c r="T8" s="226">
        <f t="shared" si="5"/>
        <v>0</v>
      </c>
      <c r="U8" s="228">
        <f t="shared" si="6"/>
        <v>1.0545977011494256</v>
      </c>
      <c r="V8" s="218">
        <f>$G$17</f>
        <v>0.56999999999999995</v>
      </c>
      <c r="W8" s="216">
        <f>$H$17</f>
        <v>0.56999999999999995</v>
      </c>
      <c r="X8" s="251">
        <f t="shared" si="7"/>
        <v>0</v>
      </c>
      <c r="Y8" s="252">
        <f t="shared" si="7"/>
        <v>0.60112068965517251</v>
      </c>
      <c r="Z8" s="199"/>
      <c r="AA8" s="244">
        <f t="shared" si="8"/>
        <v>0</v>
      </c>
      <c r="AB8" s="245">
        <f t="shared" si="9"/>
        <v>1</v>
      </c>
      <c r="AC8" s="245">
        <f>PRODUCT(AB9:AB$16)*AA8*PRODUCT(AB$4:AB7)</f>
        <v>0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0</v>
      </c>
      <c r="AE8" s="183"/>
      <c r="AF8" s="197"/>
      <c r="AG8" s="246">
        <f t="shared" si="10"/>
        <v>0.60112068965517251</v>
      </c>
      <c r="AH8" s="247">
        <f t="shared" si="2"/>
        <v>0.39887931034482749</v>
      </c>
      <c r="AI8" s="247">
        <f>AG8*PRODUCT(AH3:AH7)*PRODUCT(AH9:AH17)</f>
        <v>0.1945498824483943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0.33607674010290395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2.1300334411523313E-2</v>
      </c>
      <c r="BM8" s="31">
        <f>BI31+1</f>
        <v>4</v>
      </c>
      <c r="BN8" s="31">
        <v>4</v>
      </c>
      <c r="BO8" s="107">
        <f>$H$29*H43</f>
        <v>2.2603744107301923E-2</v>
      </c>
      <c r="BQ8" s="31">
        <f>BQ6+1</f>
        <v>3</v>
      </c>
      <c r="BR8" s="31">
        <v>1</v>
      </c>
      <c r="BS8" s="107">
        <f>$H$28*H40</f>
        <v>3.7448269321111276E-3</v>
      </c>
    </row>
    <row r="9" spans="1:71" ht="15.75" x14ac:dyDescent="0.25">
      <c r="A9" s="5" t="s">
        <v>42</v>
      </c>
      <c r="B9" s="269">
        <v>10</v>
      </c>
      <c r="C9" s="270">
        <v>12</v>
      </c>
      <c r="E9" s="282" t="s">
        <v>151</v>
      </c>
      <c r="F9" s="282" t="s">
        <v>151</v>
      </c>
      <c r="G9" s="282" t="s">
        <v>151</v>
      </c>
      <c r="H9" s="282" t="s">
        <v>151</v>
      </c>
      <c r="I9" s="282" t="s">
        <v>151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0</v>
      </c>
      <c r="Q9" s="214">
        <f>COUNTIF(E10:I11,"RAP")</f>
        <v>8</v>
      </c>
      <c r="R9" s="221">
        <f t="shared" si="0"/>
        <v>0.5</v>
      </c>
      <c r="S9" s="221">
        <f t="shared" si="1"/>
        <v>1.0545977011494256</v>
      </c>
      <c r="T9" s="226">
        <f t="shared" si="5"/>
        <v>0</v>
      </c>
      <c r="U9" s="228">
        <f t="shared" si="6"/>
        <v>1.0545977011494256</v>
      </c>
      <c r="V9" s="218">
        <f>$G$17</f>
        <v>0.56999999999999995</v>
      </c>
      <c r="W9" s="216">
        <f>$H$17</f>
        <v>0.56999999999999995</v>
      </c>
      <c r="X9" s="251">
        <f t="shared" si="7"/>
        <v>0</v>
      </c>
      <c r="Y9" s="252">
        <f t="shared" si="7"/>
        <v>0.60112068965517251</v>
      </c>
      <c r="Z9" s="199"/>
      <c r="AA9" s="244">
        <f t="shared" si="8"/>
        <v>0</v>
      </c>
      <c r="AB9" s="245">
        <f t="shared" si="9"/>
        <v>1</v>
      </c>
      <c r="AC9" s="245">
        <f>PRODUCT(AB10:AB$16)*AA9*PRODUCT(AB$4:AB8)</f>
        <v>0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0</v>
      </c>
      <c r="AE9" s="183"/>
      <c r="AF9" s="197"/>
      <c r="AG9" s="246">
        <f t="shared" si="10"/>
        <v>0.60112068965517251</v>
      </c>
      <c r="AH9" s="247">
        <f t="shared" si="2"/>
        <v>0.39887931034482749</v>
      </c>
      <c r="AI9" s="247">
        <f>AG9*PRODUCT(AH3:AH8)*PRODUCT(AH10:AH17)</f>
        <v>0.1945498824483943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4.2885400074234387E-2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1.6259055841564268E-2</v>
      </c>
      <c r="BM9" s="31">
        <f>BI38+1</f>
        <v>5</v>
      </c>
      <c r="BN9" s="31">
        <v>5</v>
      </c>
      <c r="BO9" s="107">
        <f>$H$30*H44</f>
        <v>8.3518775979923698E-3</v>
      </c>
      <c r="BQ9" s="31">
        <f>BM6+1</f>
        <v>3</v>
      </c>
      <c r="BR9" s="31">
        <v>2</v>
      </c>
      <c r="BS9" s="107">
        <f>$H$28*H41</f>
        <v>1.395897143814951E-2</v>
      </c>
    </row>
    <row r="10" spans="1:71" ht="15.75" x14ac:dyDescent="0.25">
      <c r="A10" s="6" t="s">
        <v>45</v>
      </c>
      <c r="B10" s="269">
        <v>9</v>
      </c>
      <c r="C10" s="270">
        <v>14</v>
      </c>
      <c r="E10" s="282" t="s">
        <v>1</v>
      </c>
      <c r="F10" s="282" t="s">
        <v>1</v>
      </c>
      <c r="G10" s="282" t="s">
        <v>1</v>
      </c>
      <c r="H10" s="282" t="s">
        <v>1</v>
      </c>
      <c r="I10" s="282" t="s">
        <v>1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0.40074712643678168</v>
      </c>
      <c r="T10" s="226">
        <f>S10*G13</f>
        <v>0.20037356321839084</v>
      </c>
      <c r="U10" s="228">
        <f>S10*G14</f>
        <v>0.20037356321839084</v>
      </c>
      <c r="V10" s="218">
        <f>$G$18</f>
        <v>0.45</v>
      </c>
      <c r="W10" s="216">
        <f>$H$18</f>
        <v>0.45</v>
      </c>
      <c r="X10" s="251">
        <f t="shared" si="7"/>
        <v>9.0168103448275874E-2</v>
      </c>
      <c r="Y10" s="252">
        <f t="shared" si="7"/>
        <v>9.0168103448275874E-2</v>
      </c>
      <c r="Z10" s="199"/>
      <c r="AA10" s="244">
        <f t="shared" si="8"/>
        <v>9.0168103448275874E-2</v>
      </c>
      <c r="AB10" s="245">
        <f t="shared" si="9"/>
        <v>0.90983189655172414</v>
      </c>
      <c r="AC10" s="245">
        <f>PRODUCT(AB11:AB$16)*AA10*PRODUCT(AB$4:AB9)</f>
        <v>4.2779764712484909E-2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3.7229630505900425E-2</v>
      </c>
      <c r="AE10" s="183"/>
      <c r="AF10" s="197"/>
      <c r="AG10" s="246">
        <f t="shared" si="10"/>
        <v>9.0168103448275874E-2</v>
      </c>
      <c r="AH10" s="247">
        <f t="shared" si="2"/>
        <v>0.90983189655172414</v>
      </c>
      <c r="AI10" s="247">
        <f>AG10*PRODUCT(AH3:AH9)*PRODUCT(AH11:AH17)</f>
        <v>1.279388916229391E-2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1.5522802670274495E-3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9.1761730403213861E-3</v>
      </c>
      <c r="BM10" s="31">
        <f>BI44+1</f>
        <v>6</v>
      </c>
      <c r="BN10" s="31">
        <v>6</v>
      </c>
      <c r="BO10" s="107">
        <f>$H$31*H45</f>
        <v>1.6601793173262353E-3</v>
      </c>
      <c r="BQ10" s="31">
        <f>BQ7+1</f>
        <v>4</v>
      </c>
      <c r="BR10" s="31">
        <v>0</v>
      </c>
      <c r="BS10" s="107">
        <f>$H$29*H39</f>
        <v>2.2150521853307078E-4</v>
      </c>
    </row>
    <row r="11" spans="1:71" ht="15.75" x14ac:dyDescent="0.25">
      <c r="A11" s="6" t="s">
        <v>48</v>
      </c>
      <c r="B11" s="269">
        <v>9</v>
      </c>
      <c r="C11" s="270">
        <v>14</v>
      </c>
      <c r="E11" s="213"/>
      <c r="F11" s="282" t="s">
        <v>1</v>
      </c>
      <c r="G11" s="282" t="s">
        <v>1</v>
      </c>
      <c r="H11" s="282" t="s">
        <v>1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8</v>
      </c>
      <c r="Q11" s="214">
        <f>COUNTIF(E9:I11,"CAB")</f>
        <v>0</v>
      </c>
      <c r="R11" s="221">
        <f t="shared" si="0"/>
        <v>0.19</v>
      </c>
      <c r="S11" s="221">
        <f t="shared" si="1"/>
        <v>0.40074712643678168</v>
      </c>
      <c r="T11" s="226">
        <f>IF(P11&gt;0,IF(Q11&gt;0,G13^2.7/(G14^2.7+G13^2.7),1),0)*P11/L11*S11</f>
        <v>0.35621966794380594</v>
      </c>
      <c r="U11" s="228">
        <f>IF(Q11&gt;0,IF(P11&gt;0,G14^2.7/(G14^2.7+G13^2.7),1),0)*Q11/L11*S11</f>
        <v>0</v>
      </c>
      <c r="V11" s="218">
        <f>IF(P11-Q11&gt;3,0.9,IF(P11-Q11=3,0.83,IF(P11-Q11=2,0.75,IF(P11-Q11=1,0.65,IF(P11-Q11=0,0.44,IF(P11-Q11=-1,0.16,IF(P11-Q11&lt;-1,0.05,0.02)))))))</f>
        <v>0.9</v>
      </c>
      <c r="W11" s="216">
        <f>IF(Q11-P11&gt;3,0.9,IF(Q11-P11=3,0.83,IF(Q11-P11=2,0.75,IF(Q11-P11=1,0.65,IF(Q11-P11=0,0.44,IF(Q11-P11=-1,0.16,IF(Q11-P11&lt;-1,0.05,0.02)))))))</f>
        <v>0.05</v>
      </c>
      <c r="X11" s="251">
        <f t="shared" si="7"/>
        <v>0.32059770114942537</v>
      </c>
      <c r="Y11" s="252">
        <f t="shared" si="7"/>
        <v>0</v>
      </c>
      <c r="Z11" s="199"/>
      <c r="AA11" s="244">
        <f t="shared" si="8"/>
        <v>0.32059770114942537</v>
      </c>
      <c r="AB11" s="245">
        <f t="shared" si="9"/>
        <v>0.67940229885057457</v>
      </c>
      <c r="AC11" s="245">
        <f>PRODUCT(AB12:AB$16)*AA11*PRODUCT(AB$4:AB10)</f>
        <v>0.20369483014766263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8.1148078882881378E-2</v>
      </c>
      <c r="AE11" s="183"/>
      <c r="AF11" s="197"/>
      <c r="AG11" s="246">
        <f t="shared" si="10"/>
        <v>0</v>
      </c>
      <c r="AH11" s="247">
        <f t="shared" si="2"/>
        <v>1</v>
      </c>
      <c r="AI11" s="247">
        <f>AG11*PRODUCT(AH3:AH10)*PRODUCT(AH12:AH17)</f>
        <v>0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3.8360801090983132E-3</v>
      </c>
      <c r="BM11" s="31">
        <f>BI50+1</f>
        <v>7</v>
      </c>
      <c r="BN11" s="31">
        <v>7</v>
      </c>
      <c r="BO11" s="107">
        <f>$H$32*H46</f>
        <v>1.823804592860626E-4</v>
      </c>
      <c r="BQ11" s="31">
        <f>BQ8+1</f>
        <v>4</v>
      </c>
      <c r="BR11" s="31">
        <v>1</v>
      </c>
      <c r="BS11" s="107">
        <f>$H$29*H40</f>
        <v>1.8414732674880054E-3</v>
      </c>
    </row>
    <row r="12" spans="1:71" ht="15.75" x14ac:dyDescent="0.25">
      <c r="A12" s="6" t="s">
        <v>52</v>
      </c>
      <c r="B12" s="269">
        <v>9</v>
      </c>
      <c r="C12" s="270">
        <v>14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0</v>
      </c>
      <c r="R12" s="221">
        <f t="shared" si="0"/>
        <v>0</v>
      </c>
      <c r="S12" s="221">
        <f t="shared" si="1"/>
        <v>0</v>
      </c>
      <c r="T12" s="226">
        <f t="shared" ref="T12" si="11">IF(S12=0,0,S12*(P12^2.7/(P12^2.7+Q12^2.7))*P12/L12)</f>
        <v>0</v>
      </c>
      <c r="U12" s="228">
        <f>IF(S12=0,0,S12*Q12^2.7/(P12^2.7+Q12^2.7)*Q12/L12)</f>
        <v>0</v>
      </c>
      <c r="V12" s="218">
        <f>$G$18</f>
        <v>0.45</v>
      </c>
      <c r="W12" s="216">
        <f>$H$18</f>
        <v>0.45</v>
      </c>
      <c r="X12" s="251">
        <f t="shared" si="7"/>
        <v>0</v>
      </c>
      <c r="Y12" s="252">
        <f t="shared" si="7"/>
        <v>0</v>
      </c>
      <c r="Z12" s="199"/>
      <c r="AA12" s="244">
        <f t="shared" si="8"/>
        <v>0</v>
      </c>
      <c r="AB12" s="245">
        <f t="shared" si="9"/>
        <v>1</v>
      </c>
      <c r="AC12" s="245">
        <f>PRODUCT(AB13:AB$16)*AA12*PRODUCT(AB$4:AB11)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0"/>
        <v>0</v>
      </c>
      <c r="AH12" s="247">
        <f t="shared" si="2"/>
        <v>1</v>
      </c>
      <c r="AI12" s="247">
        <f>AG12*PRODUCT(AH3:AH11)*PRODUCT(AH13:AH17)</f>
        <v>0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1.1754409591755051E-3</v>
      </c>
      <c r="BM12" s="31">
        <f>BI54+1</f>
        <v>8</v>
      </c>
      <c r="BN12" s="31">
        <v>8</v>
      </c>
      <c r="BO12" s="107">
        <f>$H$33*H47</f>
        <v>1.1092886018369055E-5</v>
      </c>
      <c r="BQ12" s="31">
        <f>BQ9+1</f>
        <v>4</v>
      </c>
      <c r="BR12" s="31">
        <v>2</v>
      </c>
      <c r="BS12" s="107">
        <f>$H$29*H41</f>
        <v>6.8641550626986694E-3</v>
      </c>
    </row>
    <row r="13" spans="1:71" ht="15.75" x14ac:dyDescent="0.25">
      <c r="A13" s="7" t="s">
        <v>55</v>
      </c>
      <c r="B13" s="269">
        <v>9</v>
      </c>
      <c r="C13" s="270">
        <v>9</v>
      </c>
      <c r="E13" s="210"/>
      <c r="F13" s="210" t="s">
        <v>152</v>
      </c>
      <c r="G13" s="217">
        <f>B22</f>
        <v>0.5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8</v>
      </c>
      <c r="Q13" s="214">
        <f>COUNTIF(E10:I11,"CAB")</f>
        <v>0</v>
      </c>
      <c r="R13" s="221">
        <f t="shared" si="0"/>
        <v>0.18</v>
      </c>
      <c r="S13" s="221">
        <f t="shared" si="1"/>
        <v>0.37965517241379321</v>
      </c>
      <c r="T13" s="226">
        <f>IF((Q13+P13)=0,0,S13*P14/4*P13/L13)</f>
        <v>0.21694581280788183</v>
      </c>
      <c r="U13" s="228">
        <f>IF(P13+Q13=0,0,S13*Q14/4*Q13/L13)</f>
        <v>0</v>
      </c>
      <c r="V13" s="218">
        <v>1</v>
      </c>
      <c r="W13" s="216">
        <v>1</v>
      </c>
      <c r="X13" s="251">
        <f t="shared" si="7"/>
        <v>0.21694581280788183</v>
      </c>
      <c r="Y13" s="252">
        <f t="shared" si="7"/>
        <v>0</v>
      </c>
      <c r="Z13" s="199"/>
      <c r="AA13" s="244">
        <f t="shared" si="8"/>
        <v>0.21694581280788183</v>
      </c>
      <c r="AB13" s="245">
        <f t="shared" si="9"/>
        <v>0.78305418719211817</v>
      </c>
      <c r="AC13" s="245">
        <f>PRODUCT(AB14:AB$16)*AA13*PRODUCT(AB$4:AB12)</f>
        <v>0.11959308552003856</v>
      </c>
      <c r="AD13" s="245">
        <f>AA13*AA14*PRODUCT(AB3:AB12)*PRODUCT(AB15:AB17)+AA13*AA15*PRODUCT(AB3:AB12)*AB14*PRODUCT(AB16:AB17)+AA13*AA16*PRODUCT(AB3:AB12)*AB14*AB15*AB17+AA13*AA17*PRODUCT(AB3:AB12)*AB14*AB15*AB16</f>
        <v>1.4510207519446488E-2</v>
      </c>
      <c r="AE13" s="183"/>
      <c r="AF13" s="197"/>
      <c r="AG13" s="246">
        <f t="shared" si="10"/>
        <v>0</v>
      </c>
      <c r="AH13" s="247">
        <f t="shared" si="2"/>
        <v>1</v>
      </c>
      <c r="AI13" s="247">
        <f>AG13*PRODUCT(AH3:AH12)*PRODUCT(AH14:AH17)</f>
        <v>0</v>
      </c>
      <c r="AJ13" s="247">
        <f>AG13*AG14*PRODUCT(AH3:AH12)*PRODUCT(AH15:AH17)+AG13*AG15*PRODUCT(AH3:AH12)*AH14*PRODUCT(AH16:AH17)+AG13*AG16*PRODUCT(AH3:AH12)*AH14*AH15*AH17+AG13*AG17*PRODUCT(AH3:AH12)*AH14*AH15*AH16</f>
        <v>0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2.5720764265494718E-4</v>
      </c>
      <c r="BM13" s="31">
        <f>BI57+1</f>
        <v>9</v>
      </c>
      <c r="BN13" s="31">
        <v>9</v>
      </c>
      <c r="BO13" s="107">
        <f>$H$34*H48</f>
        <v>3.6510447233224219E-7</v>
      </c>
      <c r="BQ13" s="31">
        <f>BM7+1</f>
        <v>4</v>
      </c>
      <c r="BR13" s="31">
        <v>3</v>
      </c>
      <c r="BS13" s="107">
        <f>$H$29*H42</f>
        <v>1.5249108254824093E-2</v>
      </c>
    </row>
    <row r="14" spans="1:71" ht="15.75" x14ac:dyDescent="0.25">
      <c r="A14" s="7" t="s">
        <v>58</v>
      </c>
      <c r="B14" s="269">
        <v>4</v>
      </c>
      <c r="C14" s="270">
        <v>4</v>
      </c>
      <c r="E14" s="210"/>
      <c r="F14" s="210" t="s">
        <v>153</v>
      </c>
      <c r="G14" s="215">
        <f>C22</f>
        <v>0.5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0.37965517241379321</v>
      </c>
      <c r="T14" s="226">
        <f>S14*P14^2.7/(Q14^2.7+P14^2.7)</f>
        <v>0.1898275862068966</v>
      </c>
      <c r="U14" s="228">
        <f>S14*Q14^2.7/(Q14^2.7+P14^2.7)</f>
        <v>0.1898275862068966</v>
      </c>
      <c r="V14" s="218">
        <f>$G$17</f>
        <v>0.56999999999999995</v>
      </c>
      <c r="W14" s="216">
        <f>$H$17</f>
        <v>0.56999999999999995</v>
      </c>
      <c r="X14" s="251">
        <f t="shared" si="7"/>
        <v>0.10820172413793105</v>
      </c>
      <c r="Y14" s="252">
        <f t="shared" si="7"/>
        <v>0.10820172413793105</v>
      </c>
      <c r="Z14" s="199"/>
      <c r="AA14" s="244">
        <f t="shared" si="8"/>
        <v>0.10820172413793105</v>
      </c>
      <c r="AB14" s="245">
        <f t="shared" si="9"/>
        <v>0.89179827586206895</v>
      </c>
      <c r="AC14" s="245">
        <f>PRODUCT(AB15:AB$16)*AA14*PRODUCT(AB$4:AB13)</f>
        <v>5.2373809883996661E-2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0.10820172413793105</v>
      </c>
      <c r="AH14" s="247">
        <f t="shared" si="2"/>
        <v>0.89179827586206895</v>
      </c>
      <c r="AI14" s="247">
        <f>AG14*PRODUCT(AH3:AH13)*PRODUCT(AH15:AH17)</f>
        <v>1.5663123048158183E-2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1.6143397267304706E-2</v>
      </c>
      <c r="BM14" s="31">
        <f>BQ39+1</f>
        <v>10</v>
      </c>
      <c r="BN14" s="31">
        <v>10</v>
      </c>
      <c r="BO14" s="107">
        <f>$H$35*H49</f>
        <v>6.1599123512448485E-9</v>
      </c>
      <c r="BQ14" s="31">
        <f>BQ10+1</f>
        <v>5</v>
      </c>
      <c r="BR14" s="31">
        <v>0</v>
      </c>
      <c r="BS14" s="107">
        <f>$H$30*H39</f>
        <v>7.8136523600288505E-5</v>
      </c>
    </row>
    <row r="15" spans="1:71" ht="15.75" x14ac:dyDescent="0.25">
      <c r="A15" s="162" t="s">
        <v>62</v>
      </c>
      <c r="B15" s="271">
        <v>5</v>
      </c>
      <c r="C15" s="272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3.5863469033139417E-2</v>
      </c>
      <c r="BQ15" s="31">
        <f>BQ11+1</f>
        <v>5</v>
      </c>
      <c r="BR15" s="31">
        <v>1</v>
      </c>
      <c r="BS15" s="107">
        <f>$H$30*H40</f>
        <v>6.4958433204089351E-4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79">
        <v>0.7</v>
      </c>
      <c r="H16" s="280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185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ref="X16" si="14">V16*T16</f>
        <v>0</v>
      </c>
      <c r="Y16" s="252">
        <f t="shared" ref="Y16" si="15">W16*U16</f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6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5.3160398842914597E-2</v>
      </c>
      <c r="BQ16" s="31">
        <f>BQ12+1</f>
        <v>5</v>
      </c>
      <c r="BR16" s="31">
        <v>2</v>
      </c>
      <c r="BS16" s="107">
        <f>$H$30*H41</f>
        <v>2.421347982700094E-3</v>
      </c>
    </row>
    <row r="17" spans="1:71" x14ac:dyDescent="0.25">
      <c r="A17" s="161" t="s">
        <v>69</v>
      </c>
      <c r="B17" s="273" t="s">
        <v>70</v>
      </c>
      <c r="C17" s="274" t="s">
        <v>70</v>
      </c>
      <c r="E17" s="210"/>
      <c r="F17" s="210" t="s">
        <v>154</v>
      </c>
      <c r="G17" s="279">
        <v>0.56999999999999995</v>
      </c>
      <c r="H17" s="280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5.5682900167841359E-2</v>
      </c>
      <c r="BQ17" s="31">
        <f>BQ13+1</f>
        <v>5</v>
      </c>
      <c r="BR17" s="31">
        <v>3</v>
      </c>
      <c r="BS17" s="107">
        <f>$H$30*H42</f>
        <v>5.3791613350117262E-3</v>
      </c>
    </row>
    <row r="18" spans="1:71" x14ac:dyDescent="0.25">
      <c r="A18" s="161" t="s">
        <v>73</v>
      </c>
      <c r="B18" s="273">
        <v>20</v>
      </c>
      <c r="C18" s="274">
        <v>20</v>
      </c>
      <c r="E18" s="210"/>
      <c r="F18" s="209" t="s">
        <v>3</v>
      </c>
      <c r="G18" s="279">
        <v>0.45</v>
      </c>
      <c r="H18" s="280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0.43166477916133789</v>
      </c>
      <c r="AC18" s="159">
        <f>SUM(AC4:AC16)</f>
        <v>0.41844149026418276</v>
      </c>
      <c r="AD18" s="159">
        <f>SUM(AD3:AD17)</f>
        <v>0.13288791690822829</v>
      </c>
      <c r="AE18" s="159">
        <f>IF((1-AB18-AC18-AD18)&lt;0,(1-AB18-AC18-AD18)-1,1-AB18-AC18-AD18)</f>
        <v>1.7005813666251007E-2</v>
      </c>
      <c r="AF18" s="197"/>
      <c r="AG18" s="157"/>
      <c r="AH18" s="160">
        <f>PRODUCT(AH3:AH17)</f>
        <v>0.12909541174368569</v>
      </c>
      <c r="AI18" s="159">
        <f>SUM(AI3:AI17)</f>
        <v>0.41755677710724071</v>
      </c>
      <c r="AJ18" s="159">
        <f>SUM(AJ3:AJ17)</f>
        <v>0.38051442044416584</v>
      </c>
      <c r="AK18" s="159">
        <f>IF((1-AH18-AI18-AJ18)&lt;0,(1-AH18-AI18-AJ18)-1,(1-AH18-AI18-AJ18))</f>
        <v>7.2833390704907797E-2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4.2504092459665466E-2</v>
      </c>
      <c r="BQ18" s="31">
        <f>BM8+1</f>
        <v>5</v>
      </c>
      <c r="BR18" s="31">
        <v>4</v>
      </c>
      <c r="BS18" s="107">
        <f>$H$30*H43</f>
        <v>7.9735276513649648E-3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2.3988164573164161E-2</v>
      </c>
      <c r="BQ19" s="31">
        <f>BQ15+1</f>
        <v>6</v>
      </c>
      <c r="BR19" s="31">
        <v>1</v>
      </c>
      <c r="BS19" s="107">
        <f>$H$31*H40</f>
        <v>1.691599385122992E-4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1.0028202450906369E-2</v>
      </c>
      <c r="BQ20" s="31">
        <f>BQ16+1</f>
        <v>6</v>
      </c>
      <c r="BR20" s="31">
        <v>2</v>
      </c>
      <c r="BS20" s="107">
        <f>$H$31*H41</f>
        <v>6.3054950014502858E-4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3.0728138027519584E-3</v>
      </c>
      <c r="BQ21" s="31">
        <f>BQ17+1</f>
        <v>6</v>
      </c>
      <c r="BR21" s="31">
        <v>3</v>
      </c>
      <c r="BS21" s="107">
        <f>$H$31*H42</f>
        <v>1.4008013367863023E-3</v>
      </c>
    </row>
    <row r="22" spans="1:71" x14ac:dyDescent="0.25">
      <c r="A22" s="26" t="s">
        <v>81</v>
      </c>
      <c r="B22" s="169">
        <f>(B6)/((B6)+(C6))</f>
        <v>0.5</v>
      </c>
      <c r="C22" s="170">
        <f>1-B22</f>
        <v>0.5</v>
      </c>
      <c r="V22" s="171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2"/>
        <v>6.7238697814120299E-4</v>
      </c>
      <c r="BQ22" s="31">
        <f>BQ18+1</f>
        <v>6</v>
      </c>
      <c r="BR22" s="31">
        <v>4</v>
      </c>
      <c r="BS22" s="107">
        <f>$H$31*H43</f>
        <v>2.0764069893639361E-3</v>
      </c>
    </row>
    <row r="23" spans="1:71" ht="15.75" thickBot="1" x14ac:dyDescent="0.3">
      <c r="A23" s="40" t="s">
        <v>82</v>
      </c>
      <c r="B23" s="56">
        <f>((B22^2.8)/((B22^2.8)+(C22^2.8)))*B21</f>
        <v>2.5</v>
      </c>
      <c r="C23" s="57">
        <f>B21-B23</f>
        <v>2.5</v>
      </c>
      <c r="D23" s="149">
        <f>SUM(D25:D30)</f>
        <v>1</v>
      </c>
      <c r="E23" s="149">
        <f>SUM(E25:E30)</f>
        <v>1</v>
      </c>
      <c r="H23" s="229">
        <f>SUM(H25:H35)</f>
        <v>0.99999987792235334</v>
      </c>
      <c r="I23" s="81"/>
      <c r="J23" s="229">
        <f>SUM(J25:J35)</f>
        <v>0.99999999999999967</v>
      </c>
      <c r="K23" s="229"/>
      <c r="L23" s="229">
        <f>SUM(L25:L35)</f>
        <v>0.99999999999999989</v>
      </c>
      <c r="M23" s="81"/>
      <c r="N23" s="229">
        <f>SUM(N25:N35)</f>
        <v>1</v>
      </c>
      <c r="O23" s="81"/>
      <c r="P23" s="229">
        <f>SUM(P25:P35)</f>
        <v>1</v>
      </c>
      <c r="Q23" s="81"/>
      <c r="R23" s="229">
        <f>SUM(R25:R35)</f>
        <v>1</v>
      </c>
      <c r="S23" s="81"/>
      <c r="T23" s="229">
        <f>SUM(T25:T35)</f>
        <v>1</v>
      </c>
      <c r="V23" s="171">
        <f>SUM(V25:V34)</f>
        <v>0.99897460937500004</v>
      </c>
      <c r="Y23" s="168">
        <f>SUM(Y25:Y35)</f>
        <v>9.716796875E-4</v>
      </c>
      <c r="Z23" s="81"/>
      <c r="AA23" s="168">
        <f>SUM(AA25:AA35)</f>
        <v>9.7216796875000001E-3</v>
      </c>
      <c r="AB23" s="81"/>
      <c r="AC23" s="168">
        <f>SUM(AC25:AC35)</f>
        <v>4.3774414062500003E-2</v>
      </c>
      <c r="AD23" s="81"/>
      <c r="AE23" s="168">
        <f>SUM(AE25:AE35)</f>
        <v>0.11682128906250001</v>
      </c>
      <c r="AF23" s="81"/>
      <c r="AG23" s="168">
        <f>SUM(AG25:AG35)</f>
        <v>0.20463867187499998</v>
      </c>
      <c r="AH23" s="81"/>
      <c r="AI23" s="168">
        <f>SUM(AI25:AI35)</f>
        <v>0.24588867187499996</v>
      </c>
      <c r="AJ23" s="81"/>
      <c r="AK23" s="168">
        <f>SUM(AK25:AK35)</f>
        <v>0.20528320312499998</v>
      </c>
      <c r="AL23" s="81"/>
      <c r="AM23" s="168">
        <f>SUM(AM25:AM35)</f>
        <v>0.11762695312499996</v>
      </c>
      <c r="AN23" s="81"/>
      <c r="AO23" s="168">
        <f>SUM(AO25:AO35)</f>
        <v>4.4311523437499993E-2</v>
      </c>
      <c r="AP23" s="81"/>
      <c r="AQ23" s="168">
        <f>SUM(AQ25:AQ35)</f>
        <v>9.9365234374999972E-3</v>
      </c>
      <c r="AR23" s="81"/>
      <c r="AS23" s="168">
        <f>SUM(AS25:AS35)</f>
        <v>1.0253906249999556E-3</v>
      </c>
      <c r="BI23" s="31">
        <f t="shared" ref="BI23:BI30" si="17">BI15+1</f>
        <v>2</v>
      </c>
      <c r="BJ23" s="31">
        <v>3</v>
      </c>
      <c r="BK23" s="107">
        <f t="shared" ref="BK23:BK30" si="18">$H$27*H42</f>
        <v>4.2801937779573834E-2</v>
      </c>
      <c r="BQ23" s="31">
        <f>BM9+1</f>
        <v>6</v>
      </c>
      <c r="BR23" s="31">
        <v>5</v>
      </c>
      <c r="BS23" s="107">
        <f>$H$31*H44</f>
        <v>2.17493407899761E-3</v>
      </c>
    </row>
    <row r="24" spans="1:71" ht="15.75" thickBot="1" x14ac:dyDescent="0.3">
      <c r="A24" s="26" t="s">
        <v>83</v>
      </c>
      <c r="B24" s="64">
        <f>B23/B21</f>
        <v>0.5</v>
      </c>
      <c r="C24" s="65">
        <f>C23/B21</f>
        <v>0.5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7"/>
        <v>2</v>
      </c>
      <c r="BJ24" s="31">
        <v>4</v>
      </c>
      <c r="BK24" s="107">
        <f t="shared" si="18"/>
        <v>6.3445286943915533E-2</v>
      </c>
      <c r="BQ24" s="31">
        <f>BI49+1</f>
        <v>7</v>
      </c>
      <c r="BR24" s="31">
        <v>0</v>
      </c>
      <c r="BS24" s="107">
        <f t="shared" ref="BS24:BS30" si="19">$H$32*H39</f>
        <v>3.9607104690250144E-6</v>
      </c>
    </row>
    <row r="25" spans="1:71" x14ac:dyDescent="0.25">
      <c r="A25" s="26" t="s">
        <v>108</v>
      </c>
      <c r="B25" s="172">
        <f>1/(1+EXP(-3.1416*4*((B11/(B11+C8))-(3.1416/6))))</f>
        <v>0.23251449252298675</v>
      </c>
      <c r="C25" s="170">
        <f>1/(1+EXP(-3.1416*4*((C11/(C11+B8))-(3.1416/6))))</f>
        <v>0.6793166023460353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9.4131602063800252E-2</v>
      </c>
      <c r="I25" s="97">
        <v>0</v>
      </c>
      <c r="J25" s="98">
        <f t="shared" ref="J25:J35" si="20">Y25+AA25+AC25+AE25+AG25+AI25+AK25+AM25+AO25+AQ25+AS25</f>
        <v>0.21806644092363597</v>
      </c>
      <c r="K25" s="97">
        <v>0</v>
      </c>
      <c r="L25" s="98">
        <f>AB18</f>
        <v>0.43166477916133789</v>
      </c>
      <c r="M25" s="85">
        <v>0</v>
      </c>
      <c r="N25" s="173">
        <f>(1-$B$24)^$B$21</f>
        <v>3.125E-2</v>
      </c>
      <c r="O25" s="72">
        <v>0</v>
      </c>
      <c r="P25" s="173">
        <f t="shared" ref="P25:P30" si="21">N25</f>
        <v>3.125E-2</v>
      </c>
      <c r="Q25" s="28">
        <v>0</v>
      </c>
      <c r="R25" s="174">
        <f>P25*N25</f>
        <v>9.765625E-4</v>
      </c>
      <c r="S25" s="72">
        <v>0</v>
      </c>
      <c r="T25" s="175">
        <f>(1-$B$33)^(INT(C23*2*(1-C31)))</f>
        <v>0.995</v>
      </c>
      <c r="U25" s="138">
        <v>0</v>
      </c>
      <c r="V25" s="86">
        <f>R25*T25</f>
        <v>9.716796875E-4</v>
      </c>
      <c r="W25" s="134">
        <f>B31</f>
        <v>0.28228854946744131</v>
      </c>
      <c r="X25" s="28">
        <v>0</v>
      </c>
      <c r="Y25" s="176">
        <f>V25</f>
        <v>9.716796875E-4</v>
      </c>
      <c r="Z25" s="28">
        <v>0</v>
      </c>
      <c r="AA25" s="176">
        <f>((1-W25)^Z26)*V26</f>
        <v>6.9773608301285373E-3</v>
      </c>
      <c r="AB25" s="28">
        <v>0</v>
      </c>
      <c r="AC25" s="176">
        <f>(((1-$W$25)^AB27))*V27</f>
        <v>2.2548626443418214E-2</v>
      </c>
      <c r="AD25" s="28">
        <v>0</v>
      </c>
      <c r="AE25" s="176">
        <f>(((1-$W$25)^AB28))*V28</f>
        <v>4.3188847948569239E-2</v>
      </c>
      <c r="AF25" s="28">
        <v>0</v>
      </c>
      <c r="AG25" s="176">
        <f>(((1-$W$25)^AB29))*V29</f>
        <v>5.4298422067802943E-2</v>
      </c>
      <c r="AH25" s="28">
        <v>0</v>
      </c>
      <c r="AI25" s="176">
        <f>(((1-$W$25)^AB30))*V30</f>
        <v>4.68260901391572E-2</v>
      </c>
      <c r="AJ25" s="28">
        <v>0</v>
      </c>
      <c r="AK25" s="176">
        <f>(((1-$W$25)^AB31))*V31</f>
        <v>2.8057738696930269E-2</v>
      </c>
      <c r="AL25" s="28">
        <v>0</v>
      </c>
      <c r="AM25" s="176">
        <f>(((1-$W$25)^AB32))*V32</f>
        <v>1.153867586134321E-2</v>
      </c>
      <c r="AN25" s="28">
        <v>0</v>
      </c>
      <c r="AO25" s="176">
        <f>(((1-$W$25)^AB33))*V33</f>
        <v>3.1197204687111713E-3</v>
      </c>
      <c r="AP25" s="28">
        <v>0</v>
      </c>
      <c r="AQ25" s="176">
        <f>(((1-$W$25)^AB34))*V34</f>
        <v>5.0209204124622984E-4</v>
      </c>
      <c r="AR25" s="28">
        <v>0</v>
      </c>
      <c r="AS25" s="176">
        <f>(((1-$W$25)^AB35))*V35</f>
        <v>3.7186738828978154E-5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7"/>
        <v>2</v>
      </c>
      <c r="BJ25" s="31">
        <v>5</v>
      </c>
      <c r="BK25" s="107">
        <f t="shared" si="18"/>
        <v>6.6455814025348753E-2</v>
      </c>
      <c r="BQ25" s="31">
        <f>BQ19+1</f>
        <v>7</v>
      </c>
      <c r="BR25" s="31">
        <v>1</v>
      </c>
      <c r="BS25" s="107">
        <f t="shared" si="19"/>
        <v>3.2927181116866173E-5</v>
      </c>
    </row>
    <row r="26" spans="1:71" x14ac:dyDescent="0.25">
      <c r="A26" s="40" t="s">
        <v>109</v>
      </c>
      <c r="B26" s="169">
        <f>1/(1+EXP(-3.1416*4*((B10/(B10+C9))-(3.1416/6))))</f>
        <v>0.23251449252298675</v>
      </c>
      <c r="C26" s="170">
        <f>1/(1+EXP(-3.1416*4*((C10/(C10+B9))-(3.1416/6))))</f>
        <v>0.6793166023460353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0.24607691593433095</v>
      </c>
      <c r="I26" s="138">
        <v>1</v>
      </c>
      <c r="J26" s="86">
        <f t="shared" si="20"/>
        <v>0.3586784859270854</v>
      </c>
      <c r="K26" s="138">
        <v>1</v>
      </c>
      <c r="L26" s="86">
        <f>AC18</f>
        <v>0.41844149026418276</v>
      </c>
      <c r="M26" s="85">
        <v>1</v>
      </c>
      <c r="N26" s="173">
        <f>(($B$24)^M26)*((1-($B$24))^($B$21-M26))*HLOOKUP($B$21,$AV$24:$BF$34,M26+1)</f>
        <v>0.15625</v>
      </c>
      <c r="O26" s="72">
        <v>1</v>
      </c>
      <c r="P26" s="173">
        <f t="shared" si="21"/>
        <v>0.15625</v>
      </c>
      <c r="Q26" s="28">
        <v>1</v>
      </c>
      <c r="R26" s="174">
        <f>N26*P25+P26*N25</f>
        <v>9.765625E-3</v>
      </c>
      <c r="S26" s="72">
        <v>1</v>
      </c>
      <c r="T26" s="175">
        <f t="shared" ref="T26:T35" si="22">(($B$33)^S26)*((1-($B$33))^(INT($C$23*2*(1-$C$31))-S26))*HLOOKUP(INT($C$23*2*(1-$C$31)),$AV$24:$BF$34,S26+1)</f>
        <v>5.0000000000000001E-3</v>
      </c>
      <c r="U26" s="138">
        <v>1</v>
      </c>
      <c r="V26" s="86">
        <f>R26*T25+T26*R25</f>
        <v>9.7216796875000001E-3</v>
      </c>
      <c r="W26" s="177"/>
      <c r="X26" s="28">
        <v>1</v>
      </c>
      <c r="Y26" s="174"/>
      <c r="Z26" s="28">
        <v>1</v>
      </c>
      <c r="AA26" s="176">
        <f>(1-((1-W25)^Z26))*V26</f>
        <v>2.7443188573714633E-3</v>
      </c>
      <c r="AB26" s="28">
        <v>1</v>
      </c>
      <c r="AC26" s="176">
        <f>((($W$25)^M26)*((1-($W$25))^($U$27-M26))*HLOOKUP($U$27,$AV$24:$BF$34,M26+1))*V27</f>
        <v>1.7737543539182988E-2</v>
      </c>
      <c r="AD26" s="28">
        <v>1</v>
      </c>
      <c r="AE26" s="176">
        <f>((($W$25)^M26)*((1-($W$25))^($U$28-M26))*HLOOKUP($U$28,$AV$24:$BF$34,M26+1))*V28</f>
        <v>5.0960802833192716E-2</v>
      </c>
      <c r="AF26" s="28">
        <v>1</v>
      </c>
      <c r="AG26" s="176">
        <f>((($W$25)^M26)*((1-($W$25))^($U$29-M26))*HLOOKUP($U$29,$AV$24:$BF$34,M26+1))*V29</f>
        <v>8.5426101492556084E-2</v>
      </c>
      <c r="AH26" s="28">
        <v>1</v>
      </c>
      <c r="AI26" s="176">
        <f>((($W$25)^M26)*((1-($W$25))^($U$30-M26))*HLOOKUP($U$30,$AV$24:$BF$34,M26+1))*V30</f>
        <v>9.2087628341486871E-2</v>
      </c>
      <c r="AJ26" s="28">
        <v>1</v>
      </c>
      <c r="AK26" s="176">
        <f>((($W$25)^M26)*((1-($W$25))^($U$31-M26))*HLOOKUP($U$31,$AV$24:$BF$34,M26+1))*V31</f>
        <v>6.6213615671444306E-2</v>
      </c>
      <c r="AL26" s="28">
        <v>1</v>
      </c>
      <c r="AM26" s="176">
        <f>((($W$25)^Q26)*((1-($W$25))^($U$32-Q26))*HLOOKUP($U$32,$AV$24:$BF$34,Q26+1))*V32</f>
        <v>3.1768550557185977E-2</v>
      </c>
      <c r="AN26" s="28">
        <v>1</v>
      </c>
      <c r="AO26" s="176">
        <f>((($W$25)^Q26)*((1-($W$25))^($U$33-Q26))*HLOOKUP($U$33,$AV$24:$BF$34,Q26+1))*V33</f>
        <v>9.8163278872353665E-3</v>
      </c>
      <c r="AP26" s="28">
        <v>1</v>
      </c>
      <c r="AQ26" s="176">
        <f>((($W$25)^Q26)*((1-($W$25))^($U$34-Q26))*HLOOKUP($U$34,$AV$24:$BF$34,Q26+1))*V34</f>
        <v>1.7773347565464774E-3</v>
      </c>
      <c r="AR26" s="28">
        <v>1</v>
      </c>
      <c r="AS26" s="176">
        <f>((($W$25)^Q26)*((1-($W$25))^($U$35-Q26))*HLOOKUP($U$35,$AV$24:$BF$34,Q26+1))*V35</f>
        <v>1.4626199088320959E-4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7"/>
        <v>2</v>
      </c>
      <c r="BJ26" s="31">
        <v>6</v>
      </c>
      <c r="BK26" s="107">
        <f t="shared" si="18"/>
        <v>5.0727315842055913E-2</v>
      </c>
      <c r="BQ26" s="31">
        <f>BQ20+1</f>
        <v>7</v>
      </c>
      <c r="BR26" s="31">
        <v>2</v>
      </c>
      <c r="BS26" s="107">
        <f t="shared" si="19"/>
        <v>1.2273720230109459E-4</v>
      </c>
    </row>
    <row r="27" spans="1:71" x14ac:dyDescent="0.25">
      <c r="A27" s="26" t="s">
        <v>110</v>
      </c>
      <c r="B27" s="169">
        <f>1/(1+EXP(-3.1416*4*((B12/(B12+C7))-(3.1416/6))))</f>
        <v>0.23251449252298675</v>
      </c>
      <c r="C27" s="170">
        <f>1/(1+EXP(-3.1416*4*((C12/(C12+B7))-(3.1416/6))))</f>
        <v>0.6793166023460353</v>
      </c>
      <c r="D27" s="167">
        <f>D26</f>
        <v>0.25700000000000001</v>
      </c>
      <c r="E27" s="167">
        <f>E26</f>
        <v>0.25700000000000001</v>
      </c>
      <c r="G27" s="87">
        <v>2</v>
      </c>
      <c r="H27" s="126">
        <f>L25*J27+J26*L26+J25*L27</f>
        <v>0.29368516567870495</v>
      </c>
      <c r="I27" s="138">
        <v>2</v>
      </c>
      <c r="J27" s="86">
        <f t="shared" si="20"/>
        <v>0.26553199601420585</v>
      </c>
      <c r="K27" s="138">
        <v>2</v>
      </c>
      <c r="L27" s="86">
        <f>AD18</f>
        <v>0.13288791690822829</v>
      </c>
      <c r="M27" s="85">
        <v>2</v>
      </c>
      <c r="N27" s="173">
        <f>(($B$24)^M27)*((1-($B$24))^($B$21-M27))*HLOOKUP($B$21,$AV$24:$BF$34,M27+1)</f>
        <v>0.3125</v>
      </c>
      <c r="O27" s="72">
        <v>2</v>
      </c>
      <c r="P27" s="173">
        <f t="shared" si="21"/>
        <v>0.3125</v>
      </c>
      <c r="Q27" s="28">
        <v>2</v>
      </c>
      <c r="R27" s="174">
        <f>P25*N27+P26*N26+P27*N25</f>
        <v>4.39453125E-2</v>
      </c>
      <c r="S27" s="72">
        <v>2</v>
      </c>
      <c r="T27" s="175">
        <f t="shared" si="22"/>
        <v>0</v>
      </c>
      <c r="U27" s="138">
        <v>2</v>
      </c>
      <c r="V27" s="86">
        <f>R27*T25+T26*R26+R25*T27</f>
        <v>4.3774414062499996E-2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3.4882440798987956E-3</v>
      </c>
      <c r="AD27" s="28">
        <v>2</v>
      </c>
      <c r="AE27" s="176">
        <f>((($W$25)^M27)*((1-($W$25))^($U$28-M27))*HLOOKUP($U$28,$AV$24:$BF$34,M27+1))*V28</f>
        <v>2.0043780966297466E-2</v>
      </c>
      <c r="AF27" s="28">
        <v>2</v>
      </c>
      <c r="AG27" s="176">
        <f>((($W$25)^M27)*((1-($W$25))^($U$29-M27))*HLOOKUP($U$29,$AV$24:$BF$34,M27+1))*V29</f>
        <v>5.0399384583661708E-2</v>
      </c>
      <c r="AH27" s="28">
        <v>2</v>
      </c>
      <c r="AI27" s="176">
        <f>((($W$25)^M27)*((1-($W$25))^($U$30-M27))*HLOOKUP($U$30,$AV$24:$BF$34,M27+1))*V30</f>
        <v>7.2439371028917163E-2</v>
      </c>
      <c r="AJ27" s="28">
        <v>2</v>
      </c>
      <c r="AK27" s="176">
        <f>((($W$25)^M27)*((1-($W$25))^($U$31-M27))*HLOOKUP($U$31,$AV$24:$BF$34,M27+1))*V31</f>
        <v>6.5107451988599449E-2</v>
      </c>
      <c r="AL27" s="28">
        <v>2</v>
      </c>
      <c r="AM27" s="176">
        <f>((($W$25)^Q27)*((1-($W$25))^($U$32-Q27))*HLOOKUP($U$32,$AV$24:$BF$34,Q27+1))*V32</f>
        <v>3.7485390746448508E-2</v>
      </c>
      <c r="AN27" s="28">
        <v>2</v>
      </c>
      <c r="AO27" s="176">
        <f>((($W$25)^Q27)*((1-($W$25))^($U$33-Q27))*HLOOKUP($U$33,$AV$24:$BF$34,Q27+1))*V33</f>
        <v>1.3513271042490706E-2</v>
      </c>
      <c r="AP27" s="28">
        <v>2</v>
      </c>
      <c r="AQ27" s="176">
        <f>((($W$25)^Q27)*((1-($W$25))^($U$34-Q27))*HLOOKUP($U$34,$AV$24:$BF$34,Q27+1))*V34</f>
        <v>2.7962282054788687E-3</v>
      </c>
      <c r="AR27" s="28">
        <v>2</v>
      </c>
      <c r="AS27" s="176">
        <f>((($W$25)^Q27)*((1-($W$25))^($U$35-Q27))*HLOOKUP($U$35,$AV$24:$BF$34,Q27+1))*V35</f>
        <v>2.5887337241313463E-4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7"/>
        <v>2</v>
      </c>
      <c r="BJ27" s="31">
        <v>7</v>
      </c>
      <c r="BK27" s="107">
        <f t="shared" si="18"/>
        <v>2.8629130287368382E-2</v>
      </c>
      <c r="BQ27" s="31">
        <f>BQ21+1</f>
        <v>7</v>
      </c>
      <c r="BR27" s="31">
        <v>3</v>
      </c>
      <c r="BS27" s="107">
        <f t="shared" si="19"/>
        <v>2.7266762881778439E-4</v>
      </c>
    </row>
    <row r="28" spans="1:71" x14ac:dyDescent="0.25">
      <c r="A28" s="26" t="s">
        <v>111</v>
      </c>
      <c r="B28" s="275">
        <v>0.9</v>
      </c>
      <c r="C28" s="276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0.21277929200640597</v>
      </c>
      <c r="I28" s="138">
        <v>3</v>
      </c>
      <c r="J28" s="86">
        <f t="shared" si="20"/>
        <v>0.11651924413027481</v>
      </c>
      <c r="K28" s="138">
        <v>3</v>
      </c>
      <c r="L28" s="86">
        <f>AE18</f>
        <v>1.7005813666251007E-2</v>
      </c>
      <c r="M28" s="85">
        <v>3</v>
      </c>
      <c r="N28" s="173">
        <f>(($B$24)^M28)*((1-($B$24))^($B$21-M28))*HLOOKUP($B$21,$AV$24:$BF$34,M28+1)</f>
        <v>0.3125</v>
      </c>
      <c r="O28" s="72">
        <v>3</v>
      </c>
      <c r="P28" s="173">
        <f t="shared" si="21"/>
        <v>0.3125</v>
      </c>
      <c r="Q28" s="28">
        <v>3</v>
      </c>
      <c r="R28" s="174">
        <f>P25*N28+P26*N27+P27*N26+P28*N25</f>
        <v>0.1171875</v>
      </c>
      <c r="S28" s="72">
        <v>3</v>
      </c>
      <c r="T28" s="175">
        <f t="shared" si="22"/>
        <v>0</v>
      </c>
      <c r="U28" s="138">
        <v>3</v>
      </c>
      <c r="V28" s="86">
        <f>R28*T25+R27*T26+R26*T27+R25*T28</f>
        <v>0.1168212890625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2.6278573144405764E-3</v>
      </c>
      <c r="AF28" s="28">
        <v>3</v>
      </c>
      <c r="AG28" s="176">
        <f>((($W$25)^M28)*((1-($W$25))^($U$29-M28))*HLOOKUP($U$29,$AV$24:$BF$34,M28+1))*V29</f>
        <v>1.3215310189646728E-2</v>
      </c>
      <c r="AH28" s="28">
        <v>3</v>
      </c>
      <c r="AI28" s="176">
        <f>((($W$25)^M28)*((1-($W$25))^($U$30-M28))*HLOOKUP($U$30,$AV$24:$BF$34,M28+1))*V30</f>
        <v>2.8491679987707214E-2</v>
      </c>
      <c r="AJ28" s="28">
        <v>3</v>
      </c>
      <c r="AK28" s="176">
        <f>((($W$25)^M28)*((1-($W$25))^($U$31-M28))*HLOOKUP($U$31,$AV$24:$BF$34,M28+1))*V31</f>
        <v>3.4143876191924771E-2</v>
      </c>
      <c r="AL28" s="28">
        <v>3</v>
      </c>
      <c r="AM28" s="176">
        <f>((($W$25)^Q28)*((1-($W$25))^($U$32-Q28))*HLOOKUP($U$32,$AV$24:$BF$34,Q28+1))*V32</f>
        <v>2.4572773575841499E-2</v>
      </c>
      <c r="AN28" s="28">
        <v>3</v>
      </c>
      <c r="AO28" s="176">
        <f>((($W$25)^Q28)*((1-($W$25))^($U$33-Q28))*HLOOKUP($U$33,$AV$24:$BF$34,Q28+1))*V33</f>
        <v>1.0630014829259102E-2</v>
      </c>
      <c r="AP28" s="28">
        <v>3</v>
      </c>
      <c r="AQ28" s="176">
        <f>((($W$25)^Q28)*((1-($W$25))^($U$34-Q28))*HLOOKUP($U$34,$AV$24:$BF$34,Q28+1))*V34</f>
        <v>2.5662134945885081E-3</v>
      </c>
      <c r="AR28" s="28">
        <v>3</v>
      </c>
      <c r="AS28" s="176">
        <f>((($W$25)^Q28)*((1-($W$25))^($U$35-Q28))*HLOOKUP($U$35,$AV$24:$BF$34,Q28+1))*V35</f>
        <v>2.7151854686642725E-4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3">BE27+BE28</f>
        <v>210</v>
      </c>
      <c r="BI28" s="31">
        <f t="shared" si="17"/>
        <v>2</v>
      </c>
      <c r="BJ28" s="31">
        <v>8</v>
      </c>
      <c r="BK28" s="107">
        <f t="shared" si="18"/>
        <v>1.1968348542859591E-2</v>
      </c>
      <c r="BQ28" s="31">
        <f>BQ22+1</f>
        <v>7</v>
      </c>
      <c r="BR28" s="31">
        <v>4</v>
      </c>
      <c r="BS28" s="107">
        <f t="shared" si="19"/>
        <v>4.0417506421676846E-4</v>
      </c>
    </row>
    <row r="29" spans="1:71" x14ac:dyDescent="0.25">
      <c r="A29" s="26" t="s">
        <v>112</v>
      </c>
      <c r="B29" s="169">
        <f>1/(1+EXP(-3.1416*4*((B14/(B14+C13))-(3.1416/6))))</f>
        <v>6.2199958135446112E-2</v>
      </c>
      <c r="C29" s="170">
        <f>1/(1+EXP(-3.1416*4*((C14/(C14+B13))-(3.1416/6))))</f>
        <v>6.2199958135446112E-2</v>
      </c>
      <c r="D29" s="167">
        <v>0.04</v>
      </c>
      <c r="E29" s="167">
        <v>0.04</v>
      </c>
      <c r="G29" s="87">
        <v>4</v>
      </c>
      <c r="H29" s="126">
        <f>J29*L25+J28*L26+J27*L27+J26*L28</f>
        <v>0.10463163857987159</v>
      </c>
      <c r="I29" s="138">
        <v>4</v>
      </c>
      <c r="J29" s="86">
        <f t="shared" si="20"/>
        <v>3.3566646621282149E-2</v>
      </c>
      <c r="K29" s="138">
        <v>4</v>
      </c>
      <c r="L29" s="86"/>
      <c r="M29" s="85">
        <v>4</v>
      </c>
      <c r="N29" s="173">
        <f>(($B$24)^M29)*((1-($B$24))^($B$21-M29))*HLOOKUP($B$21,$AV$24:$BF$34,M29+1)</f>
        <v>0.15625</v>
      </c>
      <c r="O29" s="72">
        <v>4</v>
      </c>
      <c r="P29" s="173">
        <f t="shared" si="21"/>
        <v>0.15625</v>
      </c>
      <c r="Q29" s="28">
        <v>4</v>
      </c>
      <c r="R29" s="174">
        <f>P25*N29+P26*N28+P27*N27+P28*N26+P29*N25</f>
        <v>0.205078125</v>
      </c>
      <c r="S29" s="72">
        <v>4</v>
      </c>
      <c r="T29" s="175">
        <f t="shared" si="22"/>
        <v>0</v>
      </c>
      <c r="U29" s="138">
        <v>4</v>
      </c>
      <c r="V29" s="86">
        <f>T29*R25+T28*R26+T27*R27+T26*R28+T25*R29</f>
        <v>0.20463867187499998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1.2994535413324991E-3</v>
      </c>
      <c r="AH29" s="28">
        <v>4</v>
      </c>
      <c r="AI29" s="176">
        <f>((($W$25)^M29)*((1-($W$25))^($U$30-M29))*HLOOKUP($U$30,$AV$24:$BF$34,M29+1))*V30</f>
        <v>5.6031396807535916E-3</v>
      </c>
      <c r="AJ29" s="28">
        <v>4</v>
      </c>
      <c r="AK29" s="176">
        <f>((($W$25)^M29)*((1-($W$25))^($U$31-M29))*HLOOKUP($U$31,$AV$24:$BF$34,M29+1))*V31</f>
        <v>1.0072040730570494E-2</v>
      </c>
      <c r="AL29" s="28">
        <v>4</v>
      </c>
      <c r="AM29" s="176">
        <f>((($W$25)^Q29)*((1-($W$25))^($U$32-Q29))*HLOOKUP($U$32,$AV$24:$BF$34,Q29+1))*V32</f>
        <v>9.6649044737533978E-3</v>
      </c>
      <c r="AN29" s="28">
        <v>4</v>
      </c>
      <c r="AO29" s="176">
        <f>((($W$25)^Q29)*((1-($W$25))^($U$33-Q29))*HLOOKUP($U$33,$AV$24:$BF$34,Q29+1))*V33</f>
        <v>5.2262149794710857E-3</v>
      </c>
      <c r="AP29" s="28">
        <v>4</v>
      </c>
      <c r="AQ29" s="176">
        <f>((($W$25)^Q29)*((1-($W$25))^($U$34-Q29))*HLOOKUP($U$34,$AV$24:$BF$34,Q29+1))*V34</f>
        <v>1.5140054219706935E-3</v>
      </c>
      <c r="AR29" s="28">
        <v>4</v>
      </c>
      <c r="AS29" s="176">
        <f>((($W$25)^Q29)*((1-($W$25))^($U$35-Q29))*HLOOKUP($U$35,$AV$24:$BF$34,Q29+1))*V35</f>
        <v>1.8688779343039037E-4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3"/>
        <v>252</v>
      </c>
      <c r="BI29" s="31">
        <f t="shared" si="17"/>
        <v>2</v>
      </c>
      <c r="BJ29" s="31">
        <v>9</v>
      </c>
      <c r="BK29" s="107">
        <f t="shared" si="18"/>
        <v>3.6673079526153068E-3</v>
      </c>
      <c r="BQ29" s="31">
        <f>BQ23+1</f>
        <v>7</v>
      </c>
      <c r="BR29" s="31">
        <v>5</v>
      </c>
      <c r="BS29" s="107">
        <f t="shared" si="19"/>
        <v>4.2335347817114462E-4</v>
      </c>
    </row>
    <row r="30" spans="1:71" x14ac:dyDescent="0.25">
      <c r="A30" s="26" t="s">
        <v>113</v>
      </c>
      <c r="B30" s="275">
        <f>IF(B17="TL",0.55,0.15)</f>
        <v>0.15</v>
      </c>
      <c r="C30" s="276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3.6909073977471021E-2</v>
      </c>
      <c r="I30" s="138">
        <v>5</v>
      </c>
      <c r="J30" s="86">
        <f t="shared" si="20"/>
        <v>6.6343357195268009E-3</v>
      </c>
      <c r="K30" s="138">
        <v>5</v>
      </c>
      <c r="L30" s="86"/>
      <c r="M30" s="85">
        <v>5</v>
      </c>
      <c r="N30" s="173">
        <f>(($B$24)^M30)*((1-($B$24))^($B$21-M30))*HLOOKUP($B$21,$AV$24:$BF$34,M30+1)</f>
        <v>3.125E-2</v>
      </c>
      <c r="O30" s="72">
        <v>5</v>
      </c>
      <c r="P30" s="173">
        <f t="shared" si="21"/>
        <v>3.125E-2</v>
      </c>
      <c r="Q30" s="28">
        <v>5</v>
      </c>
      <c r="R30" s="174">
        <f>P25*N30+P26*N29+P27*N28+P28*N27+P29*N26+P30*N25</f>
        <v>0.24609375</v>
      </c>
      <c r="S30" s="72">
        <v>5</v>
      </c>
      <c r="T30" s="175">
        <f t="shared" si="22"/>
        <v>0</v>
      </c>
      <c r="U30" s="138">
        <v>5</v>
      </c>
      <c r="V30" s="86">
        <f>T30*R25+T29*R26+T28*R27+T27*R28+T26*R29+T25*R30</f>
        <v>0.24588867187500002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4.4076269697793829E-4</v>
      </c>
      <c r="AJ30" s="28">
        <v>5</v>
      </c>
      <c r="AK30" s="176">
        <f>((($W$25)^M30)*((1-($W$25))^($U$31-M30))*HLOOKUP($U$31,$AV$24:$BF$34,M30+1))*V31</f>
        <v>1.5846043787653078E-3</v>
      </c>
      <c r="AL30" s="28">
        <v>5</v>
      </c>
      <c r="AM30" s="176">
        <f>((($W$25)^Q30)*((1-($W$25))^($U$32-Q30))*HLOOKUP($U$32,$AV$24:$BF$34,Q30+1))*V32</f>
        <v>2.2808262534583569E-3</v>
      </c>
      <c r="AN30" s="28">
        <v>5</v>
      </c>
      <c r="AO30" s="176">
        <f>((($W$25)^Q30)*((1-($W$25))^($U$33-Q30))*HLOOKUP($U$33,$AV$24:$BF$34,Q30+1))*V33</f>
        <v>1.6444498910142215E-3</v>
      </c>
      <c r="AP30" s="28">
        <v>5</v>
      </c>
      <c r="AQ30" s="176">
        <f>((($W$25)^Q30)*((1-($W$25))^($U$34-Q30))*HLOOKUP($U$34,$AV$24:$BF$34,Q30+1))*V34</f>
        <v>5.9548498792490743E-4</v>
      </c>
      <c r="AR30" s="28">
        <v>5</v>
      </c>
      <c r="AS30" s="176">
        <f>((($W$25)^Q30)*((1-($W$25))^($U$35-Q30))*HLOOKUP($U$35,$AV$24:$BF$34,Q30+1))*V35</f>
        <v>8.8207511386069115E-5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3"/>
        <v>210</v>
      </c>
      <c r="BI30" s="31">
        <f t="shared" si="17"/>
        <v>2</v>
      </c>
      <c r="BJ30" s="31">
        <v>10</v>
      </c>
      <c r="BK30" s="107">
        <f t="shared" si="18"/>
        <v>8.0247300046746596E-4</v>
      </c>
      <c r="BQ30" s="31">
        <f>BM10+1</f>
        <v>7</v>
      </c>
      <c r="BR30" s="31">
        <v>6</v>
      </c>
      <c r="BS30" s="107">
        <f t="shared" si="19"/>
        <v>3.2315585799353803E-4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0.28228854946744131</v>
      </c>
      <c r="C31" s="61">
        <f>(C25*E25)+(C26*E26)+(C27*E27)+(C28*E28)+(C29*E29)+(C30*E30)/(C25+C26+C27+C28+C29+C30)</f>
        <v>0.67275832555955561</v>
      </c>
      <c r="G31" s="87">
        <v>6</v>
      </c>
      <c r="H31" s="126">
        <f>J31*L25+J30*L26+J29*L27+J28*L28</f>
        <v>9.6115875593222426E-3</v>
      </c>
      <c r="I31" s="138">
        <v>6</v>
      </c>
      <c r="J31" s="86">
        <f t="shared" si="20"/>
        <v>9.1135518025398804E-4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0.205078125</v>
      </c>
      <c r="S31" s="72">
        <v>6</v>
      </c>
      <c r="T31" s="175">
        <f t="shared" si="22"/>
        <v>0</v>
      </c>
      <c r="U31" s="138">
        <v>6</v>
      </c>
      <c r="V31" s="86">
        <f>T31*R25+T30*R26+T29*R27+T28*R28+T27*R29+T26*R30+T25*R31</f>
        <v>0.20528320312499998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1.0387546676534513E-4</v>
      </c>
      <c r="AL31" s="28">
        <v>6</v>
      </c>
      <c r="AM31" s="176">
        <f>((($W$25)^Q31)*((1-($W$25))^($U$32-Q31))*HLOOKUP($U$32,$AV$24:$BF$34,Q31+1))*V32</f>
        <v>2.99029707179334E-4</v>
      </c>
      <c r="AN31" s="28">
        <v>6</v>
      </c>
      <c r="AO31" s="176">
        <f>((($W$25)^Q31)*((1-($W$25))^($U$33-Q31))*HLOOKUP($U$33,$AV$24:$BF$34,Q31+1))*V33</f>
        <v>3.2339554709754341E-4</v>
      </c>
      <c r="AP31" s="28">
        <v>6</v>
      </c>
      <c r="AQ31" s="176">
        <f>((($W$25)^Q31)*((1-($W$25))^($U$34-Q31))*HLOOKUP($U$34,$AV$24:$BF$34,Q31+1))*V34</f>
        <v>1.5614315320939062E-4</v>
      </c>
      <c r="AR31" s="28">
        <v>6</v>
      </c>
      <c r="AS31" s="176">
        <f>((($W$25)^Q31)*((1-($W$25))^($U$35-Q31))*HLOOKUP($U$35,$AV$24:$BF$34,Q31+1))*V35</f>
        <v>2.8911306002374981E-5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3"/>
        <v>120</v>
      </c>
      <c r="BI31" s="31">
        <f t="shared" ref="BI31:BI37" si="24">BI24+1</f>
        <v>3</v>
      </c>
      <c r="BJ31" s="31">
        <v>4</v>
      </c>
      <c r="BK31" s="107">
        <f t="shared" ref="BK31:BK37" si="25">$H$28*H43</f>
        <v>4.5967058655725937E-2</v>
      </c>
      <c r="BQ31" s="31">
        <f t="shared" ref="BQ31:BQ37" si="26">BQ24+1</f>
        <v>8</v>
      </c>
      <c r="BR31" s="31">
        <v>0</v>
      </c>
      <c r="BS31" s="107">
        <f t="shared" ref="BS31:BS38" si="27">$H$33*H39</f>
        <v>5.7625309176414863E-7</v>
      </c>
    </row>
    <row r="32" spans="1:71" x14ac:dyDescent="0.25">
      <c r="A32" s="26" t="s">
        <v>115</v>
      </c>
      <c r="B32" s="277">
        <f>IF(B17&lt;&gt;"TL",0.001,IF(B18&lt;5,0.1,IF(B18&lt;10,0.2,IF(B18&lt;14,0.3,0.35))))</f>
        <v>1E-3</v>
      </c>
      <c r="C32" s="278">
        <f>IF(C17&lt;&gt;"TL",0.001,IF(C18&lt;5,0.1,IF(C18&lt;10,0.2,IF(C18&lt;14,0.3,0.35))))</f>
        <v>1E-3</v>
      </c>
      <c r="G32" s="87">
        <v>7</v>
      </c>
      <c r="H32" s="126">
        <f>J32*L25+J31*L26+J30*L27+J29*L28</f>
        <v>1.8709068303628552E-3</v>
      </c>
      <c r="I32" s="138">
        <v>7</v>
      </c>
      <c r="J32" s="86">
        <f t="shared" si="20"/>
        <v>8.596211849690371E-5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0.1171875</v>
      </c>
      <c r="S32" s="72">
        <v>7</v>
      </c>
      <c r="T32" s="175">
        <f t="shared" si="22"/>
        <v>0</v>
      </c>
      <c r="U32" s="138">
        <v>7</v>
      </c>
      <c r="V32" s="86">
        <f>T32*R25+T31*R26+T30*R27+T29*R28+T28*R29+T27*R30+T26*R31+T25*R32</f>
        <v>0.117626953125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1.6801949789688508E-5</v>
      </c>
      <c r="AN32" s="28">
        <v>7</v>
      </c>
      <c r="AO32" s="176">
        <f>((($W$25)^Q32)*((1-($W$25))^($U$33-Q32))*HLOOKUP($U$33,$AV$24:$BF$34,Q32+1))*V33</f>
        <v>3.6342046385933742E-5</v>
      </c>
      <c r="AP32" s="28">
        <v>7</v>
      </c>
      <c r="AQ32" s="176">
        <f>((($W$25)^Q32)*((1-($W$25))^($U$34-Q32))*HLOOKUP($U$34,$AV$24:$BF$34,Q32+1))*V34</f>
        <v>2.632022194357885E-5</v>
      </c>
      <c r="AR32" s="28">
        <v>7</v>
      </c>
      <c r="AS32" s="176">
        <f>((($W$25)^Q32)*((1-($W$25))^($U$35-Q32))*HLOOKUP($U$35,$AV$24:$BF$34,Q32+1))*V35</f>
        <v>6.497900377702619E-6</v>
      </c>
      <c r="AV32" s="14">
        <v>8</v>
      </c>
      <c r="BD32" s="31">
        <v>1</v>
      </c>
      <c r="BE32" s="31">
        <v>9</v>
      </c>
      <c r="BF32" s="31">
        <f t="shared" si="23"/>
        <v>45</v>
      </c>
      <c r="BI32" s="31">
        <f t="shared" si="24"/>
        <v>3</v>
      </c>
      <c r="BJ32" s="31">
        <v>5</v>
      </c>
      <c r="BK32" s="107">
        <f t="shared" si="25"/>
        <v>4.8148230522112513E-2</v>
      </c>
      <c r="BQ32" s="31">
        <f t="shared" si="26"/>
        <v>8</v>
      </c>
      <c r="BR32" s="31">
        <v>1</v>
      </c>
      <c r="BS32" s="107">
        <f t="shared" si="27"/>
        <v>4.7906531088456568E-6</v>
      </c>
    </row>
    <row r="33" spans="1:71" x14ac:dyDescent="0.25">
      <c r="A33" s="26" t="s">
        <v>116</v>
      </c>
      <c r="B33" s="277">
        <f>IF(B17&lt;&gt;"CA",0.005,IF((B18-B16)&lt;0,0.1,0.1+0.048*(B18-B16)))</f>
        <v>5.0000000000000001E-3</v>
      </c>
      <c r="C33" s="278">
        <f>IF(C17&lt;&gt;"CA",0.005,IF((C18-C16)&lt;0,0.1,0.1+0.048*(C18-C16)))</f>
        <v>5.0000000000000001E-3</v>
      </c>
      <c r="G33" s="87">
        <v>8</v>
      </c>
      <c r="H33" s="126">
        <f>J33*L25+J32*L26+J31*L27+J30*L28</f>
        <v>2.7220263986240138E-4</v>
      </c>
      <c r="I33" s="138">
        <v>8</v>
      </c>
      <c r="J33" s="86">
        <f t="shared" si="20"/>
        <v>5.3331994879499605E-6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4.39453125E-2</v>
      </c>
      <c r="S33" s="72">
        <v>8</v>
      </c>
      <c r="T33" s="175">
        <f t="shared" si="22"/>
        <v>0</v>
      </c>
      <c r="U33" s="138">
        <v>8</v>
      </c>
      <c r="V33" s="86">
        <f>T33*R25+T32*R26+T31*R27+T30*R28+T29*R29+T28*R30+T27*R31+T26*R32+T25*R33</f>
        <v>4.43115234375E-2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1.7867458348601181E-6</v>
      </c>
      <c r="AP33" s="28">
        <v>8</v>
      </c>
      <c r="AQ33" s="176">
        <f>((($W$25)^Q33)*((1-($W$25))^($U$34-Q33))*HLOOKUP($U$34,$AV$24:$BF$34,Q33+1))*V34</f>
        <v>2.5880516705567523E-6</v>
      </c>
      <c r="AR33" s="28">
        <v>8</v>
      </c>
      <c r="AS33" s="176">
        <f>((($W$25)^Q33)*((1-($W$25))^($U$35-Q33))*HLOOKUP($U$35,$AV$24:$BF$34,Q33+1))*V35</f>
        <v>9.5840198253309035E-7</v>
      </c>
      <c r="AV33" s="29">
        <v>9</v>
      </c>
      <c r="BE33" s="31">
        <v>1</v>
      </c>
      <c r="BF33" s="31">
        <f t="shared" si="23"/>
        <v>10</v>
      </c>
      <c r="BI33" s="31">
        <f t="shared" si="24"/>
        <v>3</v>
      </c>
      <c r="BJ33" s="31">
        <v>6</v>
      </c>
      <c r="BK33" s="107">
        <f t="shared" si="25"/>
        <v>3.6752698507307169E-2</v>
      </c>
      <c r="BQ33" s="31">
        <f t="shared" si="26"/>
        <v>8</v>
      </c>
      <c r="BR33" s="31">
        <v>2</v>
      </c>
      <c r="BS33" s="107">
        <f t="shared" si="27"/>
        <v>1.7857324551647464E-5</v>
      </c>
    </row>
    <row r="34" spans="1:71" x14ac:dyDescent="0.25">
      <c r="A34" s="40" t="s">
        <v>117</v>
      </c>
      <c r="B34" s="56">
        <f>B23*2</f>
        <v>5</v>
      </c>
      <c r="C34" s="57">
        <f>C23*2</f>
        <v>5</v>
      </c>
      <c r="G34" s="87">
        <v>9</v>
      </c>
      <c r="H34" s="126">
        <f>J34*L25+J33*L26+J32*L27+J31*L28</f>
        <v>2.923827745920918E-5</v>
      </c>
      <c r="I34" s="138">
        <v>9</v>
      </c>
      <c r="J34" s="86">
        <f t="shared" si="20"/>
        <v>1.9687100373719795E-7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9.765625E-3</v>
      </c>
      <c r="S34" s="72">
        <v>9</v>
      </c>
      <c r="T34" s="175">
        <f t="shared" si="22"/>
        <v>0</v>
      </c>
      <c r="U34" s="138">
        <v>9</v>
      </c>
      <c r="V34" s="86">
        <f>T34*R25+T33*R26+T32*R27+T31*R28+T30*R29+T29*R30+T28*R31+T27*R32+T26*R33+T25*R34</f>
        <v>9.936523437499999E-3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1.1310292078555903E-7</v>
      </c>
      <c r="AR34" s="28">
        <v>9</v>
      </c>
      <c r="AS34" s="176">
        <f>((($W$25)^Q34)*((1-($W$25))^($U$35-Q34))*HLOOKUP($U$35,$AV$24:$BF$34,Q34+1))*V35</f>
        <v>8.3768082951638928E-8</v>
      </c>
      <c r="AV34" s="14">
        <v>10</v>
      </c>
      <c r="BF34" s="31">
        <f t="shared" si="23"/>
        <v>1</v>
      </c>
      <c r="BI34" s="31">
        <f t="shared" si="24"/>
        <v>3</v>
      </c>
      <c r="BJ34" s="31">
        <v>7</v>
      </c>
      <c r="BK34" s="107">
        <f t="shared" si="25"/>
        <v>2.0742232789414276E-2</v>
      </c>
      <c r="BQ34" s="31">
        <f t="shared" si="26"/>
        <v>8</v>
      </c>
      <c r="BR34" s="31">
        <v>3</v>
      </c>
      <c r="BS34" s="107">
        <f t="shared" si="27"/>
        <v>3.9671055321780746E-5</v>
      </c>
    </row>
    <row r="35" spans="1:71" ht="15.75" thickBot="1" x14ac:dyDescent="0.3">
      <c r="G35" s="88">
        <v>10</v>
      </c>
      <c r="H35" s="127">
        <f>J35*L25+J34*L26+J33*L27+J32*L28</f>
        <v>2.2543747620017132E-6</v>
      </c>
      <c r="I35" s="94">
        <v>10</v>
      </c>
      <c r="J35" s="89">
        <f t="shared" si="20"/>
        <v>3.2947461839350611E-9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9.765625E-4</v>
      </c>
      <c r="S35" s="72">
        <v>10</v>
      </c>
      <c r="T35" s="175">
        <f t="shared" si="22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1.0253906249999556E-3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3.2947461839350611E-9</v>
      </c>
      <c r="BI35" s="31">
        <f t="shared" si="24"/>
        <v>3</v>
      </c>
      <c r="BJ35" s="31">
        <v>8</v>
      </c>
      <c r="BK35" s="107">
        <f t="shared" si="25"/>
        <v>8.6712474004274134E-3</v>
      </c>
      <c r="BQ35" s="31">
        <f t="shared" si="26"/>
        <v>8</v>
      </c>
      <c r="BR35" s="31">
        <v>4</v>
      </c>
      <c r="BS35" s="107">
        <f t="shared" si="27"/>
        <v>5.8804381736648261E-5</v>
      </c>
    </row>
    <row r="36" spans="1:71" ht="15.75" x14ac:dyDescent="0.25">
      <c r="A36" s="283" t="s">
        <v>118</v>
      </c>
      <c r="B36" s="182">
        <f>SUM(BO4:BO14)</f>
        <v>8.7617061021976042E-2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</v>
      </c>
      <c r="BI36" s="31">
        <f t="shared" si="24"/>
        <v>3</v>
      </c>
      <c r="BJ36" s="31">
        <v>9</v>
      </c>
      <c r="BK36" s="107">
        <f t="shared" si="25"/>
        <v>2.6570194239249876E-3</v>
      </c>
      <c r="BQ36" s="31">
        <f t="shared" si="26"/>
        <v>8</v>
      </c>
      <c r="BR36" s="31">
        <v>5</v>
      </c>
      <c r="BS36" s="107">
        <f t="shared" si="27"/>
        <v>6.1594694339089635E-5</v>
      </c>
    </row>
    <row r="37" spans="1:71" ht="16.5" thickBot="1" x14ac:dyDescent="0.3">
      <c r="A37" s="110" t="s">
        <v>119</v>
      </c>
      <c r="B37" s="182">
        <f>SUM(BK4:BK59)</f>
        <v>0.83847230301501652</v>
      </c>
      <c r="G37" s="157"/>
      <c r="H37" s="229">
        <f>SUM(H39:H49)</f>
        <v>0.99955585355662901</v>
      </c>
      <c r="I37" s="230"/>
      <c r="J37" s="229">
        <f>SUM(J39:J49)</f>
        <v>1.0000000000000002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1</v>
      </c>
      <c r="S37" s="230"/>
      <c r="T37" s="229">
        <f>SUM(T39:T49)</f>
        <v>1</v>
      </c>
      <c r="U37" s="230"/>
      <c r="V37" s="171">
        <f>SUM(V39:V48)</f>
        <v>0.99887438476562496</v>
      </c>
      <c r="W37" s="157"/>
      <c r="X37" s="157"/>
      <c r="Y37" s="168">
        <f>SUM(Y39:Y49)</f>
        <v>9.6198718261718752E-4</v>
      </c>
      <c r="Z37" s="81"/>
      <c r="AA37" s="168">
        <f>SUM(AA39:AA49)</f>
        <v>9.6343741455078135E-3</v>
      </c>
      <c r="AB37" s="81"/>
      <c r="AC37" s="168">
        <f>SUM(AC39:AC49)</f>
        <v>4.3434519287109383E-2</v>
      </c>
      <c r="AD37" s="81"/>
      <c r="AE37" s="168">
        <f>SUM(AE39:AE49)</f>
        <v>0.11609179516601563</v>
      </c>
      <c r="AF37" s="81"/>
      <c r="AG37" s="168">
        <f>SUM(AG39:AG49)</f>
        <v>0.20376086730957033</v>
      </c>
      <c r="AH37" s="81"/>
      <c r="AI37" s="168">
        <f>SUM(AI39:AI49)</f>
        <v>0.24547500769042968</v>
      </c>
      <c r="AJ37" s="81"/>
      <c r="AK37" s="168">
        <f>SUM(AK39:AK49)</f>
        <v>0.20568721142578125</v>
      </c>
      <c r="AL37" s="81"/>
      <c r="AM37" s="168">
        <f>SUM(AM39:AM49)</f>
        <v>0.11850233935546876</v>
      </c>
      <c r="AN37" s="81"/>
      <c r="AO37" s="168">
        <f>SUM(AO39:AO49)</f>
        <v>4.504503625488282E-2</v>
      </c>
      <c r="AP37" s="81"/>
      <c r="AQ37" s="168">
        <f>SUM(AQ39:AQ49)</f>
        <v>1.0281246948242189E-2</v>
      </c>
      <c r="AR37" s="81"/>
      <c r="AS37" s="168">
        <f>SUM(AS39:AS49)</f>
        <v>1.1256152343750436E-3</v>
      </c>
      <c r="BI37" s="31">
        <f t="shared" si="24"/>
        <v>3</v>
      </c>
      <c r="BJ37" s="31">
        <v>10</v>
      </c>
      <c r="BK37" s="107">
        <f t="shared" si="25"/>
        <v>5.8140368274686987E-4</v>
      </c>
      <c r="BQ37" s="31">
        <f t="shared" si="26"/>
        <v>8</v>
      </c>
      <c r="BR37" s="31">
        <v>6</v>
      </c>
      <c r="BS37" s="107">
        <f t="shared" si="27"/>
        <v>4.7016706660790856E-5</v>
      </c>
    </row>
    <row r="38" spans="1:71" ht="16.5" thickBot="1" x14ac:dyDescent="0.3">
      <c r="A38" s="111" t="s">
        <v>120</v>
      </c>
      <c r="B38" s="182">
        <f>SUM(BS4:BS47)</f>
        <v>7.3464120282633147E-2</v>
      </c>
      <c r="G38" s="103" t="str">
        <f t="shared" ref="G38:AS38" si="28">G24</f>
        <v>G</v>
      </c>
      <c r="H38" s="104" t="str">
        <f t="shared" si="28"/>
        <v>p</v>
      </c>
      <c r="I38" s="103" t="str">
        <f t="shared" si="28"/>
        <v>GT</v>
      </c>
      <c r="J38" s="105" t="str">
        <f t="shared" si="28"/>
        <v>p(x)</v>
      </c>
      <c r="K38" s="106" t="str">
        <f t="shared" si="28"/>
        <v>EE(x)</v>
      </c>
      <c r="L38" s="105" t="str">
        <f t="shared" si="28"/>
        <v>p</v>
      </c>
      <c r="M38" s="90" t="str">
        <f t="shared" si="28"/>
        <v>OcaS</v>
      </c>
      <c r="N38" s="30" t="str">
        <f t="shared" si="28"/>
        <v>P</v>
      </c>
      <c r="O38" s="30" t="str">
        <f t="shared" si="28"/>
        <v>O_CA</v>
      </c>
      <c r="P38" s="30" t="str">
        <f t="shared" si="28"/>
        <v>p</v>
      </c>
      <c r="Q38" s="30" t="str">
        <f t="shared" si="28"/>
        <v>TotalN</v>
      </c>
      <c r="R38" s="30" t="str">
        <f t="shared" si="28"/>
        <v>p</v>
      </c>
      <c r="S38" s="30" t="str">
        <f t="shared" si="28"/>
        <v>OcaCA</v>
      </c>
      <c r="T38" s="139" t="str">
        <f t="shared" si="28"/>
        <v>p</v>
      </c>
      <c r="U38" s="140" t="str">
        <f t="shared" si="28"/>
        <v>Total</v>
      </c>
      <c r="V38" s="141" t="str">
        <f t="shared" si="28"/>
        <v>P</v>
      </c>
      <c r="W38" s="90" t="str">
        <f t="shared" si="28"/>
        <v>E(x)</v>
      </c>
      <c r="X38" s="30" t="str">
        <f t="shared" si="28"/>
        <v>G0</v>
      </c>
      <c r="Y38" s="30" t="str">
        <f t="shared" si="28"/>
        <v>p</v>
      </c>
      <c r="Z38" s="30" t="str">
        <f t="shared" si="28"/>
        <v>G1</v>
      </c>
      <c r="AA38" s="30" t="str">
        <f t="shared" si="28"/>
        <v>p</v>
      </c>
      <c r="AB38" s="30" t="str">
        <f t="shared" si="28"/>
        <v>G2</v>
      </c>
      <c r="AC38" s="30" t="str">
        <f t="shared" si="28"/>
        <v>p</v>
      </c>
      <c r="AD38" s="30" t="str">
        <f t="shared" si="28"/>
        <v>G3</v>
      </c>
      <c r="AE38" s="30" t="str">
        <f t="shared" si="28"/>
        <v>p</v>
      </c>
      <c r="AF38" s="30" t="str">
        <f t="shared" si="28"/>
        <v>G4</v>
      </c>
      <c r="AG38" s="30" t="str">
        <f t="shared" si="28"/>
        <v>p</v>
      </c>
      <c r="AH38" s="30" t="str">
        <f t="shared" si="28"/>
        <v>G5</v>
      </c>
      <c r="AI38" s="30" t="str">
        <f t="shared" si="28"/>
        <v>p</v>
      </c>
      <c r="AJ38" s="30" t="str">
        <f t="shared" si="28"/>
        <v>G6</v>
      </c>
      <c r="AK38" s="30" t="str">
        <f t="shared" si="28"/>
        <v>p</v>
      </c>
      <c r="AL38" s="30" t="str">
        <f t="shared" si="28"/>
        <v>G7</v>
      </c>
      <c r="AM38" s="30" t="str">
        <f t="shared" si="28"/>
        <v>p</v>
      </c>
      <c r="AN38" s="30" t="str">
        <f t="shared" si="28"/>
        <v>G8</v>
      </c>
      <c r="AO38" s="30" t="str">
        <f t="shared" si="28"/>
        <v>p</v>
      </c>
      <c r="AP38" s="30" t="str">
        <f t="shared" si="28"/>
        <v>G9</v>
      </c>
      <c r="AQ38" s="30" t="str">
        <f t="shared" si="28"/>
        <v>p</v>
      </c>
      <c r="AR38" s="30" t="str">
        <f t="shared" si="28"/>
        <v>G10</v>
      </c>
      <c r="AS38" s="30" t="str">
        <f t="shared" si="28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9">BI32+1</f>
        <v>4</v>
      </c>
      <c r="BJ38" s="31">
        <v>5</v>
      </c>
      <c r="BK38" s="107">
        <f t="shared" ref="BK38:BK43" si="30">$H$29*H44</f>
        <v>2.3676308943157628E-2</v>
      </c>
      <c r="BQ38" s="31">
        <f>BM11+1</f>
        <v>8</v>
      </c>
      <c r="BR38" s="31">
        <v>7</v>
      </c>
      <c r="BS38" s="107">
        <f t="shared" si="27"/>
        <v>2.6534962442440337E-5</v>
      </c>
    </row>
    <row r="39" spans="1:71" x14ac:dyDescent="0.25">
      <c r="G39" s="128">
        <v>0</v>
      </c>
      <c r="H39" s="129">
        <f>L39*J39</f>
        <v>2.1170003790391047E-3</v>
      </c>
      <c r="I39" s="97">
        <v>0</v>
      </c>
      <c r="J39" s="98">
        <f t="shared" ref="J39:J49" si="31">Y39+AA39+AC39+AE39+AG39+AI39+AK39+AM39+AO39+AQ39+AS39</f>
        <v>1.6398726728122089E-2</v>
      </c>
      <c r="K39" s="102">
        <v>0</v>
      </c>
      <c r="L39" s="98">
        <f>AH18</f>
        <v>0.12909541174368569</v>
      </c>
      <c r="M39" s="85">
        <v>0</v>
      </c>
      <c r="N39" s="173">
        <f>(1-$C$24)^$B$21</f>
        <v>3.125E-2</v>
      </c>
      <c r="O39" s="72">
        <v>0</v>
      </c>
      <c r="P39" s="173">
        <f t="shared" ref="P39:P44" si="32">N39</f>
        <v>3.125E-2</v>
      </c>
      <c r="Q39" s="28">
        <v>0</v>
      </c>
      <c r="R39" s="174">
        <f>P39*N39</f>
        <v>9.765625E-4</v>
      </c>
      <c r="S39" s="72">
        <v>0</v>
      </c>
      <c r="T39" s="175">
        <f>(1-$C$33)^(INT(B23*2*(1-B31)))</f>
        <v>0.98507487500000002</v>
      </c>
      <c r="U39" s="138">
        <v>0</v>
      </c>
      <c r="V39" s="86">
        <f>R39*T39</f>
        <v>9.6198718261718752E-4</v>
      </c>
      <c r="W39" s="134">
        <f>C31</f>
        <v>0.67275832555955561</v>
      </c>
      <c r="X39" s="28">
        <v>0</v>
      </c>
      <c r="Y39" s="176">
        <f>V39</f>
        <v>9.6198718261718752E-4</v>
      </c>
      <c r="Z39" s="28">
        <v>0</v>
      </c>
      <c r="AA39" s="176">
        <f>((1-W39)^Z40)*V40</f>
        <v>3.1527687275617025E-3</v>
      </c>
      <c r="AB39" s="28">
        <v>0</v>
      </c>
      <c r="AC39" s="176">
        <f>(((1-$W$39)^AB41))*V41</f>
        <v>4.6512772963077202E-3</v>
      </c>
      <c r="AD39" s="28">
        <v>0</v>
      </c>
      <c r="AE39" s="176">
        <f>(((1-$W$39)^AB42))*V42</f>
        <v>4.0682473058697476E-3</v>
      </c>
      <c r="AF39" s="28">
        <v>0</v>
      </c>
      <c r="AG39" s="176">
        <f>(((1-$W$39)^AB43))*V43</f>
        <v>2.3366582846844099E-3</v>
      </c>
      <c r="AH39" s="28">
        <v>0</v>
      </c>
      <c r="AI39" s="176">
        <f>(((1-$W$39)^AB44))*V44</f>
        <v>9.2119233008251561E-4</v>
      </c>
      <c r="AJ39" s="28">
        <v>0</v>
      </c>
      <c r="AK39" s="176">
        <f>(((1-$W$39)^AB45))*V45</f>
        <v>2.5259161377901013E-4</v>
      </c>
      <c r="AL39" s="28">
        <v>0</v>
      </c>
      <c r="AM39" s="176">
        <f>(((1-$W$39)^AB46))*V46</f>
        <v>4.7621949186226034E-5</v>
      </c>
      <c r="AN39" s="28">
        <v>0</v>
      </c>
      <c r="AO39" s="176">
        <f>(((1-$W$39)^AB47))*V47</f>
        <v>5.9237372977568796E-6</v>
      </c>
      <c r="AP39" s="28">
        <v>0</v>
      </c>
      <c r="AQ39" s="176">
        <f>(((1-$W$39)^AB48))*V48</f>
        <v>4.4244902924754704E-7</v>
      </c>
      <c r="AR39" s="28">
        <v>0</v>
      </c>
      <c r="AS39" s="176">
        <f>(((1-$W$39)^AB49))*V49</f>
        <v>1.5851706564575541E-8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9"/>
        <v>4</v>
      </c>
      <c r="BJ39" s="31">
        <v>6</v>
      </c>
      <c r="BK39" s="107">
        <f t="shared" si="30"/>
        <v>1.8072694155480962E-2</v>
      </c>
      <c r="BQ39" s="31">
        <f t="shared" ref="BQ39:BQ46" si="33">BQ31+1</f>
        <v>9</v>
      </c>
      <c r="BR39" s="31">
        <v>0</v>
      </c>
      <c r="BS39" s="107">
        <f t="shared" ref="BS39:BS47" si="34">$H$34*H39</f>
        <v>6.189744446359635E-8</v>
      </c>
    </row>
    <row r="40" spans="1:71" x14ac:dyDescent="0.25">
      <c r="G40" s="91">
        <v>1</v>
      </c>
      <c r="H40" s="130">
        <f>L39*J40+L40*J39</f>
        <v>1.7599583572250936E-2</v>
      </c>
      <c r="I40" s="138">
        <v>1</v>
      </c>
      <c r="J40" s="86">
        <f t="shared" si="31"/>
        <v>8.3288661818144122E-2</v>
      </c>
      <c r="K40" s="95">
        <v>1</v>
      </c>
      <c r="L40" s="86">
        <f>AI18</f>
        <v>0.41755677710724071</v>
      </c>
      <c r="M40" s="85">
        <v>1</v>
      </c>
      <c r="N40" s="173">
        <f>(($C$24)^M26)*((1-($C$24))^($B$21-M26))*HLOOKUP($B$21,$AV$24:$BF$34,M26+1)</f>
        <v>0.15625</v>
      </c>
      <c r="O40" s="72">
        <v>1</v>
      </c>
      <c r="P40" s="173">
        <f t="shared" si="32"/>
        <v>0.15625</v>
      </c>
      <c r="Q40" s="28">
        <v>1</v>
      </c>
      <c r="R40" s="174">
        <f>P40*N39+P39*N40</f>
        <v>9.765625E-3</v>
      </c>
      <c r="S40" s="72">
        <v>1</v>
      </c>
      <c r="T40" s="175">
        <f t="shared" ref="T40:T49" si="35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9.6343741455078135E-3</v>
      </c>
      <c r="W40" s="177"/>
      <c r="X40" s="28">
        <v>1</v>
      </c>
      <c r="Y40" s="174"/>
      <c r="Z40" s="28">
        <v>1</v>
      </c>
      <c r="AA40" s="176">
        <f>(1-((1-W39)^Z40))*V40</f>
        <v>6.4816054179461114E-3</v>
      </c>
      <c r="AB40" s="28">
        <v>1</v>
      </c>
      <c r="AC40" s="176">
        <f>((($W$39)^M40)*((1-($W$39))^($U$27-M40))*HLOOKUP($U$27,$AV$24:$BF$34,M40+1))*V41</f>
        <v>1.912461504744346E-2</v>
      </c>
      <c r="AD40" s="28">
        <v>1</v>
      </c>
      <c r="AE40" s="176">
        <f>((($W$39)^M40)*((1-($W$39))^($U$28-M40))*HLOOKUP($U$28,$AV$24:$BF$34,M40+1))*V42</f>
        <v>2.5091063815197618E-2</v>
      </c>
      <c r="AF40" s="28">
        <v>1</v>
      </c>
      <c r="AG40" s="176">
        <f>((($W$39)^M40)*((1-($W$39))^($U$29-M40))*HLOOKUP($U$29,$AV$24:$BF$34,M40+1))*V43</f>
        <v>1.9215233728370876E-2</v>
      </c>
      <c r="AH40" s="28">
        <v>1</v>
      </c>
      <c r="AI40" s="176">
        <f>((($W$39)^M40)*((1-($W$39))^($U$30-M40))*HLOOKUP($U$30,$AV$24:$BF$34,M40+1))*V44</f>
        <v>9.4691455567864537E-3</v>
      </c>
      <c r="AJ40" s="28">
        <v>1</v>
      </c>
      <c r="AK40" s="176">
        <f>((($W$39)^M40)*((1-($W$39))^($U$31-M40))*HLOOKUP($U$31,$AV$24:$BF$34,M40+1))*V45</f>
        <v>3.1157360032506394E-3</v>
      </c>
      <c r="AL40" s="28">
        <v>1</v>
      </c>
      <c r="AM40" s="176">
        <f>((($W$39)^Q40)*((1-($W$39))^($U$32-Q40))*HLOOKUP($U$32,$AV$24:$BF$34,Q40+1))*V46</f>
        <v>6.8532359133148416E-4</v>
      </c>
      <c r="AN40" s="28">
        <v>1</v>
      </c>
      <c r="AO40" s="176">
        <f>((($W$39)^Q40)*((1-($W$39))^($U$33-Q40))*HLOOKUP($U$33,$AV$24:$BF$34,Q40+1))*V47</f>
        <v>9.7426309587445657E-5</v>
      </c>
      <c r="AP40" s="28">
        <v>1</v>
      </c>
      <c r="AQ40" s="176">
        <f>((($W$39)^Q40)*((1-($W$39))^($U$34-Q40))*HLOOKUP($U$34,$AV$24:$BF$34,Q40+1))*V48</f>
        <v>8.1864616331005381E-6</v>
      </c>
      <c r="AR40" s="28">
        <v>1</v>
      </c>
      <c r="AS40" s="176">
        <f>((($W$39)^Q40)*((1-($W$39))^($U$35-Q40))*HLOOKUP($U$35,$AV$24:$BF$34,Q40+1))*V49</f>
        <v>3.2588659692810904E-7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9"/>
        <v>4</v>
      </c>
      <c r="BJ40" s="31">
        <v>7</v>
      </c>
      <c r="BK40" s="107">
        <f t="shared" si="30"/>
        <v>1.0199741638844335E-2</v>
      </c>
      <c r="BQ40" s="31">
        <f t="shared" si="33"/>
        <v>9</v>
      </c>
      <c r="BR40" s="31">
        <v>1</v>
      </c>
      <c r="BS40" s="107">
        <f t="shared" si="34"/>
        <v>5.1458150765201267E-7</v>
      </c>
    </row>
    <row r="41" spans="1:71" x14ac:dyDescent="0.25">
      <c r="G41" s="91">
        <v>2</v>
      </c>
      <c r="H41" s="130">
        <f>L39*J41+J40*L40+J39*L41</f>
        <v>6.5603054256469936E-2</v>
      </c>
      <c r="I41" s="138">
        <v>2</v>
      </c>
      <c r="J41" s="86">
        <f t="shared" si="31"/>
        <v>0.19044330645887322</v>
      </c>
      <c r="K41" s="95">
        <v>2</v>
      </c>
      <c r="L41" s="86">
        <f>AJ18</f>
        <v>0.38051442044416584</v>
      </c>
      <c r="M41" s="85">
        <v>2</v>
      </c>
      <c r="N41" s="173">
        <f>(($C$24)^M27)*((1-($C$24))^($B$21-M27))*HLOOKUP($B$21,$AV$24:$BF$34,M27+1)</f>
        <v>0.3125</v>
      </c>
      <c r="O41" s="72">
        <v>2</v>
      </c>
      <c r="P41" s="173">
        <f t="shared" si="32"/>
        <v>0.3125</v>
      </c>
      <c r="Q41" s="28">
        <v>2</v>
      </c>
      <c r="R41" s="174">
        <f>P41*N39+P40*N40+P39*N41</f>
        <v>4.39453125E-2</v>
      </c>
      <c r="S41" s="72">
        <v>2</v>
      </c>
      <c r="T41" s="175">
        <f t="shared" si="35"/>
        <v>7.4625000000000011E-5</v>
      </c>
      <c r="U41" s="138">
        <v>2</v>
      </c>
      <c r="V41" s="86">
        <f>R41*T39+T40*R40+R39*T41</f>
        <v>4.3434519287109383E-2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1.9658626943358203E-2</v>
      </c>
      <c r="AD41" s="28">
        <v>2</v>
      </c>
      <c r="AE41" s="176">
        <f>((($W$39)^M41)*((1-($W$39))^($U$28-M41))*HLOOKUP($U$28,$AV$24:$BF$34,M41+1))*V42</f>
        <v>5.158335076876764E-2</v>
      </c>
      <c r="AF41" s="28">
        <v>2</v>
      </c>
      <c r="AG41" s="176">
        <f>((($W$39)^M41)*((1-($W$39))^($U$29-M41))*HLOOKUP($U$29,$AV$24:$BF$34,M41+1))*V43</f>
        <v>5.9255327841901816E-2</v>
      </c>
      <c r="AH41" s="28">
        <v>2</v>
      </c>
      <c r="AI41" s="176">
        <f>((($W$39)^M41)*((1-($W$39))^($U$30-M41))*HLOOKUP($U$30,$AV$24:$BF$34,M41+1))*V44</f>
        <v>3.8934200664730655E-2</v>
      </c>
      <c r="AJ41" s="28">
        <v>2</v>
      </c>
      <c r="AK41" s="176">
        <f>((($W$39)^M41)*((1-($W$39))^($U$31-M41))*HLOOKUP($U$31,$AV$24:$BF$34,M41+1))*V45</f>
        <v>1.6013679645301444E-2</v>
      </c>
      <c r="AL41" s="28">
        <v>2</v>
      </c>
      <c r="AM41" s="176">
        <f>((($W$39)^Q41)*((1-($W$39))^($U$32-Q41))*HLOOKUP($U$32,$AV$24:$BF$34,Q41+1))*V46</f>
        <v>4.2267582748346392E-3</v>
      </c>
      <c r="AN41" s="28">
        <v>2</v>
      </c>
      <c r="AO41" s="176">
        <f>((($W$39)^Q41)*((1-($W$39))^($U$33-Q41))*HLOOKUP($U$33,$AV$24:$BF$34,Q41+1))*V47</f>
        <v>7.0102704233653153E-4</v>
      </c>
      <c r="AP41" s="28">
        <v>2</v>
      </c>
      <c r="AQ41" s="176">
        <f>((($W$39)^Q41)*((1-($W$39))^($U$34-Q41))*HLOOKUP($U$34,$AV$24:$BF$34,Q41+1))*V48</f>
        <v>6.732040141231574E-5</v>
      </c>
      <c r="AR41" s="28">
        <v>2</v>
      </c>
      <c r="AS41" s="176">
        <f>((($W$39)^Q41)*((1-($W$39))^($U$35-Q41))*HLOOKUP($U$35,$AV$24:$BF$34,Q41+1))*V49</f>
        <v>3.0148762299589279E-6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9"/>
        <v>4</v>
      </c>
      <c r="BJ41" s="31">
        <v>8</v>
      </c>
      <c r="BK41" s="107">
        <f t="shared" si="30"/>
        <v>4.2639808389382987E-3</v>
      </c>
      <c r="BQ41" s="31">
        <f t="shared" si="33"/>
        <v>9</v>
      </c>
      <c r="BR41" s="31">
        <v>2</v>
      </c>
      <c r="BS41" s="107">
        <f t="shared" si="34"/>
        <v>1.9181203025222217E-6</v>
      </c>
    </row>
    <row r="42" spans="1:71" ht="15" customHeight="1" x14ac:dyDescent="0.25">
      <c r="G42" s="91">
        <v>3</v>
      </c>
      <c r="H42" s="130">
        <f>J42*L39+J41*L40+L42*J39+L41*J40</f>
        <v>0.14574089120456177</v>
      </c>
      <c r="I42" s="138">
        <v>3</v>
      </c>
      <c r="J42" s="86">
        <f t="shared" si="31"/>
        <v>0.2582050418025405</v>
      </c>
      <c r="K42" s="95">
        <v>3</v>
      </c>
      <c r="L42" s="86">
        <f>AK18</f>
        <v>7.2833390704907797E-2</v>
      </c>
      <c r="M42" s="85">
        <v>3</v>
      </c>
      <c r="N42" s="173">
        <f>(($C$24)^M28)*((1-($C$24))^($B$21-M28))*HLOOKUP($B$21,$AV$24:$BF$34,M28+1)</f>
        <v>0.3125</v>
      </c>
      <c r="O42" s="72">
        <v>3</v>
      </c>
      <c r="P42" s="173">
        <f t="shared" si="32"/>
        <v>0.3125</v>
      </c>
      <c r="Q42" s="28">
        <v>3</v>
      </c>
      <c r="R42" s="174">
        <f>P42*N39+P41*N40+P40*N41+P39*N42</f>
        <v>0.1171875</v>
      </c>
      <c r="S42" s="72">
        <v>3</v>
      </c>
      <c r="T42" s="175">
        <f t="shared" si="35"/>
        <v>1.2500000000000002E-7</v>
      </c>
      <c r="U42" s="138">
        <v>3</v>
      </c>
      <c r="V42" s="86">
        <f>R42*T39+R41*T40+R40*T41+R39*T42</f>
        <v>0.11609179516601563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3.5349133276180625E-2</v>
      </c>
      <c r="AF42" s="28">
        <v>3</v>
      </c>
      <c r="AG42" s="176">
        <f>((($W$39)^M42)*((1-($W$39))^($U$29-M42))*HLOOKUP($U$29,$AV$24:$BF$34,M42+1))*V43</f>
        <v>8.1213199607630113E-2</v>
      </c>
      <c r="AH42" s="28">
        <v>3</v>
      </c>
      <c r="AI42" s="176">
        <f>((($W$39)^M42)*((1-($W$39))^($U$30-M42))*HLOOKUP($U$30,$AV$24:$BF$34,M42+1))*V44</f>
        <v>8.00427014407388E-2</v>
      </c>
      <c r="AJ42" s="28">
        <v>3</v>
      </c>
      <c r="AK42" s="176">
        <f>((($W$39)^M42)*((1-($W$39))^($U$31-M42))*HLOOKUP($U$31,$AV$24:$BF$34,M42+1))*V45</f>
        <v>4.3895535097077241E-2</v>
      </c>
      <c r="AL42" s="28">
        <v>3</v>
      </c>
      <c r="AM42" s="176">
        <f>((($W$39)^Q42)*((1-($W$39))^($U$32-Q42))*HLOOKUP($U$32,$AV$24:$BF$34,Q42+1))*V46</f>
        <v>1.4482603335822276E-2</v>
      </c>
      <c r="AN42" s="28">
        <v>3</v>
      </c>
      <c r="AO42" s="176">
        <f>((($W$39)^Q42)*((1-($W$39))^($U$33-Q42))*HLOOKUP($U$33,$AV$24:$BF$34,Q42+1))*V47</f>
        <v>2.8824065882239857E-3</v>
      </c>
      <c r="AP42" s="28">
        <v>3</v>
      </c>
      <c r="AQ42" s="176">
        <f>((($W$39)^Q42)*((1-($W$39))^($U$34-Q42))*HLOOKUP($U$34,$AV$24:$BF$34,Q42+1))*V48</f>
        <v>3.2293413754337739E-4</v>
      </c>
      <c r="AR42" s="28">
        <v>3</v>
      </c>
      <c r="AS42" s="176">
        <f>((($W$39)^Q42)*((1-($W$39))^($U$35-Q42))*HLOOKUP($U$35,$AV$24:$BF$34,Q42+1))*V49</f>
        <v>1.652831932407686E-5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6">BE41+BE42</f>
        <v>210</v>
      </c>
      <c r="BI42" s="31">
        <f t="shared" si="29"/>
        <v>4</v>
      </c>
      <c r="BJ42" s="31">
        <v>9</v>
      </c>
      <c r="BK42" s="107">
        <f t="shared" si="30"/>
        <v>1.306557106391012E-3</v>
      </c>
      <c r="BQ42" s="31">
        <f t="shared" si="33"/>
        <v>9</v>
      </c>
      <c r="BR42" s="31">
        <v>3</v>
      </c>
      <c r="BS42" s="107">
        <f t="shared" si="34"/>
        <v>4.2612126141913958E-6</v>
      </c>
    </row>
    <row r="43" spans="1:71" ht="15" customHeight="1" x14ac:dyDescent="0.25">
      <c r="G43" s="91">
        <v>4</v>
      </c>
      <c r="H43" s="130">
        <f>J43*L39+J42*L40+J41*L41+J40*L42</f>
        <v>0.21603163645427509</v>
      </c>
      <c r="I43" s="138">
        <v>4</v>
      </c>
      <c r="J43" s="86">
        <f t="shared" si="31"/>
        <v>0.22993653247059839</v>
      </c>
      <c r="K43" s="95">
        <v>4</v>
      </c>
      <c r="L43" s="86"/>
      <c r="M43" s="85">
        <v>4</v>
      </c>
      <c r="N43" s="173">
        <f>(($C$24)^M29)*((1-($C$24))^($B$21-M29))*HLOOKUP($B$21,$AV$24:$BF$34,M29+1)</f>
        <v>0.15625</v>
      </c>
      <c r="O43" s="72">
        <v>4</v>
      </c>
      <c r="P43" s="173">
        <f t="shared" si="32"/>
        <v>0.15625</v>
      </c>
      <c r="Q43" s="28">
        <v>4</v>
      </c>
      <c r="R43" s="174">
        <f>P43*N39+P42*N40+P41*N41+P40*N42+P39*N43</f>
        <v>0.205078125</v>
      </c>
      <c r="S43" s="72">
        <v>4</v>
      </c>
      <c r="T43" s="175">
        <f t="shared" si="35"/>
        <v>0</v>
      </c>
      <c r="U43" s="138">
        <v>4</v>
      </c>
      <c r="V43" s="86">
        <f>T43*R39+T42*R40+T41*R41+T40*R42+T39*R43</f>
        <v>0.20376086730957033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4.1740447846983122E-2</v>
      </c>
      <c r="AH43" s="28">
        <v>4</v>
      </c>
      <c r="AI43" s="176">
        <f>((($W$39)^M43)*((1-($W$39))^($U$30-M43))*HLOOKUP($U$30,$AV$24:$BF$34,M43+1))*V44</f>
        <v>8.2277713996257926E-2</v>
      </c>
      <c r="AJ43" s="28">
        <v>4</v>
      </c>
      <c r="AK43" s="176">
        <f>((($W$39)^M43)*((1-($W$39))^($U$31-M43))*HLOOKUP($U$31,$AV$24:$BF$34,M43+1))*V45</f>
        <v>6.7681828900489349E-2</v>
      </c>
      <c r="AL43" s="28">
        <v>4</v>
      </c>
      <c r="AM43" s="176">
        <f>((($W$39)^Q43)*((1-($W$39))^($U$32-Q43))*HLOOKUP($U$32,$AV$24:$BF$34,Q43+1))*V46</f>
        <v>2.9773994973626861E-2</v>
      </c>
      <c r="AN43" s="28">
        <v>4</v>
      </c>
      <c r="AO43" s="176">
        <f>((($W$39)^Q43)*((1-($W$39))^($U$33-Q43))*HLOOKUP($U$33,$AV$24:$BF$34,Q43+1))*V47</f>
        <v>7.407228286216927E-3</v>
      </c>
      <c r="AP43" s="28">
        <v>4</v>
      </c>
      <c r="AQ43" s="176">
        <f>((($W$39)^Q43)*((1-($W$39))^($U$34-Q43))*HLOOKUP($U$34,$AV$24:$BF$34,Q43+1))*V48</f>
        <v>9.9585404278592694E-4</v>
      </c>
      <c r="AR43" s="28">
        <v>4</v>
      </c>
      <c r="AS43" s="176">
        <f>((($W$39)^Q43)*((1-($W$39))^($U$35-Q43))*HLOOKUP($U$35,$AV$24:$BF$34,Q43+1))*V49</f>
        <v>5.9464424238257363E-5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6"/>
        <v>252</v>
      </c>
      <c r="BI43" s="31">
        <f t="shared" si="29"/>
        <v>4</v>
      </c>
      <c r="BJ43" s="31">
        <v>10</v>
      </c>
      <c r="BK43" s="107">
        <f t="shared" si="30"/>
        <v>2.858982160742661E-4</v>
      </c>
      <c r="BQ43" s="31">
        <f t="shared" si="33"/>
        <v>9</v>
      </c>
      <c r="BR43" s="31">
        <v>4</v>
      </c>
      <c r="BS43" s="107">
        <f t="shared" si="34"/>
        <v>6.3163929266171035E-6</v>
      </c>
    </row>
    <row r="44" spans="1:71" ht="15" customHeight="1" thickBot="1" x14ac:dyDescent="0.3">
      <c r="G44" s="91">
        <v>5</v>
      </c>
      <c r="H44" s="130">
        <f>J44*L39+J43*L40+J42*L41+J41*L42</f>
        <v>0.22628250177965134</v>
      </c>
      <c r="I44" s="138">
        <v>5</v>
      </c>
      <c r="J44" s="86">
        <f t="shared" si="31"/>
        <v>0.14059036268725228</v>
      </c>
      <c r="K44" s="95">
        <v>5</v>
      </c>
      <c r="L44" s="86"/>
      <c r="M44" s="85">
        <v>5</v>
      </c>
      <c r="N44" s="173">
        <f>(($C$24)^M30)*((1-($C$24))^($B$21-M30))*HLOOKUP($B$21,$AV$24:$BF$34,M30+1)</f>
        <v>3.125E-2</v>
      </c>
      <c r="O44" s="72">
        <v>5</v>
      </c>
      <c r="P44" s="173">
        <f t="shared" si="32"/>
        <v>3.125E-2</v>
      </c>
      <c r="Q44" s="28">
        <v>5</v>
      </c>
      <c r="R44" s="174">
        <f>P44*N39+P43*N40+P42*N41+P41*N42+P40*N43+P39*N44</f>
        <v>0.24609375</v>
      </c>
      <c r="S44" s="72">
        <v>5</v>
      </c>
      <c r="T44" s="175">
        <f t="shared" si="35"/>
        <v>0</v>
      </c>
      <c r="U44" s="138">
        <v>5</v>
      </c>
      <c r="V44" s="86">
        <f>T44*R39+T43*R40+T42*R41+T41*R42+T40*R43+T39*R44</f>
        <v>0.24547500769042968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3.3830053701833347E-2</v>
      </c>
      <c r="AJ44" s="28">
        <v>5</v>
      </c>
      <c r="AK44" s="176">
        <f>((($W$39)^M44)*((1-($W$39))^($U$31-M44))*HLOOKUP($U$31,$AV$24:$BF$34,M44+1))*V45</f>
        <v>5.5657353495406743E-2</v>
      </c>
      <c r="AL44" s="28">
        <v>5</v>
      </c>
      <c r="AM44" s="176">
        <f>((($W$39)^Q44)*((1-($W$39))^($U$32-Q44))*HLOOKUP($U$32,$AV$24:$BF$34,Q44+1))*V46</f>
        <v>3.672644024559521E-2</v>
      </c>
      <c r="AN44" s="28">
        <v>5</v>
      </c>
      <c r="AO44" s="176">
        <f>((($W$39)^Q44)*((1-($W$39))^($U$33-Q44))*HLOOKUP($U$33,$AV$24:$BF$34,Q44+1))*V47</f>
        <v>1.2182493583419421E-2</v>
      </c>
      <c r="AP44" s="28">
        <v>5</v>
      </c>
      <c r="AQ44" s="176">
        <f>((($W$39)^Q44)*((1-($W$39))^($U$34-Q44))*HLOOKUP($U$34,$AV$24:$BF$34,Q44+1))*V48</f>
        <v>2.0473220578398669E-3</v>
      </c>
      <c r="AR44" s="28">
        <v>5</v>
      </c>
      <c r="AS44" s="176">
        <f>((($W$39)^Q44)*((1-($W$39))^($U$35-Q44))*HLOOKUP($U$35,$AV$24:$BF$34,Q44+1))*V49</f>
        <v>1.466996031576916E-4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6"/>
        <v>210</v>
      </c>
      <c r="BI44" s="31">
        <f>BI39+1</f>
        <v>5</v>
      </c>
      <c r="BJ44" s="31">
        <v>6</v>
      </c>
      <c r="BK44" s="107">
        <f>$H$30*H45</f>
        <v>6.375188371418445E-3</v>
      </c>
      <c r="BQ44" s="31">
        <f t="shared" si="33"/>
        <v>9</v>
      </c>
      <c r="BR44" s="31">
        <v>5</v>
      </c>
      <c r="BS44" s="107">
        <f t="shared" si="34"/>
        <v>6.6161105711974412E-6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0.17272685777242217</v>
      </c>
      <c r="I45" s="138">
        <v>6</v>
      </c>
      <c r="J45" s="86">
        <f t="shared" si="31"/>
        <v>5.9818423044771037E-2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0.205078125</v>
      </c>
      <c r="S45" s="72">
        <v>6</v>
      </c>
      <c r="T45" s="175">
        <f t="shared" si="35"/>
        <v>0</v>
      </c>
      <c r="U45" s="138">
        <v>6</v>
      </c>
      <c r="V45" s="86">
        <f>T45*R39+T44*R40+T43*R41+T42*R42+T41*R43+T40*R44+T39*R45</f>
        <v>0.20568721142578125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1.9070486670476849E-2</v>
      </c>
      <c r="AL45" s="28">
        <v>6</v>
      </c>
      <c r="AM45" s="176">
        <f>((($W$39)^Q45)*((1-($W$39))^($U$32-Q45))*HLOOKUP($U$32,$AV$24:$BF$34,Q45+1))*V46</f>
        <v>2.5167962368727769E-2</v>
      </c>
      <c r="AN45" s="28">
        <v>6</v>
      </c>
      <c r="AO45" s="176">
        <f>((($W$39)^Q45)*((1-($W$39))^($U$33-Q45))*HLOOKUP($U$33,$AV$24:$BF$34,Q45+1))*V47</f>
        <v>1.2522662338676046E-2</v>
      </c>
      <c r="AP45" s="28">
        <v>6</v>
      </c>
      <c r="AQ45" s="176">
        <f>((($W$39)^Q45)*((1-($W$39))^($U$34-Q45))*HLOOKUP($U$34,$AV$24:$BF$34,Q45+1))*V48</f>
        <v>2.8059852337341601E-3</v>
      </c>
      <c r="AR45" s="28">
        <v>6</v>
      </c>
      <c r="AS45" s="176">
        <f>((($W$39)^Q45)*((1-($W$39))^($U$35-Q45))*HLOOKUP($U$35,$AV$24:$BF$34,Q45+1))*V49</f>
        <v>2.5132643315621203E-4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6"/>
        <v>120</v>
      </c>
      <c r="BI45" s="31">
        <f>BI40+1</f>
        <v>5</v>
      </c>
      <c r="BJ45" s="31">
        <v>7</v>
      </c>
      <c r="BK45" s="107">
        <f>$H$30*H46</f>
        <v>3.5979845466323295E-3</v>
      </c>
      <c r="BQ45" s="31">
        <f t="shared" si="33"/>
        <v>9</v>
      </c>
      <c r="BR45" s="31">
        <v>6</v>
      </c>
      <c r="BS45" s="107">
        <f t="shared" si="34"/>
        <v>5.0502357922074407E-6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9.7482384652308213E-2</v>
      </c>
      <c r="I46" s="138">
        <v>7</v>
      </c>
      <c r="J46" s="86">
        <f t="shared" si="31"/>
        <v>1.7514790020947545E-2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0.1171875</v>
      </c>
      <c r="S46" s="72">
        <v>7</v>
      </c>
      <c r="T46" s="175">
        <f t="shared" si="35"/>
        <v>0</v>
      </c>
      <c r="U46" s="138">
        <v>7</v>
      </c>
      <c r="V46" s="86">
        <f>T46*R39+T45*R40+T44*R41+T43*R42+T42*R43+T41*R44+T40*R45+T39*R46</f>
        <v>0.11850233935546875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7.3916346163442909E-3</v>
      </c>
      <c r="AN46" s="28">
        <v>7</v>
      </c>
      <c r="AO46" s="176">
        <f>((($W$39)^Q46)*((1-($W$39))^($U$33-Q46))*HLOOKUP($U$33,$AV$24:$BF$34,Q46+1))*V47</f>
        <v>7.3556168811156585E-3</v>
      </c>
      <c r="AP46" s="28">
        <v>7</v>
      </c>
      <c r="AQ46" s="176">
        <f>((($W$39)^Q46)*((1-($W$39))^($U$34-Q46))*HLOOKUP($U$34,$AV$24:$BF$34,Q46+1))*V48</f>
        <v>2.4722880560714361E-3</v>
      </c>
      <c r="AR46" s="28">
        <v>7</v>
      </c>
      <c r="AS46" s="176">
        <f>((($W$39)^Q46)*((1-($W$39))^($U$35-Q46))*HLOOKUP($U$35,$AV$24:$BF$34,Q46+1))*V49</f>
        <v>2.9525046741615943E-4</v>
      </c>
      <c r="AV46" s="14">
        <v>8</v>
      </c>
      <c r="BD46" s="31">
        <v>1</v>
      </c>
      <c r="BE46" s="31">
        <v>9</v>
      </c>
      <c r="BF46" s="31">
        <f t="shared" si="36"/>
        <v>45</v>
      </c>
      <c r="BI46" s="31">
        <f>BI41+1</f>
        <v>5</v>
      </c>
      <c r="BJ46" s="31">
        <v>8</v>
      </c>
      <c r="BK46" s="107">
        <f>$H$30*H47</f>
        <v>1.5041299778819324E-3</v>
      </c>
      <c r="BQ46" s="31">
        <f t="shared" si="33"/>
        <v>9</v>
      </c>
      <c r="BR46" s="31">
        <v>7</v>
      </c>
      <c r="BS46" s="107">
        <f t="shared" si="34"/>
        <v>2.8502170098495423E-6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4.0752308735787855E-2</v>
      </c>
      <c r="I47" s="138">
        <v>8</v>
      </c>
      <c r="J47" s="86">
        <f t="shared" si="31"/>
        <v>3.3885330649019887E-3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4.39453125E-2</v>
      </c>
      <c r="S47" s="72">
        <v>8</v>
      </c>
      <c r="T47" s="175">
        <f t="shared" si="35"/>
        <v>0</v>
      </c>
      <c r="U47" s="138">
        <v>8</v>
      </c>
      <c r="V47" s="86">
        <f>T47*R39+T46*R40+T45*R41+T44*R42+T43*R43+T42*R44+T41*R45+T40*R46+T39*R47</f>
        <v>4.5045036254882813E-2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1.890251488009045E-3</v>
      </c>
      <c r="AP47" s="28">
        <v>8</v>
      </c>
      <c r="AQ47" s="176">
        <f>((($W$39)^Q47)*((1-($W$39))^($U$34-Q47))*HLOOKUP($U$34,$AV$24:$BF$34,Q47+1))*V48</f>
        <v>1.2706605719973848E-3</v>
      </c>
      <c r="AR47" s="28">
        <v>8</v>
      </c>
      <c r="AS47" s="176">
        <f>((($W$39)^Q47)*((1-($W$39))^($U$35-Q47))*HLOOKUP($U$35,$AV$24:$BF$34,Q47+1))*V49</f>
        <v>2.2762100489555909E-4</v>
      </c>
      <c r="AV47" s="29">
        <v>9</v>
      </c>
      <c r="BE47" s="31">
        <v>1</v>
      </c>
      <c r="BF47" s="31">
        <f t="shared" si="36"/>
        <v>10</v>
      </c>
      <c r="BI47" s="31">
        <f>BI42+1</f>
        <v>5</v>
      </c>
      <c r="BJ47" s="31">
        <v>9</v>
      </c>
      <c r="BK47" s="107">
        <f>$H$30*H48</f>
        <v>4.6089130926458931E-4</v>
      </c>
      <c r="BQ47" s="31">
        <f>BM12+1</f>
        <v>9</v>
      </c>
      <c r="BR47" s="31">
        <v>8</v>
      </c>
      <c r="BS47" s="107">
        <f t="shared" si="34"/>
        <v>1.1915273099203193E-6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1.2487208688733653E-2</v>
      </c>
      <c r="I48" s="138">
        <v>9</v>
      </c>
      <c r="J48" s="86">
        <f t="shared" si="31"/>
        <v>3.9424322949234403E-4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9.765625E-3</v>
      </c>
      <c r="S48" s="72">
        <v>9</v>
      </c>
      <c r="T48" s="175">
        <f t="shared" si="35"/>
        <v>0</v>
      </c>
      <c r="U48" s="138">
        <v>9</v>
      </c>
      <c r="V48" s="86">
        <f>T48*R39+T47*R40+T46*R41+T45*R42+T44*R43+T43*R44+T42*R45+T41*R46+T40*R47+T39*R48</f>
        <v>1.0281246948242189E-2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2.9025353619537367E-4</v>
      </c>
      <c r="AR48" s="28">
        <v>9</v>
      </c>
      <c r="AS48" s="176">
        <f>((($W$39)^Q48)*((1-($W$39))^($U$35-Q48))*HLOOKUP($U$35,$AV$24:$BF$34,Q48+1))*V49</f>
        <v>1.0398969329697035E-4</v>
      </c>
      <c r="AV48" s="14">
        <v>10</v>
      </c>
      <c r="BF48" s="31">
        <f t="shared" si="36"/>
        <v>1</v>
      </c>
      <c r="BI48" s="31">
        <f>BI43+1</f>
        <v>5</v>
      </c>
      <c r="BJ48" s="31">
        <v>10</v>
      </c>
      <c r="BK48" s="107">
        <f>$H$30*H49</f>
        <v>1.0085131562817805E-4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2.732426061128947E-3</v>
      </c>
      <c r="I49" s="94">
        <v>10</v>
      </c>
      <c r="J49" s="89">
        <f t="shared" si="31"/>
        <v>2.1378674356665328E-5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9.765625E-4</v>
      </c>
      <c r="S49" s="72">
        <v>10</v>
      </c>
      <c r="T49" s="175">
        <f t="shared" si="35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1.1256152343750436E-3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2.1378674356665328E-5</v>
      </c>
      <c r="BI49" s="31">
        <f>BQ14+1</f>
        <v>6</v>
      </c>
      <c r="BJ49" s="31">
        <v>0</v>
      </c>
      <c r="BK49" s="107">
        <f>$H$31*H39</f>
        <v>2.0347734506252732E-5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58"/>
      <c r="J50" s="258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58"/>
      <c r="X50" s="157"/>
      <c r="Y50" s="157"/>
      <c r="BI50" s="31">
        <f>BI45+1</f>
        <v>6</v>
      </c>
      <c r="BJ50" s="31">
        <v>7</v>
      </c>
      <c r="BK50" s="107">
        <f>$H$31*H46</f>
        <v>9.3696047557719115E-4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3.9169438365855772E-4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1.2002189968329299E-4</v>
      </c>
    </row>
    <row r="53" spans="1:63" x14ac:dyDescent="0.25">
      <c r="BI53" s="31">
        <f>BI48+1</f>
        <v>6</v>
      </c>
      <c r="BJ53" s="31">
        <v>10</v>
      </c>
      <c r="BK53" s="107">
        <f>$H$31*H49</f>
        <v>2.6262952335914864E-5</v>
      </c>
    </row>
    <row r="54" spans="1:63" x14ac:dyDescent="0.25">
      <c r="BI54" s="31">
        <f>BI51+1</f>
        <v>7</v>
      </c>
      <c r="BJ54" s="31">
        <v>8</v>
      </c>
      <c r="BK54" s="107">
        <f>$H$32*H47</f>
        <v>7.6243772766841343E-5</v>
      </c>
    </row>
    <row r="55" spans="1:63" x14ac:dyDescent="0.25">
      <c r="BI55" s="31">
        <f>BI52+1</f>
        <v>7</v>
      </c>
      <c r="BJ55" s="31">
        <v>9</v>
      </c>
      <c r="BK55" s="107">
        <f>$H$32*H48</f>
        <v>2.3362404027918185E-5</v>
      </c>
    </row>
    <row r="56" spans="1:63" x14ac:dyDescent="0.25">
      <c r="BI56" s="31">
        <f>BI53+1</f>
        <v>7</v>
      </c>
      <c r="BJ56" s="31">
        <v>10</v>
      </c>
      <c r="BK56" s="107">
        <f>$H$32*H49</f>
        <v>5.1121145812276198E-6</v>
      </c>
    </row>
    <row r="57" spans="1:63" x14ac:dyDescent="0.25">
      <c r="BI57" s="31">
        <f>BI55+1</f>
        <v>8</v>
      </c>
      <c r="BJ57" s="31">
        <v>9</v>
      </c>
      <c r="BK57" s="107">
        <f>$H$33*H48</f>
        <v>3.3990511695860159E-6</v>
      </c>
    </row>
    <row r="58" spans="1:63" x14ac:dyDescent="0.25">
      <c r="BI58" s="31">
        <f>BI56+1</f>
        <v>8</v>
      </c>
      <c r="BJ58" s="31">
        <v>10</v>
      </c>
      <c r="BK58" s="107">
        <f>$H$33*H49</f>
        <v>7.4377358706812271E-7</v>
      </c>
    </row>
    <row r="59" spans="1:63" x14ac:dyDescent="0.25">
      <c r="BI59" s="31">
        <f>BI58+1</f>
        <v>9</v>
      </c>
      <c r="BJ59" s="31">
        <v>10</v>
      </c>
      <c r="BK59" s="107">
        <f>$H$34*H49</f>
        <v>7.989143131206221E-8</v>
      </c>
    </row>
  </sheetData>
  <mergeCells count="1">
    <mergeCell ref="B3:C3"/>
  </mergeCells>
  <conditionalFormatting sqref="H49">
    <cfRule type="cellIs" dxfId="55" priority="1" operator="greaterThan">
      <formula>0.15</formula>
    </cfRule>
  </conditionalFormatting>
  <conditionalFormatting sqref="H39:H49">
    <cfRule type="cellIs" dxfId="54" priority="2" operator="greaterThan">
      <formula>0.15</formula>
    </cfRule>
  </conditionalFormatting>
  <conditionalFormatting sqref="H49">
    <cfRule type="cellIs" dxfId="53" priority="3" operator="greaterThan">
      <formula>0.15</formula>
    </cfRule>
  </conditionalFormatting>
  <conditionalFormatting sqref="H39:H49">
    <cfRule type="cellIs" dxfId="52" priority="4" operator="greaterThan">
      <formula>0.15</formula>
    </cfRule>
  </conditionalFormatting>
  <conditionalFormatting sqref="H35">
    <cfRule type="cellIs" dxfId="51" priority="5" operator="greaterThan">
      <formula>0.15</formula>
    </cfRule>
  </conditionalFormatting>
  <conditionalFormatting sqref="H25:H35">
    <cfRule type="cellIs" dxfId="50" priority="6" operator="greaterThan">
      <formula>0.15</formula>
    </cfRule>
  </conditionalFormatting>
  <conditionalFormatting sqref="H35">
    <cfRule type="cellIs" dxfId="49" priority="7" operator="greaterThan">
      <formula>0.15</formula>
    </cfRule>
  </conditionalFormatting>
  <conditionalFormatting sqref="H25:H35">
    <cfRule type="cellIs" dxfId="48" priority="8" operator="greaterThan">
      <formula>0.15</formula>
    </cfRule>
  </conditionalFormatting>
  <conditionalFormatting sqref="V49">
    <cfRule type="cellIs" dxfId="47" priority="9" operator="greaterThan">
      <formula>0.15</formula>
    </cfRule>
  </conditionalFormatting>
  <conditionalFormatting sqref="V35">
    <cfRule type="cellIs" dxfId="46" priority="10" operator="greaterThan">
      <formula>0.15</formula>
    </cfRule>
  </conditionalFormatting>
  <conditionalFormatting sqref="V25:V35 V39:V49">
    <cfRule type="cellIs" dxfId="45" priority="11" operator="greaterThan">
      <formula>0.15</formula>
    </cfRule>
  </conditionalFormatting>
  <conditionalFormatting sqref="V49">
    <cfRule type="cellIs" dxfId="44" priority="12" operator="greaterThan">
      <formula>0.15</formula>
    </cfRule>
  </conditionalFormatting>
  <conditionalFormatting sqref="V35">
    <cfRule type="cellIs" dxfId="43" priority="13" operator="greaterThan">
      <formula>0.15</formula>
    </cfRule>
  </conditionalFormatting>
  <conditionalFormatting sqref="V25:V35 V39:V49">
    <cfRule type="cellIs" dxfId="42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DF29-E2DE-4384-B127-BB7731412739}">
  <sheetPr>
    <tabColor rgb="FFFFFF00"/>
  </sheetPr>
  <dimension ref="A1:BS59"/>
  <sheetViews>
    <sheetView zoomScale="90" zoomScaleNormal="90" workbookViewId="0">
      <selection activeCell="AJ4" sqref="AJ4:AJ14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181" t="s">
        <v>137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3"/>
      <c r="Q1" s="293"/>
      <c r="R1" s="293"/>
      <c r="S1" s="186"/>
      <c r="T1" s="186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7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181" t="s">
        <v>139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3.5750000000000002</v>
      </c>
      <c r="O2" s="208"/>
      <c r="P2" s="210"/>
      <c r="Q2" s="210"/>
      <c r="R2" s="166">
        <f>SUM(R4:R15)</f>
        <v>1.6799999999999997</v>
      </c>
      <c r="S2" s="166">
        <f>SUM(S4:S15)</f>
        <v>3.5750000000000006</v>
      </c>
      <c r="T2" s="219">
        <f t="shared" ref="T2:U2" si="0">SUM(T4:T15)</f>
        <v>1.6724879535147399</v>
      </c>
      <c r="U2" s="219">
        <f t="shared" si="0"/>
        <v>0.83852395124716561</v>
      </c>
      <c r="V2" s="157"/>
      <c r="W2" s="157"/>
      <c r="X2" s="253">
        <f t="shared" ref="X2:Y2" si="1">SUM(X4:X15)</f>
        <v>0.83719143282312936</v>
      </c>
      <c r="Y2" s="254">
        <f t="shared" si="1"/>
        <v>0.50404156037414971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191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2" t="s">
        <v>5</v>
      </c>
      <c r="C3" s="292"/>
      <c r="D3" s="31" t="str">
        <f>IF(B3="Sol","SI",IF(B3="Lluvia","SI","NO"))</f>
        <v>SI</v>
      </c>
      <c r="E3" s="211"/>
      <c r="F3" s="212"/>
      <c r="G3" s="242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42" t="s">
        <v>151</v>
      </c>
      <c r="F4" s="242" t="s">
        <v>151</v>
      </c>
      <c r="G4" s="242" t="s">
        <v>151</v>
      </c>
      <c r="H4" s="242" t="s">
        <v>151</v>
      </c>
      <c r="I4" s="242" t="s">
        <v>151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0</v>
      </c>
      <c r="Q4" s="214">
        <f>COUNTIF(E8:I9,"IMP")</f>
        <v>0</v>
      </c>
      <c r="R4" s="221">
        <f t="shared" ref="R4:R15" si="2">IF(P4+Q4=0,0,N4)</f>
        <v>0</v>
      </c>
      <c r="S4" s="221">
        <f t="shared" ref="S4:S15" si="3">R4*$N$2/$R$2</f>
        <v>0</v>
      </c>
      <c r="T4" s="226">
        <f t="shared" ref="T4:T9" si="4">IF(S4=0,0,IF(Q4=0,S4*P4/L4,S4*P4/(L4*2)))</f>
        <v>0</v>
      </c>
      <c r="U4" s="228">
        <f t="shared" ref="U4:U9" si="5">IF(S4=0,0,IF(P4=0,S4*Q4/L4,S4*Q4/(L4*2)))</f>
        <v>0</v>
      </c>
      <c r="V4" s="218">
        <f>$G$17</f>
        <v>0.56999999999999995</v>
      </c>
      <c r="W4" s="216">
        <f>$H$17</f>
        <v>0.56999999999999995</v>
      </c>
      <c r="X4" s="251">
        <f>V4*T4</f>
        <v>0</v>
      </c>
      <c r="Y4" s="252">
        <f>W4*U4</f>
        <v>0</v>
      </c>
      <c r="Z4" s="190"/>
      <c r="AA4" s="244">
        <f t="shared" ref="AA4:AA14" si="6">X5</f>
        <v>0</v>
      </c>
      <c r="AB4" s="245">
        <f t="shared" ref="AB4:AB15" si="7">(1-AA4)</f>
        <v>1</v>
      </c>
      <c r="AC4" s="245">
        <f>AA4*AB3*PRODUCT(AB5:AB17)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</v>
      </c>
      <c r="AH4" s="247">
        <f t="shared" ref="AH4:AH15" si="8">(1-AG4)</f>
        <v>1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9">$H$25*H40</f>
        <v>3.312916540316675E-3</v>
      </c>
      <c r="BM4" s="31">
        <v>0</v>
      </c>
      <c r="BN4" s="31">
        <v>0</v>
      </c>
      <c r="BO4" s="107">
        <f>H25*H39</f>
        <v>4.9015589173713285E-4</v>
      </c>
      <c r="BQ4" s="31">
        <v>1</v>
      </c>
      <c r="BR4" s="31">
        <v>0</v>
      </c>
      <c r="BS4" s="107">
        <f>$H$26*H39</f>
        <v>1.2316117976385217E-3</v>
      </c>
    </row>
    <row r="5" spans="1:71" ht="15.75" x14ac:dyDescent="0.25">
      <c r="A5" s="40" t="s">
        <v>26</v>
      </c>
      <c r="B5" s="154">
        <v>352</v>
      </c>
      <c r="C5" s="154">
        <v>352</v>
      </c>
      <c r="E5" s="242" t="s">
        <v>1</v>
      </c>
      <c r="F5" s="242" t="s">
        <v>151</v>
      </c>
      <c r="G5" s="242" t="s">
        <v>138</v>
      </c>
      <c r="H5" s="242" t="s">
        <v>151</v>
      </c>
      <c r="I5" s="242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10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0</v>
      </c>
      <c r="R5" s="221">
        <f t="shared" si="2"/>
        <v>0</v>
      </c>
      <c r="S5" s="221">
        <f t="shared" si="3"/>
        <v>0</v>
      </c>
      <c r="T5" s="226">
        <f t="shared" si="4"/>
        <v>0</v>
      </c>
      <c r="U5" s="228">
        <f t="shared" si="5"/>
        <v>0</v>
      </c>
      <c r="V5" s="218">
        <f>$G$17</f>
        <v>0.56999999999999995</v>
      </c>
      <c r="W5" s="216">
        <f>$H$17</f>
        <v>0.56999999999999995</v>
      </c>
      <c r="X5" s="251">
        <f t="shared" ref="X5:Y15" si="11">V5*T5</f>
        <v>0</v>
      </c>
      <c r="Y5" s="252">
        <f t="shared" si="11"/>
        <v>0</v>
      </c>
      <c r="Z5" s="199"/>
      <c r="AA5" s="244">
        <f t="shared" si="6"/>
        <v>0</v>
      </c>
      <c r="AB5" s="245">
        <f t="shared" si="7"/>
        <v>1</v>
      </c>
      <c r="AC5" s="245">
        <f>AA5*PRODUCT(AB3:AB4)*PRODUCT(AB6:AB17)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5" si="12">Y5</f>
        <v>0</v>
      </c>
      <c r="AH5" s="247">
        <f t="shared" si="8"/>
        <v>1</v>
      </c>
      <c r="AI5" s="247">
        <f>AG5*PRODUCT(AH3:AH4)*PRODUCT(AH6:AH17)</f>
        <v>0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9"/>
        <v>1.0240944872970474E-2</v>
      </c>
      <c r="BM5" s="31">
        <v>1</v>
      </c>
      <c r="BN5" s="31">
        <v>1</v>
      </c>
      <c r="BO5" s="107">
        <f>$H$26*H40</f>
        <v>8.3243457121066483E-3</v>
      </c>
      <c r="BQ5" s="31">
        <f>BQ4+1</f>
        <v>2</v>
      </c>
      <c r="BR5" s="31">
        <v>0</v>
      </c>
      <c r="BS5" s="107">
        <f>$H$27*H39</f>
        <v>1.4028311690083171E-3</v>
      </c>
    </row>
    <row r="6" spans="1:71" ht="15.75" x14ac:dyDescent="0.25">
      <c r="A6" s="2" t="s">
        <v>31</v>
      </c>
      <c r="B6" s="232">
        <v>10</v>
      </c>
      <c r="C6" s="233">
        <v>11</v>
      </c>
      <c r="E6" s="211"/>
      <c r="F6" s="242" t="s">
        <v>1</v>
      </c>
      <c r="G6" s="242" t="s">
        <v>151</v>
      </c>
      <c r="H6" s="242" t="s">
        <v>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10"/>
        <v>0.45</v>
      </c>
      <c r="O6" s="209" t="s">
        <v>33</v>
      </c>
      <c r="P6" s="212">
        <f>COUNTIF(E4:I6,"IMP")</f>
        <v>0</v>
      </c>
      <c r="Q6" s="214">
        <f>COUNTIF(E9:I11,"IMP")</f>
        <v>0</v>
      </c>
      <c r="R6" s="221">
        <f t="shared" si="2"/>
        <v>0</v>
      </c>
      <c r="S6" s="221">
        <f t="shared" si="3"/>
        <v>0</v>
      </c>
      <c r="T6" s="226">
        <f t="shared" si="4"/>
        <v>0</v>
      </c>
      <c r="U6" s="228">
        <f t="shared" si="5"/>
        <v>0</v>
      </c>
      <c r="V6" s="218">
        <f>$G$18</f>
        <v>0.45</v>
      </c>
      <c r="W6" s="216">
        <f>$H$18</f>
        <v>0.45</v>
      </c>
      <c r="X6" s="251">
        <f t="shared" si="11"/>
        <v>0</v>
      </c>
      <c r="Y6" s="252">
        <f t="shared" si="11"/>
        <v>0</v>
      </c>
      <c r="Z6" s="199"/>
      <c r="AA6" s="244">
        <f t="shared" si="6"/>
        <v>0</v>
      </c>
      <c r="AB6" s="245">
        <f t="shared" si="7"/>
        <v>1</v>
      </c>
      <c r="AC6" s="245">
        <f>AA6*PRODUCT(AB3:AB5)*PRODUCT(AB7:AB17)</f>
        <v>0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183"/>
      <c r="AF6" s="197"/>
      <c r="AG6" s="246">
        <f t="shared" si="12"/>
        <v>0</v>
      </c>
      <c r="AH6" s="247">
        <f t="shared" si="8"/>
        <v>1</v>
      </c>
      <c r="AI6" s="247">
        <f>AG6*PRODUCT(AH3:AH5)*PRODUCT(AH7:AH17)</f>
        <v>0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9"/>
        <v>1.9154551098705209E-2</v>
      </c>
      <c r="BM6" s="31">
        <f>BI14+1</f>
        <v>2</v>
      </c>
      <c r="BN6" s="31">
        <v>2</v>
      </c>
      <c r="BO6" s="107">
        <f>$H$27*H41</f>
        <v>2.9309688835900922E-2</v>
      </c>
      <c r="BQ6" s="31">
        <f>BM5+1</f>
        <v>2</v>
      </c>
      <c r="BR6" s="31">
        <v>1</v>
      </c>
      <c r="BS6" s="107">
        <f>$H$27*H40</f>
        <v>9.48160097924893E-3</v>
      </c>
    </row>
    <row r="7" spans="1:71" ht="15.75" x14ac:dyDescent="0.25">
      <c r="A7" s="5" t="s">
        <v>36</v>
      </c>
      <c r="B7" s="232">
        <v>10</v>
      </c>
      <c r="C7" s="233">
        <v>12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0.02</v>
      </c>
      <c r="N7" s="222">
        <f t="shared" si="10"/>
        <v>0.02</v>
      </c>
      <c r="O7" s="209" t="s">
        <v>169</v>
      </c>
      <c r="P7" s="212">
        <f>COUNTIF(E9:I9,"IMP")+COUNTIF(F10:H10,"IMP")</f>
        <v>0</v>
      </c>
      <c r="Q7" s="214">
        <f>COUNTIF(E4:I4,"IMP")+COUNTIF(F5:H5,"IMP")</f>
        <v>0</v>
      </c>
      <c r="R7" s="221">
        <f t="shared" si="2"/>
        <v>0</v>
      </c>
      <c r="S7" s="221">
        <f t="shared" si="3"/>
        <v>0</v>
      </c>
      <c r="T7" s="226">
        <f t="shared" si="4"/>
        <v>0</v>
      </c>
      <c r="U7" s="228">
        <f t="shared" si="5"/>
        <v>0</v>
      </c>
      <c r="V7" s="218">
        <f>$G$18</f>
        <v>0.45</v>
      </c>
      <c r="W7" s="216">
        <f>$H$18</f>
        <v>0.45</v>
      </c>
      <c r="X7" s="251">
        <f t="shared" si="11"/>
        <v>0</v>
      </c>
      <c r="Y7" s="252">
        <f t="shared" si="11"/>
        <v>0</v>
      </c>
      <c r="Z7" s="199"/>
      <c r="AA7" s="244">
        <f t="shared" si="6"/>
        <v>0.30323660714285722</v>
      </c>
      <c r="AB7" s="245">
        <f t="shared" si="7"/>
        <v>0.69676339285714284</v>
      </c>
      <c r="AC7" s="245">
        <f>AA7*PRODUCT(AB3:AB6)*PRODUCT(AB8:AB17)</f>
        <v>0.16651377767806427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0.11340878576683398</v>
      </c>
      <c r="AE7" s="183"/>
      <c r="AF7" s="197"/>
      <c r="AG7" s="246">
        <f t="shared" si="12"/>
        <v>0</v>
      </c>
      <c r="AH7" s="247">
        <f t="shared" si="8"/>
        <v>1</v>
      </c>
      <c r="AI7" s="247">
        <f>AG7*PRODUCT(AH3:AH6)*PRODUCT(AH8:AH17)</f>
        <v>0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9"/>
        <v>2.416410198603625E-2</v>
      </c>
      <c r="BM7" s="31">
        <f>BI23+1</f>
        <v>3</v>
      </c>
      <c r="BN7" s="31">
        <v>3</v>
      </c>
      <c r="BO7" s="107">
        <f>$H$28*H42</f>
        <v>3.7787784332545628E-2</v>
      </c>
      <c r="BQ7" s="31">
        <f>BQ5+1</f>
        <v>3</v>
      </c>
      <c r="BR7" s="31">
        <v>0</v>
      </c>
      <c r="BS7" s="107">
        <f>$H$28*H39</f>
        <v>9.6697150618901134E-4</v>
      </c>
    </row>
    <row r="8" spans="1:71" ht="15.75" x14ac:dyDescent="0.25">
      <c r="A8" s="5" t="s">
        <v>39</v>
      </c>
      <c r="B8" s="232">
        <v>10</v>
      </c>
      <c r="C8" s="233">
        <v>12</v>
      </c>
      <c r="E8" s="213"/>
      <c r="F8" s="214"/>
      <c r="G8" s="243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10"/>
        <v>0.5</v>
      </c>
      <c r="O8" s="209" t="s">
        <v>170</v>
      </c>
      <c r="P8" s="212">
        <f>COUNTIF(E5:I6,"RAP")</f>
        <v>4</v>
      </c>
      <c r="Q8" s="214">
        <f>COUNTIF(E10:I11,"RAP")</f>
        <v>0</v>
      </c>
      <c r="R8" s="221">
        <f t="shared" si="2"/>
        <v>0.5</v>
      </c>
      <c r="S8" s="221">
        <f t="shared" si="3"/>
        <v>1.0639880952380956</v>
      </c>
      <c r="T8" s="226">
        <f t="shared" si="4"/>
        <v>0.53199404761904778</v>
      </c>
      <c r="U8" s="228">
        <f t="shared" si="5"/>
        <v>0</v>
      </c>
      <c r="V8" s="218">
        <f>$G$17</f>
        <v>0.56999999999999995</v>
      </c>
      <c r="W8" s="216">
        <f>$H$17</f>
        <v>0.56999999999999995</v>
      </c>
      <c r="X8" s="251">
        <f t="shared" si="11"/>
        <v>0.30323660714285722</v>
      </c>
      <c r="Y8" s="252">
        <f t="shared" si="11"/>
        <v>0</v>
      </c>
      <c r="Z8" s="199"/>
      <c r="AA8" s="244">
        <f t="shared" si="6"/>
        <v>0.30323660714285722</v>
      </c>
      <c r="AB8" s="245">
        <f t="shared" si="7"/>
        <v>0.69676339285714284</v>
      </c>
      <c r="AC8" s="245">
        <f>AA8*PRODUCT(AB3:AB7)*PRODUCT(AB9:AB17)</f>
        <v>0.16651377767806425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4.0940752136960419E-2</v>
      </c>
      <c r="AE8" s="183"/>
      <c r="AF8" s="197"/>
      <c r="AG8" s="246">
        <f t="shared" si="12"/>
        <v>0</v>
      </c>
      <c r="AH8" s="247">
        <f t="shared" si="8"/>
        <v>1</v>
      </c>
      <c r="AI8" s="247">
        <f>AG8*PRODUCT(AH3:AH7)*PRODUCT(AH9:AH17)</f>
        <v>0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9"/>
        <v>2.1692666417673191E-2</v>
      </c>
      <c r="BM8" s="31">
        <f>BI31+1</f>
        <v>4</v>
      </c>
      <c r="BN8" s="31">
        <v>4</v>
      </c>
      <c r="BO8" s="107">
        <f>$H$29*H43</f>
        <v>2.2201567808692185E-2</v>
      </c>
      <c r="BQ8" s="31">
        <f>BQ6+1</f>
        <v>3</v>
      </c>
      <c r="BR8" s="31">
        <v>1</v>
      </c>
      <c r="BS8" s="107">
        <f>$H$28*H40</f>
        <v>6.535667429223754E-3</v>
      </c>
    </row>
    <row r="9" spans="1:71" ht="15.75" x14ac:dyDescent="0.25">
      <c r="A9" s="5" t="s">
        <v>42</v>
      </c>
      <c r="B9" s="232">
        <v>10</v>
      </c>
      <c r="C9" s="233">
        <v>12</v>
      </c>
      <c r="E9" s="243" t="s">
        <v>151</v>
      </c>
      <c r="F9" s="243" t="s">
        <v>151</v>
      </c>
      <c r="G9" s="243" t="s">
        <v>151</v>
      </c>
      <c r="H9" s="243" t="s">
        <v>151</v>
      </c>
      <c r="I9" s="243" t="s">
        <v>151</v>
      </c>
      <c r="J9" s="208"/>
      <c r="K9" s="209">
        <v>16</v>
      </c>
      <c r="L9" s="209">
        <v>8</v>
      </c>
      <c r="M9" s="222">
        <v>0.5</v>
      </c>
      <c r="N9" s="222">
        <f t="shared" si="10"/>
        <v>0.5</v>
      </c>
      <c r="O9" s="209" t="s">
        <v>171</v>
      </c>
      <c r="P9" s="212">
        <f>COUNTIF(E5:I6,"RAP")</f>
        <v>4</v>
      </c>
      <c r="Q9" s="214">
        <f>COUNTIF(E10:I11,"RAP")</f>
        <v>0</v>
      </c>
      <c r="R9" s="221">
        <f t="shared" si="2"/>
        <v>0.5</v>
      </c>
      <c r="S9" s="221">
        <f t="shared" si="3"/>
        <v>1.0639880952380956</v>
      </c>
      <c r="T9" s="226">
        <f t="shared" si="4"/>
        <v>0.53199404761904778</v>
      </c>
      <c r="U9" s="228">
        <f t="shared" si="5"/>
        <v>0</v>
      </c>
      <c r="V9" s="218">
        <f>$G$17</f>
        <v>0.56999999999999995</v>
      </c>
      <c r="W9" s="216">
        <f>$H$17</f>
        <v>0.56999999999999995</v>
      </c>
      <c r="X9" s="251">
        <f t="shared" si="11"/>
        <v>0.30323660714285722</v>
      </c>
      <c r="Y9" s="252">
        <f t="shared" si="11"/>
        <v>0</v>
      </c>
      <c r="Z9" s="199"/>
      <c r="AA9" s="244">
        <f t="shared" si="6"/>
        <v>6.8399234693877556E-2</v>
      </c>
      <c r="AB9" s="245">
        <f t="shared" si="7"/>
        <v>0.93160076530612246</v>
      </c>
      <c r="AC9" s="245">
        <f>AA9*PRODUCT(AB3:AB8)*PRODUCT(AB10:AB17)</f>
        <v>2.8091522398663849E-2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4.8443512948613508E-3</v>
      </c>
      <c r="AE9" s="183"/>
      <c r="AF9" s="197"/>
      <c r="AG9" s="246">
        <f t="shared" si="12"/>
        <v>0</v>
      </c>
      <c r="AH9" s="247">
        <f t="shared" si="8"/>
        <v>1</v>
      </c>
      <c r="AI9" s="247">
        <f>AG9*PRODUCT(AH3:AH8)*PRODUCT(AH10:AH17)</f>
        <v>0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0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9"/>
        <v>1.4245566223877853E-2</v>
      </c>
      <c r="BM9" s="31">
        <f>BI38+1</f>
        <v>5</v>
      </c>
      <c r="BN9" s="31">
        <v>5</v>
      </c>
      <c r="BO9" s="107">
        <f>$H$30*H44</f>
        <v>6.6139918370802606E-3</v>
      </c>
      <c r="BQ9" s="31">
        <f>BM6+1</f>
        <v>3</v>
      </c>
      <c r="BR9" s="31">
        <v>2</v>
      </c>
      <c r="BS9" s="107">
        <f>$H$28*H41</f>
        <v>2.0203168125796277E-2</v>
      </c>
    </row>
    <row r="10" spans="1:71" ht="15.75" x14ac:dyDescent="0.25">
      <c r="A10" s="6" t="s">
        <v>45</v>
      </c>
      <c r="B10" s="232">
        <v>9</v>
      </c>
      <c r="C10" s="233">
        <v>14</v>
      </c>
      <c r="E10" s="243" t="s">
        <v>151</v>
      </c>
      <c r="F10" s="243" t="s">
        <v>138</v>
      </c>
      <c r="G10" s="243" t="s">
        <v>151</v>
      </c>
      <c r="H10" s="243" t="s">
        <v>138</v>
      </c>
      <c r="I10" s="243" t="s">
        <v>151</v>
      </c>
      <c r="J10" s="208"/>
      <c r="K10" s="209">
        <v>18</v>
      </c>
      <c r="L10" s="209" t="s">
        <v>172</v>
      </c>
      <c r="M10" s="222">
        <v>0.15</v>
      </c>
      <c r="N10" s="222">
        <f t="shared" si="10"/>
        <v>0.15</v>
      </c>
      <c r="O10" s="209" t="s">
        <v>173</v>
      </c>
      <c r="P10" s="212">
        <v>1</v>
      </c>
      <c r="Q10" s="214">
        <v>1</v>
      </c>
      <c r="R10" s="221">
        <f t="shared" si="2"/>
        <v>0.15</v>
      </c>
      <c r="S10" s="221">
        <f t="shared" si="3"/>
        <v>0.3191964285714286</v>
      </c>
      <c r="T10" s="226">
        <f>S10*G13</f>
        <v>0.15199829931972789</v>
      </c>
      <c r="U10" s="228">
        <f>S10*G14</f>
        <v>0.16719812925170072</v>
      </c>
      <c r="V10" s="218">
        <f>$G$18</f>
        <v>0.45</v>
      </c>
      <c r="W10" s="216">
        <f>$H$18</f>
        <v>0.45</v>
      </c>
      <c r="X10" s="251">
        <f t="shared" si="11"/>
        <v>6.8399234693877556E-2</v>
      </c>
      <c r="Y10" s="252">
        <f t="shared" si="11"/>
        <v>7.5239158163265318E-2</v>
      </c>
      <c r="Z10" s="199"/>
      <c r="AA10" s="244">
        <f t="shared" si="6"/>
        <v>3.4959608843537417E-2</v>
      </c>
      <c r="AB10" s="245">
        <f t="shared" si="7"/>
        <v>0.96504039115646256</v>
      </c>
      <c r="AC10" s="245">
        <f>AA10*PRODUCT(AB3:AB9)*PRODUCT(AB11:AB17)</f>
        <v>1.3860373838941585E-2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1.888099104890299E-3</v>
      </c>
      <c r="AE10" s="183"/>
      <c r="AF10" s="197"/>
      <c r="AG10" s="246">
        <f t="shared" si="12"/>
        <v>7.5239158163265318E-2</v>
      </c>
      <c r="AH10" s="247">
        <f t="shared" si="8"/>
        <v>0.92476084183673468</v>
      </c>
      <c r="AI10" s="247">
        <f>AG10*PRODUCT(AH3:AH9)*PRODUCT(AH11:AH17)</f>
        <v>4.7122411477524759E-2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2.4143163269861885E-2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9"/>
        <v>6.9249772049390533E-3</v>
      </c>
      <c r="BM10" s="31">
        <f>BI44+1</f>
        <v>6</v>
      </c>
      <c r="BN10" s="31">
        <v>6</v>
      </c>
      <c r="BO10" s="107">
        <f>$H$31*H45</f>
        <v>1.055219911248025E-3</v>
      </c>
      <c r="BQ10" s="31">
        <f>BQ7+1</f>
        <v>4</v>
      </c>
      <c r="BR10" s="31">
        <v>0</v>
      </c>
      <c r="BS10" s="107">
        <f>$H$29*H39</f>
        <v>4.5034693503282153E-4</v>
      </c>
    </row>
    <row r="11" spans="1:71" ht="15.75" x14ac:dyDescent="0.25">
      <c r="A11" s="6" t="s">
        <v>48</v>
      </c>
      <c r="B11" s="232">
        <v>9</v>
      </c>
      <c r="C11" s="233">
        <v>14</v>
      </c>
      <c r="E11" s="213"/>
      <c r="F11" s="243" t="s">
        <v>138</v>
      </c>
      <c r="G11" s="243" t="s">
        <v>151</v>
      </c>
      <c r="H11" s="243" t="s">
        <v>151</v>
      </c>
      <c r="I11" s="213"/>
      <c r="J11" s="208"/>
      <c r="K11" s="209">
        <v>19</v>
      </c>
      <c r="L11" s="209" t="s">
        <v>172</v>
      </c>
      <c r="M11" s="222">
        <v>0.23</v>
      </c>
      <c r="N11" s="222">
        <f t="shared" si="10"/>
        <v>0.23</v>
      </c>
      <c r="O11" s="209" t="s">
        <v>174</v>
      </c>
      <c r="P11" s="212">
        <f>COUNTIF(E4:I6,"CAB")</f>
        <v>1</v>
      </c>
      <c r="Q11" s="214">
        <f>COUNTIF(E9:I11,"CAB")</f>
        <v>3</v>
      </c>
      <c r="R11" s="221">
        <f t="shared" si="2"/>
        <v>0.23</v>
      </c>
      <c r="S11" s="221">
        <f t="shared" si="3"/>
        <v>0.4894345238095239</v>
      </c>
      <c r="T11" s="226">
        <f>IF(P11&gt;0,S11*G13,0)</f>
        <v>0.23306405895691612</v>
      </c>
      <c r="U11" s="228">
        <f>IF(Q11&gt;0,S11*G14,0)</f>
        <v>0.25637046485260778</v>
      </c>
      <c r="V11" s="218">
        <f>IF(P11-Q11&gt;2,0.9,IF(P11-Q11&gt;1,0.75,IF(P11-Q11&gt;0,0.5,0.15)))</f>
        <v>0.15</v>
      </c>
      <c r="W11" s="216">
        <f>IF(Q11-P11&gt;2,0.9,IF(Q11-P11&gt;1,0.75,IF(Q11-P11&gt;0,0.5,0.15)))</f>
        <v>0.75</v>
      </c>
      <c r="X11" s="251">
        <f t="shared" si="11"/>
        <v>3.4959608843537417E-2</v>
      </c>
      <c r="Y11" s="252">
        <f t="shared" si="11"/>
        <v>0.19227784863945585</v>
      </c>
      <c r="Z11" s="199"/>
      <c r="AA11" s="244">
        <f t="shared" si="6"/>
        <v>0</v>
      </c>
      <c r="AB11" s="245">
        <f t="shared" si="7"/>
        <v>1</v>
      </c>
      <c r="AC11" s="245">
        <f>AA11*PRODUCT(AB3:AB10)*PRODUCT(AB12:AB17)</f>
        <v>0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183"/>
      <c r="AF11" s="197"/>
      <c r="AG11" s="246">
        <f t="shared" si="12"/>
        <v>0.19227784863945585</v>
      </c>
      <c r="AH11" s="247">
        <f t="shared" si="8"/>
        <v>0.80772215136054415</v>
      </c>
      <c r="AI11" s="247">
        <f>AG11*PRODUCT(AH3:AH10)*PRODUCT(AH12:AH17)</f>
        <v>0.1378733322509218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3.7818712497467141E-2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9"/>
        <v>2.4917902334399395E-3</v>
      </c>
      <c r="BM11" s="31">
        <f>BI50+1</f>
        <v>7</v>
      </c>
      <c r="BN11" s="31">
        <v>7</v>
      </c>
      <c r="BO11" s="107">
        <f>$H$32*H46</f>
        <v>9.2317781970380731E-5</v>
      </c>
      <c r="BQ11" s="31">
        <f>BQ8+1</f>
        <v>4</v>
      </c>
      <c r="BR11" s="31">
        <v>1</v>
      </c>
      <c r="BS11" s="107">
        <f>$H$29*H40</f>
        <v>3.0438516298632642E-3</v>
      </c>
    </row>
    <row r="12" spans="1:71" ht="15.75" x14ac:dyDescent="0.25">
      <c r="A12" s="6" t="s">
        <v>52</v>
      </c>
      <c r="B12" s="232">
        <v>9</v>
      </c>
      <c r="C12" s="233">
        <v>14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2.5000000000000001E-2</v>
      </c>
      <c r="N12" s="222">
        <f t="shared" si="10"/>
        <v>2.5000000000000001E-2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0</v>
      </c>
      <c r="R12" s="221">
        <f t="shared" si="2"/>
        <v>0</v>
      </c>
      <c r="S12" s="221">
        <f t="shared" si="3"/>
        <v>0</v>
      </c>
      <c r="T12" s="226">
        <f>IF(S12=0,0,IF(Q12=0,S12*P12/L12,S12*P12/(L12*2)))</f>
        <v>0</v>
      </c>
      <c r="U12" s="228">
        <f>IF(S12=0,0,IF(P12=0,S12*Q12/L12,S12*Q12/(L12*2)))</f>
        <v>0</v>
      </c>
      <c r="V12" s="218">
        <f>$G$18</f>
        <v>0.45</v>
      </c>
      <c r="W12" s="216">
        <f>$H$18</f>
        <v>0.45</v>
      </c>
      <c r="X12" s="251">
        <f t="shared" si="11"/>
        <v>0</v>
      </c>
      <c r="Y12" s="252">
        <f t="shared" si="11"/>
        <v>0</v>
      </c>
      <c r="Z12" s="199"/>
      <c r="AA12" s="244">
        <f t="shared" si="6"/>
        <v>5.4582589285714286E-2</v>
      </c>
      <c r="AB12" s="245">
        <f t="shared" si="7"/>
        <v>0.94541741071428576</v>
      </c>
      <c r="AC12" s="245">
        <f>AA12*PRODUCT(AB3:AB11)*PRODUCT(AB13:AB17)</f>
        <v>2.2089424848711934E-2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1.7337759818760986E-3</v>
      </c>
      <c r="AE12" s="183"/>
      <c r="AF12" s="197"/>
      <c r="AG12" s="246">
        <f t="shared" si="12"/>
        <v>0</v>
      </c>
      <c r="AH12" s="247">
        <f t="shared" si="8"/>
        <v>1</v>
      </c>
      <c r="AI12" s="247">
        <f>AG12*PRODUCT(AH3:AH11)*PRODUCT(AH13:AH17)</f>
        <v>0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9"/>
        <v>6.5610770189654757E-4</v>
      </c>
      <c r="BM12" s="31">
        <f>BI54+1</f>
        <v>8</v>
      </c>
      <c r="BN12" s="31">
        <v>8</v>
      </c>
      <c r="BO12" s="107">
        <f>$H$33*H47</f>
        <v>4.4289070536354976E-6</v>
      </c>
      <c r="BQ12" s="31">
        <f>BQ9+1</f>
        <v>4</v>
      </c>
      <c r="BR12" s="31">
        <v>2</v>
      </c>
      <c r="BS12" s="107">
        <f>$H$29*H41</f>
        <v>9.4092067710076863E-3</v>
      </c>
    </row>
    <row r="13" spans="1:71" ht="15.75" x14ac:dyDescent="0.25">
      <c r="A13" s="7" t="s">
        <v>55</v>
      </c>
      <c r="B13" s="232">
        <v>9</v>
      </c>
      <c r="C13" s="233">
        <v>9</v>
      </c>
      <c r="E13" s="210"/>
      <c r="F13" s="210" t="s">
        <v>152</v>
      </c>
      <c r="G13" s="217">
        <f>B22</f>
        <v>0.47619047619047616</v>
      </c>
      <c r="H13" s="210"/>
      <c r="I13" s="210"/>
      <c r="J13" s="208"/>
      <c r="K13" s="209">
        <v>37</v>
      </c>
      <c r="L13" s="209">
        <v>2</v>
      </c>
      <c r="M13" s="222">
        <v>0.18</v>
      </c>
      <c r="N13" s="222">
        <f t="shared" si="10"/>
        <v>0.18</v>
      </c>
      <c r="O13" s="209" t="s">
        <v>175</v>
      </c>
      <c r="P13" s="212">
        <f>COUNTIF(E5:I6,"CAB")</f>
        <v>1</v>
      </c>
      <c r="Q13" s="214">
        <f>COUNTIF(E10:I11,"CAB")</f>
        <v>3</v>
      </c>
      <c r="R13" s="221">
        <f t="shared" si="2"/>
        <v>0.18</v>
      </c>
      <c r="S13" s="221">
        <f t="shared" si="3"/>
        <v>0.38303571428571431</v>
      </c>
      <c r="T13" s="226">
        <f>IF((Q13+P13)=0,0,S13*P13/(Q13+P13))</f>
        <v>9.5758928571428578E-2</v>
      </c>
      <c r="U13" s="228">
        <f>IF(P13+Q13=0,0,S13*Q13/(Q13+P13))</f>
        <v>0.28727678571428572</v>
      </c>
      <c r="V13" s="218">
        <f>$G$17</f>
        <v>0.56999999999999995</v>
      </c>
      <c r="W13" s="216">
        <f>$H$17</f>
        <v>0.56999999999999995</v>
      </c>
      <c r="X13" s="251">
        <f t="shared" si="11"/>
        <v>5.4582589285714286E-2</v>
      </c>
      <c r="Y13" s="252">
        <f t="shared" si="11"/>
        <v>0.16374776785714285</v>
      </c>
      <c r="Z13" s="199"/>
      <c r="AA13" s="244">
        <f t="shared" si="6"/>
        <v>7.2776785714285724E-2</v>
      </c>
      <c r="AB13" s="245">
        <f t="shared" si="7"/>
        <v>0.9272232142857143</v>
      </c>
      <c r="AC13" s="245">
        <f>AA13*PRODUCT(AB3:AB12)*PRODUCT(AB14:AB17)</f>
        <v>3.0030491792241279E-2</v>
      </c>
      <c r="AD13" s="245">
        <f>AA13*AA14*PRODUCT(AB3:AB12)*PRODUCT(AB15:AB17)+AA13*AA15*PRODUCT(AB3:AB12)*AB14*PRODUCT(AB16:AB17)+AA13*AA16*PRODUCT(AB3:AB12)*AB14*AB15*AB17+AA13*AA17*PRODUCT(AB3:AB12)*AB14*AB15*AB16</f>
        <v>0</v>
      </c>
      <c r="AE13" s="183"/>
      <c r="AF13" s="197"/>
      <c r="AG13" s="246">
        <f t="shared" si="12"/>
        <v>0.16374776785714285</v>
      </c>
      <c r="AH13" s="247">
        <f t="shared" si="8"/>
        <v>0.83625223214285715</v>
      </c>
      <c r="AI13" s="247">
        <f>AG13*PRODUCT(AH3:AH12)*PRODUCT(AH14:AH17)</f>
        <v>0.11340993716565342</v>
      </c>
      <c r="AJ13" s="247">
        <f>AG13*AG14*PRODUCT(AH3:AH12)*PRODUCT(AH15:AH17)+AG13*AG15*PRODUCT(AH3:AH12)*AH14*PRODUCT(AH16:AH17)+AG13*AG16*PRODUCT(AH3:AH12)*AH14*AH15*AH17+AG13*AG17*PRODUCT(AH3:AH12)*AH14*AH15*AH16</f>
        <v>8.9014280141093433E-3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9"/>
        <v>1.2319217542053383E-4</v>
      </c>
      <c r="BM13" s="31">
        <f>BI57+1</f>
        <v>9</v>
      </c>
      <c r="BN13" s="31">
        <v>9</v>
      </c>
      <c r="BO13" s="107">
        <f>$H$34*H48</f>
        <v>1.1383620991592577E-7</v>
      </c>
      <c r="BQ13" s="31">
        <f>BM7+1</f>
        <v>4</v>
      </c>
      <c r="BR13" s="31">
        <v>3</v>
      </c>
      <c r="BS13" s="107">
        <f>$H$29*H42</f>
        <v>1.7598877264659349E-2</v>
      </c>
    </row>
    <row r="14" spans="1:71" ht="15.75" x14ac:dyDescent="0.25">
      <c r="A14" s="7" t="s">
        <v>58</v>
      </c>
      <c r="B14" s="232">
        <v>4</v>
      </c>
      <c r="C14" s="233">
        <v>4</v>
      </c>
      <c r="E14" s="210"/>
      <c r="F14" s="210" t="s">
        <v>153</v>
      </c>
      <c r="G14" s="215">
        <f>C22</f>
        <v>0.52380952380952384</v>
      </c>
      <c r="H14" s="210"/>
      <c r="I14" s="210"/>
      <c r="J14" s="208"/>
      <c r="K14" s="209">
        <v>38</v>
      </c>
      <c r="L14" s="209">
        <v>2</v>
      </c>
      <c r="M14" s="222">
        <v>0.12</v>
      </c>
      <c r="N14" s="222">
        <f t="shared" si="10"/>
        <v>0.12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2"/>
        <v>0.12</v>
      </c>
      <c r="S14" s="221">
        <f t="shared" si="3"/>
        <v>0.25535714285714289</v>
      </c>
      <c r="T14" s="226">
        <f>S14*P14/(Q14+P14)</f>
        <v>0.12767857142857145</v>
      </c>
      <c r="U14" s="228">
        <f>S14*Q14/(Q14+P14)</f>
        <v>0.12767857142857145</v>
      </c>
      <c r="V14" s="218">
        <f>$G$17</f>
        <v>0.56999999999999995</v>
      </c>
      <c r="W14" s="216">
        <f>$H$17</f>
        <v>0.56999999999999995</v>
      </c>
      <c r="X14" s="251">
        <f t="shared" si="11"/>
        <v>7.2776785714285724E-2</v>
      </c>
      <c r="Y14" s="252">
        <f t="shared" si="11"/>
        <v>7.2776785714285724E-2</v>
      </c>
      <c r="Z14" s="199"/>
      <c r="AA14" s="244">
        <f t="shared" si="6"/>
        <v>0</v>
      </c>
      <c r="AB14" s="245">
        <f t="shared" si="7"/>
        <v>1</v>
      </c>
      <c r="AC14" s="245">
        <f>AA14*PRODUCT(AB3:AB13)*PRODUCT(AB15:AB17)</f>
        <v>0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2"/>
        <v>7.2776785714285724E-2</v>
      </c>
      <c r="AH14" s="247">
        <f t="shared" si="8"/>
        <v>0.9272232142857143</v>
      </c>
      <c r="AI14" s="247">
        <f>AG14*PRODUCT(AH3:AH13)*PRODUCT(AH15:AH17)</f>
        <v>4.5459178732451901E-2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3">$H$26*H41</f>
        <v>2.573236135102985E-2</v>
      </c>
      <c r="BM14" s="31">
        <f>BQ39+1</f>
        <v>10</v>
      </c>
      <c r="BN14" s="31">
        <v>10</v>
      </c>
      <c r="BO14" s="107">
        <f>$H$35*H49</f>
        <v>1.4866270193592051E-9</v>
      </c>
      <c r="BQ14" s="31">
        <f>BQ10+1</f>
        <v>5</v>
      </c>
      <c r="BR14" s="31">
        <v>0</v>
      </c>
      <c r="BS14" s="107">
        <f>$H$30*H39</f>
        <v>1.4944622318098253E-4</v>
      </c>
    </row>
    <row r="15" spans="1:71" ht="15.75" x14ac:dyDescent="0.25">
      <c r="A15" s="162" t="s">
        <v>62</v>
      </c>
      <c r="B15" s="234">
        <v>5</v>
      </c>
      <c r="C15" s="235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10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 t="shared" si="2"/>
        <v>0</v>
      </c>
      <c r="S15" s="221">
        <f t="shared" si="3"/>
        <v>0</v>
      </c>
      <c r="T15" s="226">
        <f>IF(COUNTIF(F10:H10,"CAB") + COUNTIF(E9:I9,"CAB") =0,0, IF(S15=0,0,IF(Q15=0,S15*P15/L15,S15*P15/(L15*2))))</f>
        <v>0</v>
      </c>
      <c r="U15" s="228">
        <f>IF( COUNTIF(F5:H5,"CAB") + COUNTIF(E4:I4,"CAB") =0,0,IF(S15=0,0,IF(P15=0,S15*Q15/L15,S15*Q15/(L15*2))))</f>
        <v>0</v>
      </c>
      <c r="V15" s="218">
        <f>$G$17</f>
        <v>0.56999999999999995</v>
      </c>
      <c r="W15" s="216">
        <f>$H$17</f>
        <v>0.56999999999999995</v>
      </c>
      <c r="X15" s="251">
        <f t="shared" si="11"/>
        <v>0</v>
      </c>
      <c r="Y15" s="252">
        <f t="shared" si="11"/>
        <v>0</v>
      </c>
      <c r="Z15" s="199"/>
      <c r="AA15" s="244">
        <f>X16</f>
        <v>0</v>
      </c>
      <c r="AB15" s="245">
        <f t="shared" si="7"/>
        <v>1</v>
      </c>
      <c r="AC15" s="245">
        <f>AA15*PRODUCT(AB3:AB14)*PRODUCT(AB16:AB17)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2"/>
        <v>0</v>
      </c>
      <c r="AH15" s="247">
        <f t="shared" si="8"/>
        <v>1</v>
      </c>
      <c r="AI15" s="247">
        <f>AG15*PRODUCT(AH3:AH14)*PRODUCT(AH16:AH17)</f>
        <v>0</v>
      </c>
      <c r="AJ15" s="247">
        <f>AG15*AG16*PRODUCT(AH3:AH14)*AH17+AG15*AG17*PRODUCT(AH3:AH14)*AH16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3"/>
        <v>4.8129526767551167E-2</v>
      </c>
      <c r="BQ15" s="31">
        <f>BQ11+1</f>
        <v>5</v>
      </c>
      <c r="BR15" s="31">
        <v>1</v>
      </c>
      <c r="BS15" s="107">
        <f>$H$30*H40</f>
        <v>1.0100926521753502E-3</v>
      </c>
    </row>
    <row r="16" spans="1:71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40">
        <v>0.7</v>
      </c>
      <c r="H16" s="241">
        <v>0.7</v>
      </c>
      <c r="I16" s="210"/>
      <c r="J16" s="208"/>
      <c r="K16" s="208"/>
      <c r="L16" s="208"/>
      <c r="M16" s="208"/>
      <c r="N16" s="208"/>
      <c r="O16" s="208"/>
      <c r="P16" s="210"/>
      <c r="Q16" s="210"/>
      <c r="V16" s="157"/>
      <c r="W16" s="157"/>
      <c r="X16" s="157"/>
      <c r="Y16" s="157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3"/>
        <v>6.0716995525381103E-2</v>
      </c>
      <c r="BQ16" s="31">
        <f>BQ12+1</f>
        <v>5</v>
      </c>
      <c r="BR16" s="31">
        <v>2</v>
      </c>
      <c r="BS16" s="107">
        <f>$H$30*H41</f>
        <v>3.122415865789215E-3</v>
      </c>
    </row>
    <row r="17" spans="1:71" x14ac:dyDescent="0.25">
      <c r="A17" s="161" t="s">
        <v>69</v>
      </c>
      <c r="B17" s="236" t="s">
        <v>70</v>
      </c>
      <c r="C17" s="237" t="s">
        <v>70</v>
      </c>
      <c r="E17" s="210"/>
      <c r="F17" s="210" t="s">
        <v>154</v>
      </c>
      <c r="G17" s="240">
        <v>0.56999999999999995</v>
      </c>
      <c r="H17" s="241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3"/>
        <v>5.4507034053099541E-2</v>
      </c>
      <c r="BQ17" s="31">
        <f>BQ13+1</f>
        <v>5</v>
      </c>
      <c r="BR17" s="31">
        <v>3</v>
      </c>
      <c r="BS17" s="107">
        <f>$H$30*H42</f>
        <v>5.8401324286515201E-3</v>
      </c>
    </row>
    <row r="18" spans="1:71" x14ac:dyDescent="0.25">
      <c r="A18" s="161" t="s">
        <v>73</v>
      </c>
      <c r="B18" s="236">
        <v>20</v>
      </c>
      <c r="C18" s="237">
        <v>20</v>
      </c>
      <c r="E18" s="210"/>
      <c r="F18" s="209" t="s">
        <v>3</v>
      </c>
      <c r="G18" s="240">
        <v>0.45</v>
      </c>
      <c r="H18" s="241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0.38260784469788545</v>
      </c>
      <c r="AC18" s="159">
        <f>SUM(AC3:AC17)</f>
        <v>0.42709936823468714</v>
      </c>
      <c r="AD18" s="159">
        <f>SUM(AD3:AD17)</f>
        <v>0.16281576428542216</v>
      </c>
      <c r="AE18" s="159">
        <f>1-AB18-AC18-AD18</f>
        <v>2.7477022782005256E-2</v>
      </c>
      <c r="AF18" s="197"/>
      <c r="AG18" s="157"/>
      <c r="AH18" s="160">
        <f>PRODUCT(AH3:AH17)</f>
        <v>0.57917927275014069</v>
      </c>
      <c r="AI18" s="159">
        <f>SUM(AI3:AI17)</f>
        <v>0.34386485962655194</v>
      </c>
      <c r="AJ18" s="159">
        <f>SUM(AJ3:AJ17)</f>
        <v>7.0863303781438375E-2</v>
      </c>
      <c r="AK18" s="159">
        <f>1-AH18-AI18-AJ18</f>
        <v>6.0925638418689865E-3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3"/>
        <v>3.5794749631976423E-2</v>
      </c>
      <c r="BQ18" s="31">
        <f>BM8+1</f>
        <v>5</v>
      </c>
      <c r="BR18" s="31">
        <v>4</v>
      </c>
      <c r="BS18" s="107">
        <f>$H$30*H43</f>
        <v>7.3675209035534263E-3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3"/>
        <v>1.7400349088438079E-2</v>
      </c>
      <c r="BQ19" s="31">
        <f>BQ15+1</f>
        <v>6</v>
      </c>
      <c r="BR19" s="31">
        <v>1</v>
      </c>
      <c r="BS19" s="107">
        <f>$H$31*H40</f>
        <v>2.4539954696819712E-4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3"/>
        <v>6.261106518313392E-3</v>
      </c>
      <c r="BQ20" s="31">
        <f>BQ16+1</f>
        <v>6</v>
      </c>
      <c r="BR20" s="31">
        <v>2</v>
      </c>
      <c r="BS20" s="107">
        <f>$H$31*H41</f>
        <v>7.5858332130305075E-4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1.6485979252711881E-3</v>
      </c>
      <c r="BQ21" s="31">
        <f>BQ17+1</f>
        <v>6</v>
      </c>
      <c r="BR21" s="31">
        <v>3</v>
      </c>
      <c r="BS21" s="107">
        <f>$H$31*H42</f>
        <v>1.4188459337258548E-3</v>
      </c>
    </row>
    <row r="22" spans="1:71" x14ac:dyDescent="0.25">
      <c r="A22" s="26" t="s">
        <v>81</v>
      </c>
      <c r="B22" s="169">
        <f>(B6)/((B6)+(C6))</f>
        <v>0.47619047619047616</v>
      </c>
      <c r="C22" s="170">
        <f>1-B22</f>
        <v>0.52380952380952384</v>
      </c>
      <c r="V22" s="171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3"/>
        <v>3.0954424741680517E-4</v>
      </c>
      <c r="BQ22" s="31">
        <f>BQ18+1</f>
        <v>6</v>
      </c>
      <c r="BR22" s="31">
        <v>4</v>
      </c>
      <c r="BS22" s="107">
        <f>$H$31*H43</f>
        <v>1.7899212395189963E-3</v>
      </c>
    </row>
    <row r="23" spans="1:71" ht="15.75" thickBot="1" x14ac:dyDescent="0.3">
      <c r="A23" s="40" t="s">
        <v>82</v>
      </c>
      <c r="B23" s="56">
        <f>((B22^2.8)/((B22^2.8)+(C22^2.8)))*B21</f>
        <v>2.1683801689912157</v>
      </c>
      <c r="C23" s="57">
        <f>B21-B23</f>
        <v>2.8316198310087843</v>
      </c>
      <c r="D23" s="149">
        <f>SUM(D25:D30)</f>
        <v>1</v>
      </c>
      <c r="E23" s="149">
        <f>SUM(E25:E30)</f>
        <v>1</v>
      </c>
      <c r="H23" s="229">
        <f>SUM(H25:H35)</f>
        <v>0.99999993956596989</v>
      </c>
      <c r="I23" s="81"/>
      <c r="J23" s="229">
        <f>SUM(J25:J35)</f>
        <v>0.99999999999999989</v>
      </c>
      <c r="K23" s="229"/>
      <c r="L23" s="229">
        <f>SUM(L25:L35)</f>
        <v>1</v>
      </c>
      <c r="M23" s="81"/>
      <c r="N23" s="229">
        <f>SUM(N25:N35)</f>
        <v>0.99999999999999989</v>
      </c>
      <c r="O23" s="81"/>
      <c r="P23" s="229">
        <f>SUM(P25:P35)</f>
        <v>0.99999999999999989</v>
      </c>
      <c r="Q23" s="81"/>
      <c r="R23" s="229">
        <f>SUM(R25:R35)</f>
        <v>0.99999999999999989</v>
      </c>
      <c r="S23" s="81"/>
      <c r="T23" s="229">
        <f>SUM(T25:T35)</f>
        <v>1</v>
      </c>
      <c r="V23" s="171">
        <f>SUM(V25:V34)</f>
        <v>0.99974931781276</v>
      </c>
      <c r="Y23" s="168">
        <f>SUM(Y25:Y35)</f>
        <v>3.3765445915655752E-3</v>
      </c>
      <c r="Z23" s="81"/>
      <c r="AA23" s="168">
        <f>SUM(AA25:AA35)</f>
        <v>2.5873660086668103E-2</v>
      </c>
      <c r="AB23" s="81"/>
      <c r="AC23" s="168">
        <f>SUM(AC25:AC35)</f>
        <v>8.9231628252390352E-2</v>
      </c>
      <c r="AD23" s="81"/>
      <c r="AE23" s="168">
        <f>SUM(AE25:AE35)</f>
        <v>0.18239905448332949</v>
      </c>
      <c r="AF23" s="81"/>
      <c r="AG23" s="168">
        <f>SUM(AG25:AG35)</f>
        <v>0.24474801787537889</v>
      </c>
      <c r="AH23" s="81"/>
      <c r="AI23" s="168">
        <f>SUM(AI25:AI35)</f>
        <v>0.22529102499748441</v>
      </c>
      <c r="AJ23" s="81"/>
      <c r="AK23" s="168">
        <f>SUM(AK25:AK35)</f>
        <v>0.14411233921871039</v>
      </c>
      <c r="AL23" s="81"/>
      <c r="AM23" s="168">
        <f>SUM(AM25:AM35)</f>
        <v>6.3287220894066035E-2</v>
      </c>
      <c r="AN23" s="81"/>
      <c r="AO23" s="168">
        <f>SUM(AO25:AO35)</f>
        <v>1.8281965297063971E-2</v>
      </c>
      <c r="AP23" s="81"/>
      <c r="AQ23" s="168">
        <f>SUM(AQ25:AQ35)</f>
        <v>3.1478621161027897E-3</v>
      </c>
      <c r="AR23" s="81"/>
      <c r="AS23" s="168">
        <f>SUM(AS25:AS35)</f>
        <v>2.506821872400033E-4</v>
      </c>
      <c r="BI23" s="31">
        <f t="shared" ref="BI23:BI29" si="14">BI15+1</f>
        <v>2</v>
      </c>
      <c r="BJ23" s="31">
        <v>3</v>
      </c>
      <c r="BK23" s="107">
        <f t="shared" ref="BK23:BK30" si="15">$H$27*H42</f>
        <v>5.4820520904881202E-2</v>
      </c>
      <c r="BQ23" s="31">
        <f>BM9+1</f>
        <v>6</v>
      </c>
      <c r="BR23" s="31">
        <v>5</v>
      </c>
      <c r="BS23" s="107">
        <f>$H$31*H44</f>
        <v>1.6068531901260556E-3</v>
      </c>
    </row>
    <row r="24" spans="1:71" ht="15.75" thickBot="1" x14ac:dyDescent="0.3">
      <c r="A24" s="26" t="s">
        <v>83</v>
      </c>
      <c r="B24" s="64">
        <f>B23/B21</f>
        <v>0.43367603379824315</v>
      </c>
      <c r="C24" s="65">
        <f>C23/B21</f>
        <v>0.56632396620175685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6.9157906716108136E-2</v>
      </c>
      <c r="BQ24" s="31">
        <f>BI49+1</f>
        <v>7</v>
      </c>
      <c r="BR24" s="31">
        <v>0</v>
      </c>
      <c r="BS24" s="107">
        <f t="shared" ref="BS24:BS30" si="16">$H$32*H39</f>
        <v>6.5343326635953048E-6</v>
      </c>
    </row>
    <row r="25" spans="1:71" x14ac:dyDescent="0.25">
      <c r="A25" s="26" t="s">
        <v>108</v>
      </c>
      <c r="B25" s="172">
        <f>1/(1+EXP(-3.1416*4*((B11/(B11+C8))-(3.1416/6))))</f>
        <v>0.23251449252298675</v>
      </c>
      <c r="C25" s="170">
        <f>1/(1+EXP(-3.1416*4*((C11/(C11+B8))-(3.1416/6))))</f>
        <v>0.6793166023460353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0.10351394127375854</v>
      </c>
      <c r="I25" s="97">
        <v>0</v>
      </c>
      <c r="J25" s="98">
        <f t="shared" ref="J25:J35" si="17">Y25+AA25+AC25+AE25+AG25+AI25+AK25+AM25+AO25+AQ25+AS25</f>
        <v>0.27054840277907827</v>
      </c>
      <c r="K25" s="97">
        <v>0</v>
      </c>
      <c r="L25" s="98">
        <f>AB18</f>
        <v>0.38260784469788545</v>
      </c>
      <c r="M25" s="85">
        <v>0</v>
      </c>
      <c r="N25" s="173">
        <f>(1-$B$24)^$B$21</f>
        <v>5.8253859548764761E-2</v>
      </c>
      <c r="O25" s="72">
        <v>0</v>
      </c>
      <c r="P25" s="173">
        <f t="shared" ref="P25:P30" si="18">N25</f>
        <v>5.8253859548764761E-2</v>
      </c>
      <c r="Q25" s="28">
        <v>0</v>
      </c>
      <c r="R25" s="174">
        <f>P25*N25</f>
        <v>3.3935121523272112E-3</v>
      </c>
      <c r="S25" s="72">
        <v>0</v>
      </c>
      <c r="T25" s="175">
        <f>(1-$B$33)^(INT(C23*2*(1-C31)))</f>
        <v>0.995</v>
      </c>
      <c r="U25" s="138">
        <v>0</v>
      </c>
      <c r="V25" s="86">
        <f>R25*T25</f>
        <v>3.3765445915655752E-3</v>
      </c>
      <c r="W25" s="134">
        <f>B31</f>
        <v>0.28228854946744131</v>
      </c>
      <c r="X25" s="28">
        <v>0</v>
      </c>
      <c r="Y25" s="176">
        <f>V25</f>
        <v>3.3765445915655752E-3</v>
      </c>
      <c r="Z25" s="28">
        <v>0</v>
      </c>
      <c r="AA25" s="176">
        <f>((1-W25)^Z26)*V26</f>
        <v>1.8569822111388933E-2</v>
      </c>
      <c r="AB25" s="28">
        <v>0</v>
      </c>
      <c r="AC25" s="176">
        <f>(((1-$W$25)^AB27))*V27</f>
        <v>4.596407959974879E-2</v>
      </c>
      <c r="AD25" s="28">
        <v>0</v>
      </c>
      <c r="AE25" s="176">
        <f>(((1-$W$25)^AB28))*V28</f>
        <v>6.7432957582147166E-2</v>
      </c>
      <c r="AF25" s="28">
        <v>0</v>
      </c>
      <c r="AG25" s="176">
        <f>(((1-$W$25)^AB29))*V29</f>
        <v>6.4940956922224E-2</v>
      </c>
      <c r="AH25" s="28">
        <v>0</v>
      </c>
      <c r="AI25" s="176">
        <f>(((1-$W$25)^AB30))*V30</f>
        <v>4.290355372466393E-2</v>
      </c>
      <c r="AJ25" s="28">
        <v>0</v>
      </c>
      <c r="AK25" s="176">
        <f>(((1-$W$25)^AB31))*V31</f>
        <v>1.9697015124709574E-2</v>
      </c>
      <c r="AL25" s="28">
        <v>0</v>
      </c>
      <c r="AM25" s="176">
        <f>(((1-$W$25)^AB32))*V32</f>
        <v>6.2081921588654221E-3</v>
      </c>
      <c r="AN25" s="28">
        <v>0</v>
      </c>
      <c r="AO25" s="176">
        <f>(((1-$W$25)^AB33))*V33</f>
        <v>1.2871284244145504E-3</v>
      </c>
      <c r="AP25" s="28">
        <v>0</v>
      </c>
      <c r="AQ25" s="176">
        <f>(((1-$W$25)^AB34))*V34</f>
        <v>1.5906131811362984E-4</v>
      </c>
      <c r="AR25" s="28">
        <v>0</v>
      </c>
      <c r="AS25" s="176">
        <f>(((1-$W$25)^AB35))*V35</f>
        <v>9.0912212367568771E-6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6.2084632874171299E-2</v>
      </c>
      <c r="BQ25" s="31">
        <f>BQ19+1</f>
        <v>7</v>
      </c>
      <c r="BR25" s="31">
        <v>1</v>
      </c>
      <c r="BS25" s="107">
        <f t="shared" si="16"/>
        <v>4.416492615122111E-5</v>
      </c>
    </row>
    <row r="26" spans="1:71" x14ac:dyDescent="0.25">
      <c r="A26" s="40" t="s">
        <v>109</v>
      </c>
      <c r="B26" s="169">
        <f>1/(1+EXP(-3.1416*4*((B10/(B10+C9))-(3.1416/6))))</f>
        <v>0.23251449252298675</v>
      </c>
      <c r="C26" s="170">
        <f>1/(1+EXP(-3.1416*4*((C10/(C10+B9))-(3.1416/6))))</f>
        <v>0.6793166023460353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0.26009886536504917</v>
      </c>
      <c r="I26" s="138">
        <v>1</v>
      </c>
      <c r="J26" s="86">
        <f t="shared" si="17"/>
        <v>0.37779626179734743</v>
      </c>
      <c r="K26" s="138">
        <v>1</v>
      </c>
      <c r="L26" s="86">
        <f>AC18</f>
        <v>0.42709936823468714</v>
      </c>
      <c r="M26" s="85">
        <v>1</v>
      </c>
      <c r="N26" s="173">
        <f>(($B$24)^M26)*((1-($B$24))^($B$21-M26))*HLOOKUP($B$21,$AV$24:$BF$34,M26+1)</f>
        <v>0.22304638572851768</v>
      </c>
      <c r="O26" s="72">
        <v>1</v>
      </c>
      <c r="P26" s="173">
        <f t="shared" si="18"/>
        <v>0.22304638572851768</v>
      </c>
      <c r="Q26" s="28">
        <v>1</v>
      </c>
      <c r="R26" s="174">
        <f>N26*P25+P26*N25</f>
        <v>2.5986625654177354E-2</v>
      </c>
      <c r="S26" s="72">
        <v>1</v>
      </c>
      <c r="T26" s="175">
        <f t="shared" ref="T26:T35" si="19">(($B$33)^S26)*((1-($B$33))^(INT($C$23*2*(1-$C$31))-S26))*HLOOKUP(INT($C$23*2*(1-$C$31)),$AV$24:$BF$34,S26+1)</f>
        <v>5.0000000000000001E-3</v>
      </c>
      <c r="U26" s="138">
        <v>1</v>
      </c>
      <c r="V26" s="86">
        <f>R26*T25+T26*R25</f>
        <v>2.5873660086668103E-2</v>
      </c>
      <c r="W26" s="177"/>
      <c r="X26" s="28">
        <v>1</v>
      </c>
      <c r="Y26" s="174"/>
      <c r="Z26" s="28">
        <v>1</v>
      </c>
      <c r="AA26" s="176">
        <f>(1-((1-W25)^Z26))*V26</f>
        <v>7.3038379752791704E-3</v>
      </c>
      <c r="AB26" s="28">
        <v>1</v>
      </c>
      <c r="AC26" s="176">
        <f>((($W$25)^M26)*((1-($W$25))^($U$27-M26))*HLOOKUP($U$27,$AV$24:$BF$34,M26+1))*V27</f>
        <v>3.6156963493312655E-2</v>
      </c>
      <c r="AD26" s="28">
        <v>1</v>
      </c>
      <c r="AE26" s="176">
        <f>((($W$25)^M26)*((1-($W$25))^($U$28-M26))*HLOOKUP($U$28,$AV$24:$BF$34,M26+1))*V28</f>
        <v>7.9567708309679325E-2</v>
      </c>
      <c r="AF26" s="28">
        <v>1</v>
      </c>
      <c r="AG26" s="176">
        <f>((($W$25)^M26)*((1-($W$25))^($U$29-M26))*HLOOKUP($U$29,$AV$24:$BF$34,M26+1))*V29</f>
        <v>0.10216968681215476</v>
      </c>
      <c r="AH26" s="28">
        <v>1</v>
      </c>
      <c r="AI26" s="176">
        <f>((($W$25)^M26)*((1-($W$25))^($U$30-M26))*HLOOKUP($U$30,$AV$24:$BF$34,M26+1))*V30</f>
        <v>8.4373615183003139E-2</v>
      </c>
      <c r="AJ26" s="28">
        <v>1</v>
      </c>
      <c r="AK26" s="176">
        <f>((($W$25)^M26)*((1-($W$25))^($U$31-M26))*HLOOKUP($U$31,$AV$24:$BF$34,M26+1))*V31</f>
        <v>4.6483096996153724E-2</v>
      </c>
      <c r="AL26" s="28">
        <v>1</v>
      </c>
      <c r="AM26" s="176">
        <f>((($W$25)^Q26)*((1-($W$25))^($U$32-Q26))*HLOOKUP($U$32,$AV$24:$BF$34,Q26+1))*V32</f>
        <v>1.7092538939271571E-2</v>
      </c>
      <c r="AN26" s="28">
        <v>1</v>
      </c>
      <c r="AO26" s="176">
        <f>((($W$25)^Q26)*((1-($W$25))^($U$33-Q26))*HLOOKUP($U$33,$AV$24:$BF$34,Q26+1))*V33</f>
        <v>4.0500021632558728E-3</v>
      </c>
      <c r="AP26" s="28">
        <v>1</v>
      </c>
      <c r="AQ26" s="176">
        <f>((($W$25)^Q26)*((1-($W$25))^($U$34-Q26))*HLOOKUP($U$34,$AV$24:$BF$34,Q26+1))*V34</f>
        <v>5.6305455151958738E-4</v>
      </c>
      <c r="AR26" s="28">
        <v>1</v>
      </c>
      <c r="AS26" s="176">
        <f>((($W$25)^Q26)*((1-($W$25))^($U$35-Q26))*HLOOKUP($U$35,$AV$24:$BF$34,Q26+1))*V35</f>
        <v>3.5757373717632724E-5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4.0770956048704017E-2</v>
      </c>
      <c r="BQ26" s="31">
        <f>BQ20+1</f>
        <v>7</v>
      </c>
      <c r="BR26" s="31">
        <v>2</v>
      </c>
      <c r="BS26" s="107">
        <f t="shared" si="16"/>
        <v>1.3652338310648595E-4</v>
      </c>
    </row>
    <row r="27" spans="1:71" x14ac:dyDescent="0.25">
      <c r="A27" s="26" t="s">
        <v>110</v>
      </c>
      <c r="B27" s="169">
        <f>1/(1+EXP(-3.1416*4*((B12/(B12+C7))-(3.1416/6))))</f>
        <v>0.23251449252298675</v>
      </c>
      <c r="C27" s="170">
        <f>1/(1+EXP(-3.1416*4*((C12/(C12+B7))-(3.1416/6))))</f>
        <v>0.6793166023460353</v>
      </c>
      <c r="D27" s="167">
        <f>D26</f>
        <v>0.25700000000000001</v>
      </c>
      <c r="E27" s="167">
        <f>E26</f>
        <v>0.25700000000000001</v>
      </c>
      <c r="G27" s="87">
        <v>2</v>
      </c>
      <c r="H27" s="126">
        <f>L25*J27+J26*L26+J25*L27</f>
        <v>0.29625795730228921</v>
      </c>
      <c r="I27" s="138">
        <v>2</v>
      </c>
      <c r="J27" s="86">
        <f t="shared" si="17"/>
        <v>0.23745427296264196</v>
      </c>
      <c r="K27" s="138">
        <v>2</v>
      </c>
      <c r="L27" s="86">
        <f>AD18</f>
        <v>0.16281576428542216</v>
      </c>
      <c r="M27" s="85">
        <v>2</v>
      </c>
      <c r="N27" s="173">
        <f>(($B$24)^M27)*((1-($B$24))^($B$21-M27))*HLOOKUP($B$21,$AV$24:$BF$34,M27+1)</f>
        <v>0.34160613955481417</v>
      </c>
      <c r="O27" s="72">
        <v>2</v>
      </c>
      <c r="P27" s="173">
        <f t="shared" si="18"/>
        <v>0.34160613955481417</v>
      </c>
      <c r="Q27" s="28">
        <v>2</v>
      </c>
      <c r="R27" s="174">
        <f>P25*N27+P26*N26+P27*N25</f>
        <v>8.9549442335798451E-2</v>
      </c>
      <c r="S27" s="72">
        <v>2</v>
      </c>
      <c r="T27" s="175">
        <f t="shared" si="19"/>
        <v>0</v>
      </c>
      <c r="U27" s="138">
        <v>2</v>
      </c>
      <c r="V27" s="86">
        <f>R27*T25+T26*R26+R25*T27</f>
        <v>8.9231628252390352E-2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7.1105851593288999E-3</v>
      </c>
      <c r="AD27" s="28">
        <v>2</v>
      </c>
      <c r="AE27" s="176">
        <f>((($W$25)^M27)*((1-($W$25))^($U$28-M27))*HLOOKUP($U$28,$AV$24:$BF$34,M27+1))*V28</f>
        <v>3.1295380541192741E-2</v>
      </c>
      <c r="AF27" s="28">
        <v>2</v>
      </c>
      <c r="AG27" s="176">
        <f>((($W$25)^M27)*((1-($W$25))^($U$29-M27))*HLOOKUP($U$29,$AV$24:$BF$34,M27+1))*V29</f>
        <v>6.0277704922385572E-2</v>
      </c>
      <c r="AH27" s="28">
        <v>2</v>
      </c>
      <c r="AI27" s="176">
        <f>((($W$25)^M27)*((1-($W$25))^($U$30-M27))*HLOOKUP($U$30,$AV$24:$BF$34,M27+1))*V30</f>
        <v>6.6371256653800767E-2</v>
      </c>
      <c r="AJ27" s="28">
        <v>2</v>
      </c>
      <c r="AK27" s="176">
        <f>((($W$25)^M27)*((1-($W$25))^($U$31-M27))*HLOOKUP($U$31,$AV$24:$BF$34,M27+1))*V31</f>
        <v>4.5706551066107569E-2</v>
      </c>
      <c r="AL27" s="28">
        <v>2</v>
      </c>
      <c r="AM27" s="176">
        <f>((($W$25)^Q27)*((1-($W$25))^($U$32-Q27))*HLOOKUP($U$32,$AV$24:$BF$34,Q27+1))*V32</f>
        <v>2.0168389484252112E-2</v>
      </c>
      <c r="AN27" s="28">
        <v>2</v>
      </c>
      <c r="AO27" s="176">
        <f>((($W$25)^Q27)*((1-($W$25))^($U$33-Q27))*HLOOKUP($U$33,$AV$24:$BF$34,Q27+1))*V33</f>
        <v>5.5752800419306189E-3</v>
      </c>
      <c r="AP27" s="28">
        <v>2</v>
      </c>
      <c r="AQ27" s="176">
        <f>((($W$25)^Q27)*((1-($W$25))^($U$34-Q27))*HLOOKUP($U$34,$AV$24:$BF$34,Q27+1))*V34</f>
        <v>8.8583707283234779E-4</v>
      </c>
      <c r="AR27" s="28">
        <v>2</v>
      </c>
      <c r="AS27" s="176">
        <f>((($W$25)^Q27)*((1-($W$25))^($U$35-Q27))*HLOOKUP($U$35,$AV$24:$BF$34,Q27+1))*V35</f>
        <v>6.3288020811311138E-5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1.9819355497965652E-2</v>
      </c>
      <c r="BQ27" s="31">
        <f>BQ21+1</f>
        <v>7</v>
      </c>
      <c r="BR27" s="31">
        <v>3</v>
      </c>
      <c r="BS27" s="107">
        <f t="shared" si="16"/>
        <v>2.5535184012007839E-4</v>
      </c>
    </row>
    <row r="28" spans="1:71" x14ac:dyDescent="0.25">
      <c r="A28" s="26" t="s">
        <v>111</v>
      </c>
      <c r="B28" s="238">
        <v>0.9</v>
      </c>
      <c r="C28" s="239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0.20421060603863439</v>
      </c>
      <c r="I28" s="138">
        <v>3</v>
      </c>
      <c r="J28" s="86">
        <f t="shared" si="17"/>
        <v>8.8469133096014868E-2</v>
      </c>
      <c r="K28" s="138">
        <v>3</v>
      </c>
      <c r="L28" s="86">
        <f>AE18</f>
        <v>2.7477022782005256E-2</v>
      </c>
      <c r="M28" s="85">
        <v>3</v>
      </c>
      <c r="N28" s="173">
        <f>(($B$24)^M28)*((1-($B$24))^($B$21-M28))*HLOOKUP($B$21,$AV$24:$BF$34,M28+1)</f>
        <v>0.26159301842169036</v>
      </c>
      <c r="O28" s="72">
        <v>3</v>
      </c>
      <c r="P28" s="173">
        <f t="shared" si="18"/>
        <v>0.26159301842169036</v>
      </c>
      <c r="Q28" s="28">
        <v>3</v>
      </c>
      <c r="R28" s="174">
        <f>P25*N28+P26*N27+P27*N26+P28*N25</f>
        <v>0.182865635448895</v>
      </c>
      <c r="S28" s="72">
        <v>3</v>
      </c>
      <c r="T28" s="175">
        <f t="shared" si="19"/>
        <v>0</v>
      </c>
      <c r="U28" s="138">
        <v>3</v>
      </c>
      <c r="V28" s="86">
        <f>R28*T25+R27*T26+R26*T27+R25*T28</f>
        <v>0.18239905448332952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4.1030080503102872E-3</v>
      </c>
      <c r="AF28" s="28">
        <v>3</v>
      </c>
      <c r="AG28" s="176">
        <f>((($W$25)^M28)*((1-($W$25))^($U$29-M28))*HLOOKUP($U$29,$AV$24:$BF$34,M28+1))*V29</f>
        <v>1.5805521727095772E-2</v>
      </c>
      <c r="AH28" s="28">
        <v>3</v>
      </c>
      <c r="AI28" s="176">
        <f>((($W$25)^M28)*((1-($W$25))^($U$30-M28))*HLOOKUP($U$30,$AV$24:$BF$34,M28+1))*V30</f>
        <v>2.6104983769215672E-2</v>
      </c>
      <c r="AJ28" s="28">
        <v>3</v>
      </c>
      <c r="AK28" s="176">
        <f>((($W$25)^M28)*((1-($W$25))^($U$31-M28))*HLOOKUP($U$31,$AV$24:$BF$34,M28+1))*V31</f>
        <v>2.3969588320463385E-2</v>
      </c>
      <c r="AL28" s="28">
        <v>3</v>
      </c>
      <c r="AM28" s="176">
        <f>((($W$25)^Q28)*((1-($W$25))^($U$32-Q28))*HLOOKUP($U$32,$AV$24:$BF$34,Q28+1))*V32</f>
        <v>1.3220971112135571E-2</v>
      </c>
      <c r="AN28" s="28">
        <v>3</v>
      </c>
      <c r="AO28" s="176">
        <f>((($W$25)^Q28)*((1-($W$25))^($U$33-Q28))*HLOOKUP($U$33,$AV$24:$BF$34,Q28+1))*V33</f>
        <v>4.3857115968918853E-3</v>
      </c>
      <c r="AP28" s="28">
        <v>3</v>
      </c>
      <c r="AQ28" s="176">
        <f>((($W$25)^Q28)*((1-($W$25))^($U$34-Q28))*HLOOKUP($U$34,$AV$24:$BF$34,Q28+1))*V34</f>
        <v>8.12969072357901E-4</v>
      </c>
      <c r="AR28" s="28">
        <v>3</v>
      </c>
      <c r="AS28" s="176">
        <f>((($W$25)^Q28)*((1-($W$25))^($U$35-Q28))*HLOOKUP($U$35,$AV$24:$BF$34,Q28+1))*V35</f>
        <v>6.6379447544399282E-5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7.1315291013062075E-3</v>
      </c>
      <c r="BQ28" s="31">
        <f>BQ22+1</f>
        <v>7</v>
      </c>
      <c r="BR28" s="31">
        <v>4</v>
      </c>
      <c r="BS28" s="107">
        <f t="shared" si="16"/>
        <v>3.2213482191188986E-4</v>
      </c>
    </row>
    <row r="29" spans="1:71" x14ac:dyDescent="0.25">
      <c r="A29" s="26" t="s">
        <v>112</v>
      </c>
      <c r="B29" s="169">
        <f>1/(1+EXP(-3.1416*4*((B14/(B14+C13))-(3.1416/6))))</f>
        <v>6.2199958135446112E-2</v>
      </c>
      <c r="C29" s="170">
        <f>1/(1+EXP(-3.1416*4*((C14/(C14+B13))-(3.1416/6))))</f>
        <v>6.2199958135446112E-2</v>
      </c>
      <c r="D29" s="167">
        <v>0.04</v>
      </c>
      <c r="E29" s="167">
        <v>0.04</v>
      </c>
      <c r="G29" s="87">
        <v>4</v>
      </c>
      <c r="H29" s="126">
        <f>J29*L25+J28*L26+J27*L27+J26*L28</f>
        <v>9.5106856760593855E-2</v>
      </c>
      <c r="I29" s="138">
        <v>4</v>
      </c>
      <c r="J29" s="86">
        <f t="shared" si="17"/>
        <v>2.1640252791835353E-2</v>
      </c>
      <c r="K29" s="138">
        <v>4</v>
      </c>
      <c r="L29" s="86"/>
      <c r="M29" s="85">
        <v>4</v>
      </c>
      <c r="N29" s="173">
        <f>(($B$24)^M29)*((1-($B$24))^($B$21-M29))*HLOOKUP($B$21,$AV$24:$BF$34,M29+1)</f>
        <v>0.10016053484306656</v>
      </c>
      <c r="O29" s="72">
        <v>4</v>
      </c>
      <c r="P29" s="173">
        <f t="shared" si="18"/>
        <v>0.10016053484306656</v>
      </c>
      <c r="Q29" s="28">
        <v>4</v>
      </c>
      <c r="R29" s="174">
        <f>P25*N29+P26*N28+P27*N27+P28*N26+P29*N25</f>
        <v>0.24505898462124065</v>
      </c>
      <c r="S29" s="72">
        <v>4</v>
      </c>
      <c r="T29" s="175">
        <f t="shared" si="19"/>
        <v>0</v>
      </c>
      <c r="U29" s="138">
        <v>4</v>
      </c>
      <c r="V29" s="86">
        <f>T29*R25+T28*R26+T27*R27+T26*R28+T25*R29</f>
        <v>0.24474801787537892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1.5541474915188043E-3</v>
      </c>
      <c r="AH29" s="28">
        <v>4</v>
      </c>
      <c r="AI29" s="176">
        <f>((($W$25)^M29)*((1-($W$25))^($U$30-M29))*HLOOKUP($U$30,$AV$24:$BF$34,M29+1))*V30</f>
        <v>5.1337748593915551E-3</v>
      </c>
      <c r="AJ29" s="28">
        <v>4</v>
      </c>
      <c r="AK29" s="176">
        <f>((($W$25)^M29)*((1-($W$25))^($U$31-M29))*HLOOKUP($U$31,$AV$24:$BF$34,M29+1))*V31</f>
        <v>7.0707458198847354E-3</v>
      </c>
      <c r="AL29" s="28">
        <v>4</v>
      </c>
      <c r="AM29" s="176">
        <f>((($W$25)^Q29)*((1-($W$25))^($U$32-Q29))*HLOOKUP($U$32,$AV$24:$BF$34,Q29+1))*V32</f>
        <v>5.2000407058106265E-3</v>
      </c>
      <c r="AN29" s="28">
        <v>4</v>
      </c>
      <c r="AO29" s="176">
        <f>((($W$25)^Q29)*((1-($W$25))^($U$33-Q29))*HLOOKUP($U$33,$AV$24:$BF$34,Q29+1))*V33</f>
        <v>2.1562219819512675E-3</v>
      </c>
      <c r="AP29" s="28">
        <v>4</v>
      </c>
      <c r="AQ29" s="176">
        <f>((($W$25)^Q29)*((1-($W$25))^($U$34-Q29))*HLOOKUP($U$34,$AV$24:$BF$34,Q29+1))*V34</f>
        <v>4.7963257384464505E-4</v>
      </c>
      <c r="AR29" s="28">
        <v>4</v>
      </c>
      <c r="AS29" s="176">
        <f>((($W$25)^Q29)*((1-($W$25))^($U$35-Q29))*HLOOKUP($U$35,$AV$24:$BF$34,Q29+1))*V35</f>
        <v>4.5689359433718462E-5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1.8777869448532568E-3</v>
      </c>
      <c r="BQ29" s="31">
        <f>BQ23+1</f>
        <v>7</v>
      </c>
      <c r="BR29" s="31">
        <v>5</v>
      </c>
      <c r="BS29" s="107">
        <f t="shared" si="16"/>
        <v>2.8918778927887874E-4</v>
      </c>
    </row>
    <row r="30" spans="1:71" x14ac:dyDescent="0.25">
      <c r="A30" s="26" t="s">
        <v>113</v>
      </c>
      <c r="B30" s="238">
        <v>0.15</v>
      </c>
      <c r="C30" s="239"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3.1560913233370999E-2</v>
      </c>
      <c r="I30" s="138">
        <v>5</v>
      </c>
      <c r="J30" s="86">
        <f t="shared" si="17"/>
        <v>3.6320973765216337E-3</v>
      </c>
      <c r="K30" s="138">
        <v>5</v>
      </c>
      <c r="L30" s="86"/>
      <c r="M30" s="85">
        <v>5</v>
      </c>
      <c r="N30" s="173">
        <f>(($B$24)^M30)*((1-($B$24))^($B$21-M30))*HLOOKUP($B$21,$AV$24:$BF$34,M30+1)</f>
        <v>1.5340061903146452E-2</v>
      </c>
      <c r="O30" s="72">
        <v>5</v>
      </c>
      <c r="P30" s="173">
        <f t="shared" si="18"/>
        <v>1.5340061903146452E-2</v>
      </c>
      <c r="Q30" s="28">
        <v>5</v>
      </c>
      <c r="R30" s="174">
        <f>P25*N30+P26*N29+P27*N28+P28*N27+P29*N26+P30*N25</f>
        <v>0.22519168851696308</v>
      </c>
      <c r="S30" s="72">
        <v>5</v>
      </c>
      <c r="T30" s="175">
        <f t="shared" si="19"/>
        <v>0</v>
      </c>
      <c r="U30" s="138">
        <v>5</v>
      </c>
      <c r="V30" s="86">
        <f>T30*R25+T29*R26+T28*R27+T27*R28+T26*R29+T25*R30</f>
        <v>0.22529102499748446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4.0384080740936065E-4</v>
      </c>
      <c r="AJ30" s="28">
        <v>5</v>
      </c>
      <c r="AK30" s="176">
        <f>((($W$25)^M30)*((1-($W$25))^($U$31-M30))*HLOOKUP($U$31,$AV$24:$BF$34,M30+1))*V31</f>
        <v>1.1124195271886297E-3</v>
      </c>
      <c r="AL30" s="28">
        <v>5</v>
      </c>
      <c r="AM30" s="176">
        <f>((($W$25)^Q30)*((1-($W$25))^($U$32-Q30))*HLOOKUP($U$32,$AV$24:$BF$34,Q30+1))*V32</f>
        <v>1.2271605366689132E-3</v>
      </c>
      <c r="AN30" s="28">
        <v>5</v>
      </c>
      <c r="AO30" s="176">
        <f>((($W$25)^Q30)*((1-($W$25))^($U$33-Q30))*HLOOKUP($U$33,$AV$24:$BF$34,Q30+1))*V33</f>
        <v>6.7846405422478052E-4</v>
      </c>
      <c r="AP30" s="28">
        <v>5</v>
      </c>
      <c r="AQ30" s="176">
        <f>((($W$25)^Q30)*((1-($W$25))^($U$34-Q30))*HLOOKUP($U$34,$AV$24:$BF$34,Q30+1))*V34</f>
        <v>1.8864793566756416E-4</v>
      </c>
      <c r="AR30" s="28">
        <v>5</v>
      </c>
      <c r="AS30" s="176">
        <f>((($W$25)^Q30)*((1-($W$25))^($U$35-Q30))*HLOOKUP($U$35,$AV$24:$BF$34,Q30+1))*V35</f>
        <v>2.1564515362385199E-5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ref="BI30" si="21">BI22+1</f>
        <v>2</v>
      </c>
      <c r="BJ30" s="31">
        <v>10</v>
      </c>
      <c r="BK30" s="107">
        <f t="shared" si="15"/>
        <v>3.5257726444007771E-4</v>
      </c>
      <c r="BQ30" s="31">
        <f>BM10+1</f>
        <v>7</v>
      </c>
      <c r="BR30" s="31">
        <v>6</v>
      </c>
      <c r="BS30" s="107">
        <f t="shared" si="16"/>
        <v>1.8990951706853308E-4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0.28228854946744131</v>
      </c>
      <c r="C31" s="61">
        <f>(C25*E25)+(C26*E26)+(C27*E27)+(C28*E28)+(C29*E29)+(C30*E30)/(C25+C26+C27+C28+C29+C30)</f>
        <v>0.67275832555955561</v>
      </c>
      <c r="G31" s="87">
        <v>6</v>
      </c>
      <c r="H31" s="126">
        <f>J31*L25+J30*L26+J29*L27+J28*L28</f>
        <v>7.6676469160447845E-3</v>
      </c>
      <c r="I31" s="138">
        <v>6</v>
      </c>
      <c r="J31" s="86">
        <f t="shared" si="17"/>
        <v>4.2377003032357532E-4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0.14370490530263877</v>
      </c>
      <c r="S31" s="72">
        <v>6</v>
      </c>
      <c r="T31" s="175">
        <f t="shared" si="19"/>
        <v>0</v>
      </c>
      <c r="U31" s="138">
        <v>6</v>
      </c>
      <c r="V31" s="86">
        <f>T31*R25+T30*R26+T29*R27+T28*R28+T27*R29+T26*R30+T25*R31</f>
        <v>0.14411233921871039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7.2922364202754575E-5</v>
      </c>
      <c r="AL31" s="28">
        <v>6</v>
      </c>
      <c r="AM31" s="176">
        <f>((($W$25)^Q31)*((1-($W$25))^($U$32-Q31))*HLOOKUP($U$32,$AV$24:$BF$34,Q31+1))*V32</f>
        <v>1.6088794812219105E-4</v>
      </c>
      <c r="AN31" s="28">
        <v>6</v>
      </c>
      <c r="AO31" s="176">
        <f>((($W$25)^Q31)*((1-($W$25))^($U$33-Q31))*HLOOKUP($U$33,$AV$24:$BF$34,Q31+1))*V33</f>
        <v>1.3342592875646505E-4</v>
      </c>
      <c r="AP31" s="28">
        <v>6</v>
      </c>
      <c r="AQ31" s="176">
        <f>((($W$25)^Q31)*((1-($W$25))^($U$34-Q31))*HLOOKUP($U$34,$AV$24:$BF$34,Q31+1))*V34</f>
        <v>4.9465702946134123E-5</v>
      </c>
      <c r="AR31" s="28">
        <v>6</v>
      </c>
      <c r="AS31" s="176">
        <f>((($W$25)^Q31)*((1-($W$25))^($U$35-Q31))*HLOOKUP($U$35,$AV$24:$BF$34,Q31+1))*V35</f>
        <v>7.0680862960305614E-6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4.7670544182040295E-2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8.7120290350391956E-7</v>
      </c>
    </row>
    <row r="32" spans="1:71" x14ac:dyDescent="0.25">
      <c r="A32" s="26" t="s">
        <v>115</v>
      </c>
      <c r="B32" s="178">
        <f>IF(B17&lt;&gt;"TL",0.001,IF(B18&lt;5,0.1,IF(B18&lt;10,0.2,IF(B18&lt;14,0.3,0.35))))</f>
        <v>1E-3</v>
      </c>
      <c r="C32" s="179">
        <f>IF(C17&lt;&gt;"TL",0.001,IF(C18&lt;5,0.1,IF(C18&lt;10,0.2,IF(C18&lt;14,0.3,0.35))))</f>
        <v>1E-3</v>
      </c>
      <c r="G32" s="87">
        <v>7</v>
      </c>
      <c r="H32" s="126">
        <f>J32*L25+J31*L26+J30*L27+J29*L28</f>
        <v>1.3799579664449944E-3</v>
      </c>
      <c r="I32" s="138">
        <v>7</v>
      </c>
      <c r="J32" s="86">
        <f t="shared" si="17"/>
        <v>3.3960686143802637E-5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6.2883111927188803E-2</v>
      </c>
      <c r="S32" s="72">
        <v>7</v>
      </c>
      <c r="T32" s="175">
        <f t="shared" si="19"/>
        <v>0</v>
      </c>
      <c r="U32" s="138">
        <v>7</v>
      </c>
      <c r="V32" s="86">
        <f>T32*R25+T31*R26+T30*R27+T29*R28+T28*R29+T27*R30+T26*R31+T25*R32</f>
        <v>6.3287220894066049E-2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9.0400089396264658E-6</v>
      </c>
      <c r="AN32" s="28">
        <v>7</v>
      </c>
      <c r="AO32" s="176">
        <f>((($W$25)^Q32)*((1-($W$25))^($U$33-Q32))*HLOOKUP($U$33,$AV$24:$BF$34,Q32+1))*V33</f>
        <v>1.4993933390465591E-5</v>
      </c>
      <c r="AP32" s="28">
        <v>7</v>
      </c>
      <c r="AQ32" s="176">
        <f>((($W$25)^Q32)*((1-($W$25))^($U$34-Q32))*HLOOKUP($U$34,$AV$24:$BF$34,Q32+1))*V34</f>
        <v>8.3381707963298113E-6</v>
      </c>
      <c r="AR32" s="28">
        <v>7</v>
      </c>
      <c r="AS32" s="176">
        <f>((($W$25)^Q32)*((1-($W$25))^($U$35-Q32))*HLOOKUP($U$35,$AV$24:$BF$34,Q32+1))*V35</f>
        <v>1.5885730173807733E-6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2"/>
        <v>3</v>
      </c>
      <c r="BJ32" s="31">
        <v>5</v>
      </c>
      <c r="BK32" s="107">
        <f t="shared" si="23"/>
        <v>4.2794936616619539E-2</v>
      </c>
      <c r="BQ32" s="31">
        <f t="shared" si="24"/>
        <v>8</v>
      </c>
      <c r="BR32" s="31">
        <v>1</v>
      </c>
      <c r="BS32" s="107">
        <f t="shared" si="25"/>
        <v>5.8883766524995849E-6</v>
      </c>
    </row>
    <row r="33" spans="1:71" x14ac:dyDescent="0.25">
      <c r="A33" s="26" t="s">
        <v>116</v>
      </c>
      <c r="B33" s="255">
        <f>IF(B17&lt;&gt;"CA",0.005,IF((B18-B16)&lt;0,0.1,0.1+0.055*(B18-B16)))</f>
        <v>5.0000000000000001E-3</v>
      </c>
      <c r="C33" s="256">
        <f>IF(C17&lt;&gt;"CA",0.005,IF((C18-C16)&lt;0,0.1,0.1+0.055*(C18-C16)))</f>
        <v>5.0000000000000001E-3</v>
      </c>
      <c r="G33" s="87">
        <v>8</v>
      </c>
      <c r="H33" s="126">
        <f>J33*L25+J32*L26+J31*L27+J30*L28</f>
        <v>1.8398564152972876E-4</v>
      </c>
      <c r="I33" s="138">
        <v>8</v>
      </c>
      <c r="J33" s="86">
        <f t="shared" si="17"/>
        <v>1.7913647429248834E-6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1.8057838932088472E-2</v>
      </c>
      <c r="S33" s="72">
        <v>8</v>
      </c>
      <c r="T33" s="175">
        <f t="shared" si="19"/>
        <v>0</v>
      </c>
      <c r="U33" s="138">
        <v>8</v>
      </c>
      <c r="V33" s="86">
        <f>T33*R25+T32*R26+T31*R27+T30*R28+T29*R29+T28*R30+T27*R31+T26*R32+T25*R33</f>
        <v>1.8281965297063975E-2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7.3717224806453664E-7</v>
      </c>
      <c r="AP33" s="28">
        <v>8</v>
      </c>
      <c r="AQ33" s="176">
        <f>((($W$25)^Q33)*((1-($W$25))^($U$34-Q33))*HLOOKUP($U$34,$AV$24:$BF$34,Q33+1))*V34</f>
        <v>8.1988734384869092E-7</v>
      </c>
      <c r="AR33" s="28">
        <v>8</v>
      </c>
      <c r="AS33" s="176">
        <f>((($W$25)^Q33)*((1-($W$25))^($U$35-Q33))*HLOOKUP($U$35,$AV$24:$BF$34,Q33+1))*V35</f>
        <v>2.3430515101165567E-7</v>
      </c>
      <c r="AV33" s="29">
        <v>9</v>
      </c>
      <c r="BE33" s="31">
        <v>1</v>
      </c>
      <c r="BF33" s="31">
        <f t="shared" si="20"/>
        <v>10</v>
      </c>
      <c r="BI33" s="31">
        <f t="shared" si="22"/>
        <v>3</v>
      </c>
      <c r="BJ33" s="31">
        <v>6</v>
      </c>
      <c r="BK33" s="107">
        <f t="shared" si="23"/>
        <v>2.8103419463548836E-2</v>
      </c>
      <c r="BQ33" s="31">
        <f t="shared" si="24"/>
        <v>8</v>
      </c>
      <c r="BR33" s="31">
        <v>2</v>
      </c>
      <c r="BS33" s="107">
        <f t="shared" si="25"/>
        <v>1.8202251688408206E-5</v>
      </c>
    </row>
    <row r="34" spans="1:71" x14ac:dyDescent="0.25">
      <c r="A34" s="40" t="s">
        <v>117</v>
      </c>
      <c r="B34" s="56">
        <f>B23*2</f>
        <v>4.3367603379824313</v>
      </c>
      <c r="C34" s="57">
        <f>C23*2</f>
        <v>5.6632396620175687</v>
      </c>
      <c r="G34" s="87">
        <v>9</v>
      </c>
      <c r="H34" s="126">
        <f>J34*L25+J33*L26+J32*L27+J31*L28</f>
        <v>1.7959909194790075E-5</v>
      </c>
      <c r="I34" s="138">
        <v>9</v>
      </c>
      <c r="J34" s="86">
        <f t="shared" si="17"/>
        <v>5.6309867701400931E-8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3.0729376094897963E-3</v>
      </c>
      <c r="S34" s="72">
        <v>9</v>
      </c>
      <c r="T34" s="175">
        <f t="shared" si="19"/>
        <v>0</v>
      </c>
      <c r="U34" s="138">
        <v>9</v>
      </c>
      <c r="V34" s="86">
        <f>T34*R25+T33*R26+T32*R27+T31*R28+T30*R29+T29*R30+T28*R31+T27*R32+T26*R33+T25*R34</f>
        <v>3.1478621161027897E-3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3.5830680801072293E-8</v>
      </c>
      <c r="AR34" s="28">
        <v>9</v>
      </c>
      <c r="AS34" s="176">
        <f>((($W$25)^Q34)*((1-($W$25))^($U$35-Q34))*HLOOKUP($U$35,$AV$24:$BF$34,Q34+1))*V35</f>
        <v>2.0479186900328635E-8</v>
      </c>
      <c r="AV34" s="14">
        <v>10</v>
      </c>
      <c r="BF34" s="31">
        <f t="shared" si="20"/>
        <v>1</v>
      </c>
      <c r="BI34" s="31">
        <f t="shared" si="22"/>
        <v>3</v>
      </c>
      <c r="BJ34" s="31">
        <v>7</v>
      </c>
      <c r="BK34" s="107">
        <f t="shared" si="23"/>
        <v>1.3661481481845863E-2</v>
      </c>
      <c r="BQ34" s="31">
        <f t="shared" si="24"/>
        <v>8</v>
      </c>
      <c r="BR34" s="31">
        <v>3</v>
      </c>
      <c r="BS34" s="107">
        <f t="shared" si="25"/>
        <v>3.4045292148514172E-5</v>
      </c>
    </row>
    <row r="35" spans="1:71" ht="15.75" thickBot="1" x14ac:dyDescent="0.3">
      <c r="G35" s="88">
        <v>10</v>
      </c>
      <c r="H35" s="127">
        <f>J35*L25+J34*L26+J33*L27+J32*L28</f>
        <v>1.2491590594339113E-6</v>
      </c>
      <c r="I35" s="94">
        <v>10</v>
      </c>
      <c r="J35" s="89">
        <f t="shared" si="17"/>
        <v>8.0548247628998099E-10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2.3531749919236515E-4</v>
      </c>
      <c r="S35" s="72">
        <v>10</v>
      </c>
      <c r="T35" s="175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2.5068218724000335E-4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8.0548247628998099E-10</v>
      </c>
      <c r="BI35" s="31">
        <f t="shared" si="22"/>
        <v>3</v>
      </c>
      <c r="BJ35" s="31">
        <v>8</v>
      </c>
      <c r="BK35" s="107">
        <f t="shared" si="23"/>
        <v>4.9157629149313153E-3</v>
      </c>
      <c r="BQ35" s="31">
        <f t="shared" si="24"/>
        <v>8</v>
      </c>
      <c r="BR35" s="31">
        <v>4</v>
      </c>
      <c r="BS35" s="107">
        <f t="shared" si="25"/>
        <v>4.2949266071639024E-5</v>
      </c>
    </row>
    <row r="36" spans="1:71" ht="15.75" x14ac:dyDescent="0.25">
      <c r="A36" s="109" t="s">
        <v>118</v>
      </c>
      <c r="B36" s="182">
        <f>SUM(BO4:BO14)</f>
        <v>0.10587961634117178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</v>
      </c>
      <c r="BI36" s="31">
        <f t="shared" si="22"/>
        <v>3</v>
      </c>
      <c r="BJ36" s="31">
        <v>9</v>
      </c>
      <c r="BK36" s="107">
        <f t="shared" si="23"/>
        <v>1.2943585161786851E-3</v>
      </c>
      <c r="BQ36" s="31">
        <f t="shared" si="24"/>
        <v>8</v>
      </c>
      <c r="BR36" s="31">
        <v>5</v>
      </c>
      <c r="BS36" s="107">
        <f t="shared" si="25"/>
        <v>3.8556537392299878E-5</v>
      </c>
    </row>
    <row r="37" spans="1:71" ht="16.5" thickBot="1" x14ac:dyDescent="0.3">
      <c r="A37" s="110" t="s">
        <v>119</v>
      </c>
      <c r="B37" s="182">
        <f>SUM(BK4:BK59)</f>
        <v>0.79888201282353499</v>
      </c>
      <c r="G37" s="157"/>
      <c r="H37" s="229">
        <f>SUM(H39:H49)</f>
        <v>0.999836051776825</v>
      </c>
      <c r="I37" s="230"/>
      <c r="J37" s="229">
        <f>SUM(J39:J49)</f>
        <v>1</v>
      </c>
      <c r="K37" s="229"/>
      <c r="L37" s="229">
        <f>SUM(L39:L49)</f>
        <v>1</v>
      </c>
      <c r="M37" s="230"/>
      <c r="N37" s="231">
        <f>SUM(N39:N49)</f>
        <v>0.99999999999999989</v>
      </c>
      <c r="O37" s="230"/>
      <c r="P37" s="231">
        <f>SUM(P39:P49)</f>
        <v>0.99999999999999989</v>
      </c>
      <c r="Q37" s="230"/>
      <c r="R37" s="229">
        <f>SUM(R39:R49)</f>
        <v>0.99999999999999989</v>
      </c>
      <c r="S37" s="230"/>
      <c r="T37" s="229">
        <f>SUM(T39:T49)</f>
        <v>1</v>
      </c>
      <c r="U37" s="230"/>
      <c r="V37" s="171">
        <f>SUM(V39:V48)</f>
        <v>0.99621191753243699</v>
      </c>
      <c r="W37" s="157"/>
      <c r="X37" s="157"/>
      <c r="Y37" s="168">
        <f>SUM(Y39:Y49)</f>
        <v>2.3180535610223171E-4</v>
      </c>
      <c r="Z37" s="81"/>
      <c r="AA37" s="168">
        <f>SUM(AA39:AA49)</f>
        <v>3.0305681846580289E-3</v>
      </c>
      <c r="AB37" s="81"/>
      <c r="AC37" s="168">
        <f>SUM(AC39:AC49)</f>
        <v>1.7833975265218092E-2</v>
      </c>
      <c r="AD37" s="81"/>
      <c r="AE37" s="168">
        <f>SUM(AE39:AE49)</f>
        <v>6.2212968648501427E-2</v>
      </c>
      <c r="AF37" s="81"/>
      <c r="AG37" s="168">
        <f>SUM(AG39:AG49)</f>
        <v>0.14249527737151696</v>
      </c>
      <c r="AH37" s="81"/>
      <c r="AI37" s="168">
        <f>SUM(AI39:AI49)</f>
        <v>0.22396944105942748</v>
      </c>
      <c r="AJ37" s="81"/>
      <c r="AK37" s="168">
        <f>SUM(AK39:AK49)</f>
        <v>0.24475636150370289</v>
      </c>
      <c r="AL37" s="81"/>
      <c r="AM37" s="168">
        <f>SUM(AM39:AM49)</f>
        <v>0.18379238369322923</v>
      </c>
      <c r="AN37" s="81"/>
      <c r="AO37" s="168">
        <f>SUM(AO39:AO49)</f>
        <v>9.0946844651974182E-2</v>
      </c>
      <c r="AP37" s="81"/>
      <c r="AQ37" s="168">
        <f>SUM(AQ39:AQ49)</f>
        <v>2.6942291798106491E-2</v>
      </c>
      <c r="AR37" s="81"/>
      <c r="AS37" s="168">
        <f>SUM(AS39:AS49)</f>
        <v>3.7880824675630143E-3</v>
      </c>
      <c r="BI37" s="31">
        <f t="shared" si="22"/>
        <v>3</v>
      </c>
      <c r="BJ37" s="31">
        <v>10</v>
      </c>
      <c r="BK37" s="107">
        <f t="shared" si="23"/>
        <v>2.4303150370164175E-4</v>
      </c>
      <c r="BQ37" s="31">
        <f t="shared" si="24"/>
        <v>8</v>
      </c>
      <c r="BR37" s="31">
        <v>6</v>
      </c>
      <c r="BS37" s="107">
        <f t="shared" si="25"/>
        <v>2.5320064219396482E-5</v>
      </c>
    </row>
    <row r="38" spans="1:71" ht="16.5" thickBot="1" x14ac:dyDescent="0.3">
      <c r="A38" s="111" t="s">
        <v>120</v>
      </c>
      <c r="B38" s="182">
        <f>SUM(BS4:BS47)</f>
        <v>9.5073114720361299E-2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1.9930854649662572E-2</v>
      </c>
      <c r="BQ38" s="31">
        <f>BM11+1</f>
        <v>8</v>
      </c>
      <c r="BR38" s="31">
        <v>7</v>
      </c>
      <c r="BS38" s="107">
        <f t="shared" si="25"/>
        <v>1.230845196261937E-5</v>
      </c>
    </row>
    <row r="39" spans="1:71" x14ac:dyDescent="0.25">
      <c r="G39" s="128">
        <v>0</v>
      </c>
      <c r="H39" s="129">
        <f>L39*J39</f>
        <v>4.7351678982142141E-3</v>
      </c>
      <c r="I39" s="97">
        <v>0</v>
      </c>
      <c r="J39" s="98">
        <f t="shared" ref="J39:J49" si="29">Y39+AA39+AC39+AE39+AG39+AI39+AK39+AM39+AO39+AQ39+AS39</f>
        <v>8.1756515141331327E-3</v>
      </c>
      <c r="K39" s="102">
        <v>0</v>
      </c>
      <c r="L39" s="98">
        <f>AH18</f>
        <v>0.57917927275014069</v>
      </c>
      <c r="M39" s="85">
        <v>0</v>
      </c>
      <c r="N39" s="173">
        <f>(1-$C$24)^$B$21</f>
        <v>1.5340061903146452E-2</v>
      </c>
      <c r="O39" s="72">
        <v>0</v>
      </c>
      <c r="P39" s="173">
        <f t="shared" ref="P39:P44" si="30">N39</f>
        <v>1.5340061903146452E-2</v>
      </c>
      <c r="Q39" s="28">
        <v>0</v>
      </c>
      <c r="R39" s="174">
        <f>P39*N39</f>
        <v>2.3531749919236515E-4</v>
      </c>
      <c r="S39" s="72">
        <v>0</v>
      </c>
      <c r="T39" s="175">
        <f>(1-$C$33)^(INT(B23*2*(1-B31)))</f>
        <v>0.98507487500000002</v>
      </c>
      <c r="U39" s="138">
        <v>0</v>
      </c>
      <c r="V39" s="86">
        <f>R39*T39</f>
        <v>2.3180535610223171E-4</v>
      </c>
      <c r="W39" s="134">
        <f>C31</f>
        <v>0.67275832555955561</v>
      </c>
      <c r="X39" s="28">
        <v>0</v>
      </c>
      <c r="Y39" s="176">
        <f>V39</f>
        <v>2.3180535610223171E-4</v>
      </c>
      <c r="Z39" s="28">
        <v>0</v>
      </c>
      <c r="AA39" s="176">
        <f>((1-W39)^Z40)*V40</f>
        <v>9.9172820725343131E-4</v>
      </c>
      <c r="AB39" s="28">
        <v>0</v>
      </c>
      <c r="AC39" s="176">
        <f>(((1-$W$39)^AB41))*V41</f>
        <v>1.9097889332147097E-3</v>
      </c>
      <c r="AD39" s="28">
        <v>0</v>
      </c>
      <c r="AE39" s="176">
        <f>(((1-$W$39)^AB42))*V42</f>
        <v>2.1801518508046645E-3</v>
      </c>
      <c r="AF39" s="28">
        <v>0</v>
      </c>
      <c r="AG39" s="176">
        <f>(((1-$W$39)^AB43))*V43</f>
        <v>1.6340859498438114E-3</v>
      </c>
      <c r="AH39" s="28">
        <v>0</v>
      </c>
      <c r="AI39" s="176">
        <f>(((1-$W$39)^AB44))*V44</f>
        <v>8.4048854186004514E-4</v>
      </c>
      <c r="AJ39" s="28">
        <v>0</v>
      </c>
      <c r="AK39" s="176">
        <f>(((1-$W$39)^AB45))*V45</f>
        <v>3.0056999609432219E-4</v>
      </c>
      <c r="AL39" s="28">
        <v>0</v>
      </c>
      <c r="AM39" s="176">
        <f>(((1-$W$39)^AB46))*V46</f>
        <v>7.385973647996512E-5</v>
      </c>
      <c r="AN39" s="28">
        <v>0</v>
      </c>
      <c r="AO39" s="176">
        <f>(((1-$W$39)^AB47))*V47</f>
        <v>1.1960146124198113E-5</v>
      </c>
      <c r="AP39" s="28">
        <v>0</v>
      </c>
      <c r="AQ39" s="176">
        <f>(((1-$W$39)^AB48))*V48</f>
        <v>1.1594499102868507E-6</v>
      </c>
      <c r="AR39" s="28">
        <v>0</v>
      </c>
      <c r="AS39" s="176">
        <f>(((1-$W$39)^AB49))*V49</f>
        <v>5.3346445467719119E-8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1.3088585070341326E-2</v>
      </c>
      <c r="BQ39" s="31">
        <f t="shared" ref="BQ39:BQ46" si="31">BQ31+1</f>
        <v>9</v>
      </c>
      <c r="BR39" s="31">
        <v>0</v>
      </c>
      <c r="BS39" s="107">
        <f t="shared" ref="BS39:BS47" si="32">$H$34*H39</f>
        <v>8.5043185474012262E-8</v>
      </c>
    </row>
    <row r="40" spans="1:71" x14ac:dyDescent="0.25">
      <c r="G40" s="91">
        <v>1</v>
      </c>
      <c r="H40" s="130">
        <f>L39*J40+L40*J39</f>
        <v>3.2004544504349974E-2</v>
      </c>
      <c r="I40" s="138">
        <v>1</v>
      </c>
      <c r="J40" s="86">
        <f t="shared" si="29"/>
        <v>5.0404471668103024E-2</v>
      </c>
      <c r="K40" s="95">
        <v>1</v>
      </c>
      <c r="L40" s="86">
        <f>AI18</f>
        <v>0.34386485962655194</v>
      </c>
      <c r="M40" s="85">
        <v>1</v>
      </c>
      <c r="N40" s="173">
        <f>(($C$24)^M26)*((1-($C$24))^($B$21-M26))*HLOOKUP($B$21,$AV$24:$BF$34,M26+1)</f>
        <v>0.10016053484306656</v>
      </c>
      <c r="O40" s="72">
        <v>1</v>
      </c>
      <c r="P40" s="173">
        <f t="shared" si="30"/>
        <v>0.10016053484306656</v>
      </c>
      <c r="Q40" s="28">
        <v>1</v>
      </c>
      <c r="R40" s="174">
        <f>P40*N39+P39*N40</f>
        <v>3.0729376094897963E-3</v>
      </c>
      <c r="S40" s="72">
        <v>1</v>
      </c>
      <c r="T40" s="175">
        <f t="shared" ref="T40:T49" si="33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3.0305681846580289E-3</v>
      </c>
      <c r="W40" s="177"/>
      <c r="X40" s="28">
        <v>1</v>
      </c>
      <c r="Y40" s="174"/>
      <c r="Z40" s="28">
        <v>1</v>
      </c>
      <c r="AA40" s="176">
        <f>(1-((1-W39)^Z40))*V40</f>
        <v>2.0388399774045976E-3</v>
      </c>
      <c r="AB40" s="28">
        <v>1</v>
      </c>
      <c r="AC40" s="176">
        <f>((($W$39)^M40)*((1-($W$39))^($U$27-M40))*HLOOKUP($U$27,$AV$24:$BF$34,M40+1))*V41</f>
        <v>7.852461989009454E-3</v>
      </c>
      <c r="AD40" s="28">
        <v>1</v>
      </c>
      <c r="AE40" s="176">
        <f>((($W$39)^M40)*((1-($W$39))^($U$28-M40))*HLOOKUP($U$28,$AV$24:$BF$34,M40+1))*V42</f>
        <v>1.344616615033099E-2</v>
      </c>
      <c r="AF40" s="28">
        <v>1</v>
      </c>
      <c r="AG40" s="176">
        <f>((($W$39)^M40)*((1-($W$39))^($U$29-M40))*HLOOKUP($U$29,$AV$24:$BF$34,M40+1))*V43</f>
        <v>1.3437713021327194E-2</v>
      </c>
      <c r="AH40" s="28">
        <v>1</v>
      </c>
      <c r="AI40" s="176">
        <f>((($W$39)^M40)*((1-($W$39))^($U$30-M40))*HLOOKUP($U$30,$AV$24:$BF$34,M40+1))*V44</f>
        <v>8.6395729553795479E-3</v>
      </c>
      <c r="AJ40" s="28">
        <v>1</v>
      </c>
      <c r="AK40" s="176">
        <f>((($W$39)^M40)*((1-($W$39))^($U$31-M40))*HLOOKUP($U$31,$AV$24:$BF$34,M40+1))*V45</f>
        <v>3.7075528530702341E-3</v>
      </c>
      <c r="AL40" s="28">
        <v>1</v>
      </c>
      <c r="AM40" s="176">
        <f>((($W$39)^Q40)*((1-($W$39))^($U$32-Q40))*HLOOKUP($U$32,$AV$24:$BF$34,Q40+1))*V46</f>
        <v>1.0629094508774789E-3</v>
      </c>
      <c r="AN40" s="28">
        <v>1</v>
      </c>
      <c r="AO40" s="176">
        <f>((($W$39)^Q40)*((1-($W$39))^($U$33-Q40))*HLOOKUP($U$33,$AV$24:$BF$34,Q40+1))*V47</f>
        <v>1.9670570122149884E-4</v>
      </c>
      <c r="AP40" s="28">
        <v>1</v>
      </c>
      <c r="AQ40" s="176">
        <f>((($W$39)^Q40)*((1-($W$39))^($U$34-Q40))*HLOOKUP($U$34,$AV$24:$BF$34,Q40+1))*V48</f>
        <v>2.1452848980610094E-5</v>
      </c>
      <c r="AR40" s="28">
        <v>1</v>
      </c>
      <c r="AS40" s="176">
        <f>((($W$39)^Q40)*((1-($W$39))^($U$35-Q40))*HLOOKUP($U$35,$AV$24:$BF$34,Q40+1))*V49</f>
        <v>1.096720501408767E-6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6.3625518166554318E-3</v>
      </c>
      <c r="BQ40" s="31">
        <f t="shared" si="31"/>
        <v>9</v>
      </c>
      <c r="BR40" s="31">
        <v>1</v>
      </c>
      <c r="BS40" s="107">
        <f t="shared" si="32"/>
        <v>5.747987131187433E-7</v>
      </c>
    </row>
    <row r="41" spans="1:71" x14ac:dyDescent="0.25">
      <c r="G41" s="91">
        <v>2</v>
      </c>
      <c r="H41" s="130">
        <f>L39*J41+J40*L40+J39*L41</f>
        <v>9.8933001168284379E-2</v>
      </c>
      <c r="I41" s="138">
        <v>2</v>
      </c>
      <c r="J41" s="86">
        <f t="shared" si="29"/>
        <v>0.13988988337239275</v>
      </c>
      <c r="K41" s="95">
        <v>2</v>
      </c>
      <c r="L41" s="86">
        <f>AJ18</f>
        <v>7.0863303781438375E-2</v>
      </c>
      <c r="M41" s="85">
        <v>2</v>
      </c>
      <c r="N41" s="173">
        <f>(($C$24)^M27)*((1-($C$24))^($B$21-M27))*HLOOKUP($B$21,$AV$24:$BF$34,M27+1)</f>
        <v>0.26159301842169036</v>
      </c>
      <c r="O41" s="72">
        <v>2</v>
      </c>
      <c r="P41" s="173">
        <f t="shared" si="30"/>
        <v>0.26159301842169036</v>
      </c>
      <c r="Q41" s="28">
        <v>2</v>
      </c>
      <c r="R41" s="174">
        <f>P41*N39+P40*N40+P39*N41</f>
        <v>1.8057838932088472E-2</v>
      </c>
      <c r="S41" s="72">
        <v>2</v>
      </c>
      <c r="T41" s="175">
        <f t="shared" si="33"/>
        <v>7.4625000000000011E-5</v>
      </c>
      <c r="U41" s="138">
        <v>2</v>
      </c>
      <c r="V41" s="86">
        <f>R41*T39+T40*R40+R39*T41</f>
        <v>1.7833975265218092E-2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8.071724342993929E-3</v>
      </c>
      <c r="AD41" s="28">
        <v>2</v>
      </c>
      <c r="AE41" s="176">
        <f>((($W$39)^M41)*((1-($W$39))^($U$28-M41))*HLOOKUP($U$28,$AV$24:$BF$34,M41+1))*V42</f>
        <v>2.7643240244263456E-2</v>
      </c>
      <c r="AF41" s="28">
        <v>2</v>
      </c>
      <c r="AG41" s="176">
        <f>((($W$39)^M41)*((1-($W$39))^($U$29-M41))*HLOOKUP($U$29,$AV$24:$BF$34,M41+1))*V43</f>
        <v>4.1438792875492375E-2</v>
      </c>
      <c r="AH41" s="28">
        <v>2</v>
      </c>
      <c r="AI41" s="176">
        <f>((($W$39)^M41)*((1-($W$39))^($U$30-M41))*HLOOKUP($U$30,$AV$24:$BF$34,M41+1))*V44</f>
        <v>3.5523254456813216E-2</v>
      </c>
      <c r="AJ41" s="28">
        <v>2</v>
      </c>
      <c r="AK41" s="176">
        <f>((($W$39)^M41)*((1-($W$39))^($U$31-M41))*HLOOKUP($U$31,$AV$24:$BF$34,M41+1))*V45</f>
        <v>1.9055389672022246E-2</v>
      </c>
      <c r="AL41" s="28">
        <v>2</v>
      </c>
      <c r="AM41" s="176">
        <f>((($W$39)^Q41)*((1-($W$39))^($U$32-Q41))*HLOOKUP($U$32,$AV$24:$BF$34,Q41+1))*V46</f>
        <v>6.5555328515216277E-3</v>
      </c>
      <c r="AN41" s="28">
        <v>2</v>
      </c>
      <c r="AO41" s="176">
        <f>((($W$39)^Q41)*((1-($W$39))^($U$33-Q41))*HLOOKUP($U$33,$AV$24:$BF$34,Q41+1))*V47</f>
        <v>1.4153878610609926E-3</v>
      </c>
      <c r="AP41" s="28">
        <v>2</v>
      </c>
      <c r="AQ41" s="176">
        <f>((($W$39)^Q41)*((1-($W$39))^($U$34-Q41))*HLOOKUP($U$34,$AV$24:$BF$34,Q41+1))*V48</f>
        <v>1.7641497261442347E-4</v>
      </c>
      <c r="AR41" s="28">
        <v>2</v>
      </c>
      <c r="AS41" s="176">
        <f>((($W$39)^Q41)*((1-($W$39))^($U$35-Q41))*HLOOKUP($U$35,$AV$24:$BF$34,Q41+1))*V49</f>
        <v>1.0146095610478088E-5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2.2894146806996E-3</v>
      </c>
      <c r="BQ41" s="31">
        <f t="shared" si="31"/>
        <v>9</v>
      </c>
      <c r="BR41" s="31">
        <v>2</v>
      </c>
      <c r="BS41" s="107">
        <f t="shared" si="32"/>
        <v>1.7768277173504477E-6</v>
      </c>
    </row>
    <row r="42" spans="1:71" ht="15" customHeight="1" x14ac:dyDescent="0.25">
      <c r="G42" s="91">
        <v>3</v>
      </c>
      <c r="H42" s="130">
        <f>J42*L39+J41*L40+L42*J39+L41*J40</f>
        <v>0.18504320155338355</v>
      </c>
      <c r="I42" s="138">
        <v>3</v>
      </c>
      <c r="J42" s="86">
        <f t="shared" si="29"/>
        <v>0.23018494385125632</v>
      </c>
      <c r="K42" s="95">
        <v>3</v>
      </c>
      <c r="L42" s="86">
        <f>AK18</f>
        <v>6.0925638418689865E-3</v>
      </c>
      <c r="M42" s="85">
        <v>3</v>
      </c>
      <c r="N42" s="173">
        <f>(($C$24)^M28)*((1-($C$24))^($B$21-M28))*HLOOKUP($B$21,$AV$24:$BF$34,M28+1)</f>
        <v>0.34160613955481417</v>
      </c>
      <c r="O42" s="72">
        <v>3</v>
      </c>
      <c r="P42" s="173">
        <f t="shared" si="30"/>
        <v>0.34160613955481417</v>
      </c>
      <c r="Q42" s="28">
        <v>3</v>
      </c>
      <c r="R42" s="174">
        <f>P42*N39+P41*N40+P40*N41+P39*N42</f>
        <v>6.2883111927188803E-2</v>
      </c>
      <c r="S42" s="72">
        <v>3</v>
      </c>
      <c r="T42" s="175">
        <f t="shared" si="33"/>
        <v>1.2500000000000002E-7</v>
      </c>
      <c r="U42" s="138">
        <v>3</v>
      </c>
      <c r="V42" s="86">
        <f>R42*T39+R41*T40+R40*T41+R39*T42</f>
        <v>6.2212968648501427E-2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1.8943410403102316E-2</v>
      </c>
      <c r="AF42" s="28">
        <v>3</v>
      </c>
      <c r="AG42" s="176">
        <f>((($W$39)^M42)*((1-($W$39))^($U$29-M42))*HLOOKUP($U$29,$AV$24:$BF$34,M42+1))*V43</f>
        <v>5.6794504053301519E-2</v>
      </c>
      <c r="AH42" s="28">
        <v>3</v>
      </c>
      <c r="AI42" s="176">
        <f>((($W$39)^M42)*((1-($W$39))^($U$30-M42))*HLOOKUP($U$30,$AV$24:$BF$34,M42+1))*V44</f>
        <v>7.3030323010222359E-2</v>
      </c>
      <c r="AJ42" s="28">
        <v>3</v>
      </c>
      <c r="AK42" s="176">
        <f>((($W$39)^M42)*((1-($W$39))^($U$31-M42))*HLOOKUP($U$31,$AV$24:$BF$34,M42+1))*V45</f>
        <v>5.2233249613067946E-2</v>
      </c>
      <c r="AL42" s="28">
        <v>3</v>
      </c>
      <c r="AM42" s="176">
        <f>((($W$39)^Q42)*((1-($W$39))^($U$32-Q42))*HLOOKUP($U$32,$AV$24:$BF$34,Q42+1))*V46</f>
        <v>2.2461937913223571E-2</v>
      </c>
      <c r="AN42" s="28">
        <v>3</v>
      </c>
      <c r="AO42" s="176">
        <f>((($W$39)^Q42)*((1-($W$39))^($U$33-Q42))*HLOOKUP($U$33,$AV$24:$BF$34,Q42+1))*V47</f>
        <v>5.8196375449607396E-3</v>
      </c>
      <c r="AP42" s="28">
        <v>3</v>
      </c>
      <c r="AQ42" s="176">
        <f>((($W$39)^Q42)*((1-($W$39))^($U$34-Q42))*HLOOKUP($U$34,$AV$24:$BF$34,Q42+1))*V48</f>
        <v>8.4625783322431431E-4</v>
      </c>
      <c r="AR42" s="28">
        <v>3</v>
      </c>
      <c r="AS42" s="176">
        <f>((($W$39)^Q42)*((1-($W$39))^($U$35-Q42))*HLOOKUP($U$35,$AV$24:$BF$34,Q42+1))*V49</f>
        <v>5.5623480153571985E-5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6.0282064865803983E-4</v>
      </c>
      <c r="BQ42" s="31">
        <f t="shared" si="31"/>
        <v>9</v>
      </c>
      <c r="BR42" s="31">
        <v>3</v>
      </c>
      <c r="BS42" s="107">
        <f t="shared" si="32"/>
        <v>3.3233590970120063E-6</v>
      </c>
    </row>
    <row r="43" spans="1:71" ht="15" customHeight="1" x14ac:dyDescent="0.25">
      <c r="G43" s="91">
        <v>4</v>
      </c>
      <c r="H43" s="130">
        <f>J43*L39+J42*L40+J41*L41+J40*L42</f>
        <v>0.23343814068609911</v>
      </c>
      <c r="I43" s="138">
        <v>4</v>
      </c>
      <c r="J43" s="86">
        <f t="shared" si="29"/>
        <v>0.24874073071287184</v>
      </c>
      <c r="K43" s="95">
        <v>4</v>
      </c>
      <c r="L43" s="86"/>
      <c r="M43" s="85">
        <v>4</v>
      </c>
      <c r="N43" s="173">
        <f>(($C$24)^M29)*((1-($C$24))^($B$21-M29))*HLOOKUP($B$21,$AV$24:$BF$34,M29+1)</f>
        <v>0.22304638572851768</v>
      </c>
      <c r="O43" s="72">
        <v>4</v>
      </c>
      <c r="P43" s="173">
        <f t="shared" si="30"/>
        <v>0.22304638572851768</v>
      </c>
      <c r="Q43" s="28">
        <v>4</v>
      </c>
      <c r="R43" s="174">
        <f>P43*N39+P42*N40+P41*N41+P40*N42+P39*N43</f>
        <v>0.14370490530263877</v>
      </c>
      <c r="S43" s="72">
        <v>4</v>
      </c>
      <c r="T43" s="175">
        <f t="shared" si="33"/>
        <v>0</v>
      </c>
      <c r="U43" s="138">
        <v>4</v>
      </c>
      <c r="V43" s="86">
        <f>T43*R39+T42*R40+T41*R41+T40*R42+T39*R43</f>
        <v>0.14249527737151696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2.9190181471552064E-2</v>
      </c>
      <c r="AH43" s="28">
        <v>4</v>
      </c>
      <c r="AI43" s="176">
        <f>((($W$39)^M43)*((1-($W$39))^($U$30-M43))*HLOOKUP($U$30,$AV$24:$BF$34,M43+1))*V44</f>
        <v>7.5069530657184538E-2</v>
      </c>
      <c r="AJ43" s="28">
        <v>4</v>
      </c>
      <c r="AK43" s="176">
        <f>((($W$39)^M43)*((1-($W$39))^($U$31-M43))*HLOOKUP($U$31,$AV$24:$BF$34,M43+1))*V45</f>
        <v>8.0537618584893569E-2</v>
      </c>
      <c r="AL43" s="28">
        <v>4</v>
      </c>
      <c r="AM43" s="176">
        <f>((($W$39)^Q43)*((1-($W$39))^($U$32-Q43))*HLOOKUP($U$32,$AV$24:$BF$34,Q43+1))*V46</f>
        <v>4.6178274100211414E-2</v>
      </c>
      <c r="AN43" s="28">
        <v>4</v>
      </c>
      <c r="AO43" s="176">
        <f>((($W$39)^Q43)*((1-($W$39))^($U$33-Q43))*HLOOKUP($U$33,$AV$24:$BF$34,Q43+1))*V47</f>
        <v>1.495534461192171E-2</v>
      </c>
      <c r="AP43" s="28">
        <v>4</v>
      </c>
      <c r="AQ43" s="176">
        <f>((($W$39)^Q43)*((1-($W$39))^($U$34-Q43))*HLOOKUP($U$34,$AV$24:$BF$34,Q43+1))*V48</f>
        <v>2.6096630441942419E-3</v>
      </c>
      <c r="AR43" s="28">
        <v>4</v>
      </c>
      <c r="AS43" s="176">
        <f>((($W$39)^Q43)*((1-($W$39))^($U$35-Q43))*HLOOKUP($U$35,$AV$24:$BF$34,Q43+1))*V49</f>
        <v>2.0011824291427349E-4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1.13186885143913E-4</v>
      </c>
      <c r="BQ43" s="31">
        <f t="shared" si="31"/>
        <v>9</v>
      </c>
      <c r="BR43" s="31">
        <v>4</v>
      </c>
      <c r="BS43" s="107">
        <f t="shared" si="32"/>
        <v>4.1925278093229708E-6</v>
      </c>
    </row>
    <row r="44" spans="1:71" ht="15" customHeight="1" thickBot="1" x14ac:dyDescent="0.3">
      <c r="G44" s="91">
        <v>5</v>
      </c>
      <c r="H44" s="130">
        <f>J44*L39+J43*L40+J42*L41+J41*L42</f>
        <v>0.20956275213503461</v>
      </c>
      <c r="I44" s="138">
        <v>5</v>
      </c>
      <c r="J44" s="86">
        <f t="shared" si="29"/>
        <v>0.18451213133075331</v>
      </c>
      <c r="K44" s="95">
        <v>5</v>
      </c>
      <c r="L44" s="86"/>
      <c r="M44" s="85">
        <v>5</v>
      </c>
      <c r="N44" s="173">
        <f>(($C$24)^M30)*((1-($C$24))^($B$21-M30))*HLOOKUP($B$21,$AV$24:$BF$34,M30+1)</f>
        <v>5.8253859548764761E-2</v>
      </c>
      <c r="O44" s="72">
        <v>5</v>
      </c>
      <c r="P44" s="173">
        <f t="shared" si="30"/>
        <v>5.8253859548764761E-2</v>
      </c>
      <c r="Q44" s="28">
        <v>5</v>
      </c>
      <c r="R44" s="174">
        <f>P44*N39+P43*N40+P42*N41+P41*N42+P40*N43+P39*N44</f>
        <v>0.22519168851696308</v>
      </c>
      <c r="S44" s="72">
        <v>5</v>
      </c>
      <c r="T44" s="175">
        <f t="shared" si="33"/>
        <v>0</v>
      </c>
      <c r="U44" s="138">
        <v>5</v>
      </c>
      <c r="V44" s="86">
        <f>T44*R39+T43*R40+T42*R41+T41*R42+T40*R43+T39*R44</f>
        <v>0.22396944105942745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3.0866271437967777E-2</v>
      </c>
      <c r="AJ44" s="28">
        <v>5</v>
      </c>
      <c r="AK44" s="176">
        <f>((($W$39)^M44)*((1-($W$39))^($U$31-M44))*HLOOKUP($U$31,$AV$24:$BF$34,M44+1))*V45</f>
        <v>6.622916047153761E-2</v>
      </c>
      <c r="AL44" s="28">
        <v>5</v>
      </c>
      <c r="AM44" s="176">
        <f>((($W$39)^Q44)*((1-($W$39))^($U$32-Q44))*HLOOKUP($U$32,$AV$24:$BF$34,Q44+1))*V46</f>
        <v>5.6961238352071258E-2</v>
      </c>
      <c r="AN44" s="28">
        <v>5</v>
      </c>
      <c r="AO44" s="176">
        <f>((($W$39)^Q44)*((1-($W$39))^($U$33-Q44))*HLOOKUP($U$33,$AV$24:$BF$34,Q44+1))*V47</f>
        <v>2.4596702401029083E-2</v>
      </c>
      <c r="AP44" s="28">
        <v>5</v>
      </c>
      <c r="AQ44" s="176">
        <f>((($W$39)^Q44)*((1-($W$39))^($U$34-Q44))*HLOOKUP($U$34,$AV$24:$BF$34,Q44+1))*V48</f>
        <v>5.3650640398684619E-3</v>
      </c>
      <c r="AR44" s="28">
        <v>5</v>
      </c>
      <c r="AS44" s="176">
        <f>((($W$39)^Q44)*((1-($W$39))^($U$35-Q44))*HLOOKUP($U$35,$AV$24:$BF$34,Q44+1))*V49</f>
        <v>4.9369462827912147E-4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4.3434060573831782E-3</v>
      </c>
      <c r="BQ44" s="31">
        <f t="shared" si="31"/>
        <v>9</v>
      </c>
      <c r="BR44" s="31">
        <v>5</v>
      </c>
      <c r="BS44" s="107">
        <f t="shared" si="32"/>
        <v>3.7637279989555215E-6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0.13761978385310691</v>
      </c>
      <c r="I45" s="138">
        <v>6</v>
      </c>
      <c r="J45" s="86">
        <f t="shared" si="29"/>
        <v>9.5209794063670777E-2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0.24505898462124065</v>
      </c>
      <c r="S45" s="72">
        <v>6</v>
      </c>
      <c r="T45" s="175">
        <f t="shared" si="33"/>
        <v>0</v>
      </c>
      <c r="U45" s="138">
        <v>6</v>
      </c>
      <c r="V45" s="86">
        <f>T45*R39+T44*R40+T43*R41+T42*R42+T41*R43+T40*R44+T39*R45</f>
        <v>0.24475636150370284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2.2692820313016934E-2</v>
      </c>
      <c r="AL45" s="28">
        <v>6</v>
      </c>
      <c r="AM45" s="176">
        <f>((($W$39)^Q45)*((1-($W$39))^($U$32-Q45))*HLOOKUP($U$32,$AV$24:$BF$34,Q45+1))*V46</f>
        <v>3.9034501948306884E-2</v>
      </c>
      <c r="AN45" s="28">
        <v>6</v>
      </c>
      <c r="AO45" s="176">
        <f>((($W$39)^Q45)*((1-($W$39))^($U$33-Q45))*HLOOKUP($U$33,$AV$24:$BF$34,Q45+1))*V47</f>
        <v>2.5283510038716935E-2</v>
      </c>
      <c r="AP45" s="28">
        <v>6</v>
      </c>
      <c r="AQ45" s="176">
        <f>((($W$39)^Q45)*((1-($W$39))^($U$34-Q45))*HLOOKUP($U$34,$AV$24:$BF$34,Q45+1))*V48</f>
        <v>7.3531618614966982E-3</v>
      </c>
      <c r="AR45" s="28">
        <v>6</v>
      </c>
      <c r="AS45" s="176">
        <f>((($W$39)^Q45)*((1-($W$39))^($U$35-Q45))*HLOOKUP($U$35,$AV$24:$BF$34,Q45+1))*V49</f>
        <v>8.4579990213332762E-4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2.111392939141807E-3</v>
      </c>
      <c r="BQ45" s="31">
        <f t="shared" si="31"/>
        <v>9</v>
      </c>
      <c r="BR45" s="31">
        <v>6</v>
      </c>
      <c r="BS45" s="107">
        <f t="shared" si="32"/>
        <v>2.4716388214084375E-6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6.6898981139408897E-2</v>
      </c>
      <c r="I46" s="138">
        <v>7</v>
      </c>
      <c r="J46" s="86">
        <f t="shared" si="29"/>
        <v>3.3787588046647596E-2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0.182865635448895</v>
      </c>
      <c r="S46" s="72">
        <v>7</v>
      </c>
      <c r="T46" s="175">
        <f t="shared" si="33"/>
        <v>0</v>
      </c>
      <c r="U46" s="138">
        <v>7</v>
      </c>
      <c r="V46" s="86">
        <f>T46*R39+T45*R40+T44*R41+T43*R42+T42*R43+T41*R44+T40*R45+T39*R46</f>
        <v>0.18379238369322923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1.1464129340537029E-2</v>
      </c>
      <c r="AN46" s="28">
        <v>7</v>
      </c>
      <c r="AO46" s="176">
        <f>((($W$39)^Q46)*((1-($W$39))^($U$33-Q46))*HLOOKUP($U$33,$AV$24:$BF$34,Q46+1))*V47</f>
        <v>1.4851140134974345E-2</v>
      </c>
      <c r="AP46" s="28">
        <v>7</v>
      </c>
      <c r="AQ46" s="176">
        <f>((($W$39)^Q46)*((1-($W$39))^($U$34-Q46))*HLOOKUP($U$34,$AV$24:$BF$34,Q46+1))*V48</f>
        <v>6.4786991841527947E-3</v>
      </c>
      <c r="AR46" s="28">
        <v>7</v>
      </c>
      <c r="AS46" s="176">
        <f>((($W$39)^Q46)*((1-($W$39))^($U$35-Q46))*HLOOKUP($U$35,$AV$24:$BF$34,Q46+1))*V49</f>
        <v>9.93619386983428E-4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7.597351080022663E-4</v>
      </c>
      <c r="BQ46" s="31">
        <f t="shared" si="31"/>
        <v>9</v>
      </c>
      <c r="BR46" s="31">
        <v>7</v>
      </c>
      <c r="BS46" s="107">
        <f t="shared" si="32"/>
        <v>1.2014996264877578E-6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2.4072025495097484E-2</v>
      </c>
      <c r="I47" s="138">
        <v>8</v>
      </c>
      <c r="J47" s="86">
        <f t="shared" si="29"/>
        <v>7.9122803430505071E-3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8.9549442335798451E-2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9.0946844651974168E-2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3.8164562119646778E-3</v>
      </c>
      <c r="AP47" s="28">
        <v>8</v>
      </c>
      <c r="AQ47" s="176">
        <f>((($W$39)^Q47)*((1-($W$39))^($U$34-Q47))*HLOOKUP($U$34,$AV$24:$BF$34,Q47+1))*V48</f>
        <v>3.329801149553713E-3</v>
      </c>
      <c r="AR47" s="28">
        <v>8</v>
      </c>
      <c r="AS47" s="176">
        <f>((($W$39)^Q47)*((1-($W$39))^($U$35-Q47))*HLOOKUP($U$35,$AV$24:$BF$34,Q47+1))*V49</f>
        <v>7.6602298153211588E-4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2.0004414860931233E-4</v>
      </c>
      <c r="BQ47" s="31">
        <f>BM12+1</f>
        <v>9</v>
      </c>
      <c r="BR47" s="31">
        <v>8</v>
      </c>
      <c r="BS47" s="107">
        <f t="shared" si="32"/>
        <v>4.3233139202662243E-7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6.3383510841440172E-3</v>
      </c>
      <c r="I48" s="138">
        <v>9</v>
      </c>
      <c r="J48" s="86">
        <f t="shared" si="29"/>
        <v>1.1105785037937967E-3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2.5986625654177354E-2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2.6942291798106487E-2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7.6061741411094519E-4</v>
      </c>
      <c r="AR48" s="28">
        <v>9</v>
      </c>
      <c r="AS48" s="176">
        <f>((($W$39)^Q48)*((1-($W$39))^($U$35-Q48))*HLOOKUP($U$35,$AV$24:$BF$34,Q48+1))*V49</f>
        <v>3.4996108968285146E-4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3.7560714157285554E-5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1.1901022597017457E-3</v>
      </c>
      <c r="I49" s="94">
        <v>10</v>
      </c>
      <c r="J49" s="89">
        <f t="shared" si="29"/>
        <v>7.1946593326969687E-5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3.3935121523272112E-3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3.7880824675630143E-3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7.1946593326969687E-5</v>
      </c>
      <c r="BI49" s="31">
        <f>BQ14+1</f>
        <v>6</v>
      </c>
      <c r="BJ49" s="31">
        <v>0</v>
      </c>
      <c r="BK49" s="107">
        <f>$H$31*H39</f>
        <v>3.6307595531696483E-5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181"/>
      <c r="J50" s="181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181"/>
      <c r="X50" s="157"/>
      <c r="Y50" s="157"/>
      <c r="BI50" s="31">
        <f>BI45+1</f>
        <v>6</v>
      </c>
      <c r="BJ50" s="31">
        <v>7</v>
      </c>
      <c r="BK50" s="107">
        <f>$H$31*H46</f>
        <v>5.1295776642012688E-4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1.8457579205043566E-4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4.8600238143145986E-5</v>
      </c>
    </row>
    <row r="53" spans="1:63" x14ac:dyDescent="0.25">
      <c r="BI53" s="31">
        <f>BI48+1</f>
        <v>6</v>
      </c>
      <c r="BJ53" s="31">
        <v>10</v>
      </c>
      <c r="BK53" s="107">
        <f>$H$31*H49</f>
        <v>9.1252839213800198E-6</v>
      </c>
    </row>
    <row r="54" spans="1:63" x14ac:dyDescent="0.25">
      <c r="BI54" s="31">
        <f>BI51+1</f>
        <v>7</v>
      </c>
      <c r="BJ54" s="31">
        <v>8</v>
      </c>
      <c r="BK54" s="107">
        <f>$H$32*H47</f>
        <v>3.321838335042678E-5</v>
      </c>
    </row>
    <row r="55" spans="1:63" x14ac:dyDescent="0.25">
      <c r="BI55" s="31">
        <f>BI52+1</f>
        <v>7</v>
      </c>
      <c r="BJ55" s="31">
        <v>9</v>
      </c>
      <c r="BK55" s="107">
        <f>$H$32*H48</f>
        <v>8.7466580726898033E-6</v>
      </c>
    </row>
    <row r="56" spans="1:63" x14ac:dyDescent="0.25">
      <c r="BI56" s="31">
        <f>BI53+1</f>
        <v>7</v>
      </c>
      <c r="BJ56" s="31">
        <v>10</v>
      </c>
      <c r="BK56" s="107">
        <f>$H$32*H49</f>
        <v>1.6422910941596136E-6</v>
      </c>
    </row>
    <row r="57" spans="1:63" x14ac:dyDescent="0.25">
      <c r="BI57" s="31">
        <f>BI55+1</f>
        <v>8</v>
      </c>
      <c r="BJ57" s="31">
        <v>9</v>
      </c>
      <c r="BK57" s="107">
        <f>$H$33*H48</f>
        <v>1.1661655904568888E-6</v>
      </c>
    </row>
    <row r="58" spans="1:63" x14ac:dyDescent="0.25">
      <c r="BI58" s="31">
        <f>BI56+1</f>
        <v>8</v>
      </c>
      <c r="BJ58" s="31">
        <v>10</v>
      </c>
      <c r="BK58" s="107">
        <f>$H$33*H49</f>
        <v>2.1896172773720556E-7</v>
      </c>
    </row>
    <row r="59" spans="1:63" x14ac:dyDescent="0.25">
      <c r="BI59" s="31">
        <f>BI58+1</f>
        <v>9</v>
      </c>
      <c r="BJ59" s="31">
        <v>10</v>
      </c>
      <c r="BK59" s="107">
        <f>$H$34*H49</f>
        <v>2.1374128516757828E-8</v>
      </c>
    </row>
  </sheetData>
  <mergeCells count="2">
    <mergeCell ref="Q1:R1"/>
    <mergeCell ref="B3:C3"/>
  </mergeCells>
  <conditionalFormatting sqref="H49">
    <cfRule type="cellIs" dxfId="41" priority="1" operator="greaterThan">
      <formula>0.15</formula>
    </cfRule>
  </conditionalFormatting>
  <conditionalFormatting sqref="H39:H49">
    <cfRule type="cellIs" dxfId="40" priority="2" operator="greaterThan">
      <formula>0.15</formula>
    </cfRule>
  </conditionalFormatting>
  <conditionalFormatting sqref="H49">
    <cfRule type="cellIs" dxfId="39" priority="3" operator="greaterThan">
      <formula>0.15</formula>
    </cfRule>
  </conditionalFormatting>
  <conditionalFormatting sqref="H39:H49">
    <cfRule type="cellIs" dxfId="38" priority="4" operator="greaterThan">
      <formula>0.15</formula>
    </cfRule>
  </conditionalFormatting>
  <conditionalFormatting sqref="H35">
    <cfRule type="cellIs" dxfId="37" priority="5" operator="greaterThan">
      <formula>0.15</formula>
    </cfRule>
  </conditionalFormatting>
  <conditionalFormatting sqref="H25:H35">
    <cfRule type="cellIs" dxfId="36" priority="6" operator="greaterThan">
      <formula>0.15</formula>
    </cfRule>
  </conditionalFormatting>
  <conditionalFormatting sqref="H35">
    <cfRule type="cellIs" dxfId="35" priority="7" operator="greaterThan">
      <formula>0.15</formula>
    </cfRule>
  </conditionalFormatting>
  <conditionalFormatting sqref="H25:H35">
    <cfRule type="cellIs" dxfId="34" priority="8" operator="greaterThan">
      <formula>0.15</formula>
    </cfRule>
  </conditionalFormatting>
  <conditionalFormatting sqref="V49">
    <cfRule type="cellIs" dxfId="33" priority="9" operator="greaterThan">
      <formula>0.15</formula>
    </cfRule>
  </conditionalFormatting>
  <conditionalFormatting sqref="V35">
    <cfRule type="cellIs" dxfId="32" priority="10" operator="greaterThan">
      <formula>0.15</formula>
    </cfRule>
  </conditionalFormatting>
  <conditionalFormatting sqref="V25:V35 V39:V49">
    <cfRule type="cellIs" dxfId="31" priority="11" operator="greaterThan">
      <formula>0.15</formula>
    </cfRule>
  </conditionalFormatting>
  <conditionalFormatting sqref="V49">
    <cfRule type="cellIs" dxfId="30" priority="12" operator="greaterThan">
      <formula>0.15</formula>
    </cfRule>
  </conditionalFormatting>
  <conditionalFormatting sqref="V35">
    <cfRule type="cellIs" dxfId="29" priority="13" operator="greaterThan">
      <formula>0.15</formula>
    </cfRule>
  </conditionalFormatting>
  <conditionalFormatting sqref="V25:V35 V39:V49">
    <cfRule type="cellIs" dxfId="28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AFE1-8912-4225-93E5-05C880448D21}">
  <sheetPr>
    <tabColor rgb="FFFF0000"/>
  </sheetPr>
  <dimension ref="A1:AF35"/>
  <sheetViews>
    <sheetView workbookViewId="0">
      <selection activeCell="W16" sqref="W16"/>
    </sheetView>
  </sheetViews>
  <sheetFormatPr baseColWidth="10" defaultRowHeight="15" x14ac:dyDescent="0.25"/>
  <cols>
    <col min="4" max="4" width="12.42578125" bestFit="1" customWidth="1"/>
    <col min="7" max="8" width="11.42578125" style="157"/>
    <col min="9" max="9" width="4.5703125" bestFit="1" customWidth="1"/>
    <col min="10" max="10" width="5.140625" bestFit="1" customWidth="1"/>
    <col min="11" max="13" width="4.5703125" style="157" bestFit="1" customWidth="1"/>
    <col min="14" max="14" width="4.7109375" style="157" customWidth="1"/>
    <col min="15" max="15" width="7.140625" bestFit="1" customWidth="1"/>
    <col min="16" max="16" width="5.28515625" bestFit="1" customWidth="1"/>
    <col min="17" max="18" width="6.28515625" bestFit="1" customWidth="1"/>
    <col min="19" max="19" width="12.42578125" style="157" bestFit="1" customWidth="1"/>
    <col min="20" max="22" width="6.28515625" bestFit="1" customWidth="1"/>
    <col min="23" max="25" width="8.42578125" bestFit="1" customWidth="1"/>
    <col min="26" max="27" width="7.5703125" bestFit="1" customWidth="1"/>
    <col min="28" max="29" width="7.140625" bestFit="1" customWidth="1"/>
  </cols>
  <sheetData>
    <row r="1" spans="1:32" x14ac:dyDescent="0.25">
      <c r="A1" s="208"/>
      <c r="B1" s="208"/>
      <c r="C1" s="208"/>
      <c r="D1" s="208"/>
      <c r="Q1" s="165"/>
      <c r="S1" s="165"/>
    </row>
    <row r="2" spans="1:32" x14ac:dyDescent="0.25">
      <c r="A2" s="220" t="s">
        <v>155</v>
      </c>
      <c r="B2" s="220" t="s">
        <v>156</v>
      </c>
      <c r="C2" s="220" t="s">
        <v>25</v>
      </c>
      <c r="D2" s="220" t="s">
        <v>157</v>
      </c>
      <c r="E2" s="260" t="s">
        <v>178</v>
      </c>
      <c r="I2" s="248">
        <v>1.5</v>
      </c>
      <c r="J2" s="248">
        <v>2.5</v>
      </c>
      <c r="K2" s="248">
        <v>3.5</v>
      </c>
      <c r="L2" s="184"/>
      <c r="M2" s="183"/>
      <c r="N2" s="185"/>
      <c r="O2" s="184"/>
      <c r="P2" s="184"/>
      <c r="Q2" s="184"/>
      <c r="R2" s="184">
        <f>COUNTIF(F18:G18,"JC")</f>
        <v>0</v>
      </c>
      <c r="S2" s="183"/>
      <c r="T2" s="184">
        <f>COUNTIF(J6:L6,"CAB")+COUNTIF(I5:M5,"CAB")</f>
        <v>2</v>
      </c>
      <c r="U2" s="263">
        <f>COUNTIF(J11:L11,"CAB")+COUNTIF(I10:M10,"CAB")</f>
        <v>0</v>
      </c>
      <c r="V2" s="262"/>
      <c r="W2" s="186"/>
      <c r="X2" s="186"/>
      <c r="Y2" s="183"/>
      <c r="Z2" s="31"/>
      <c r="AA2" s="31"/>
      <c r="AB2" s="31"/>
      <c r="AC2" s="31"/>
    </row>
    <row r="3" spans="1:32" ht="18.75" x14ac:dyDescent="0.3">
      <c r="A3" s="209">
        <v>5</v>
      </c>
      <c r="B3" s="209">
        <v>6</v>
      </c>
      <c r="C3" s="222">
        <v>0.45</v>
      </c>
      <c r="D3" s="209" t="s">
        <v>167</v>
      </c>
      <c r="E3" s="165">
        <f>C3/B3</f>
        <v>7.4999999999999997E-2</v>
      </c>
      <c r="I3" s="208"/>
      <c r="J3" s="208"/>
      <c r="K3" s="208"/>
      <c r="L3" s="208"/>
      <c r="M3" s="208"/>
      <c r="N3" s="208"/>
      <c r="O3" s="208"/>
      <c r="P3" s="208"/>
      <c r="Q3" s="208"/>
      <c r="R3" s="224">
        <f>SUM(R5:R16)</f>
        <v>3.5750000000000002</v>
      </c>
      <c r="S3" s="208"/>
      <c r="T3" s="210"/>
      <c r="U3" s="210"/>
      <c r="V3" s="166">
        <f>SUM(V5:V16)</f>
        <v>2.1</v>
      </c>
      <c r="W3" s="166">
        <f>SUM(W5:W16)</f>
        <v>3.5749999999999997</v>
      </c>
      <c r="X3" s="265">
        <f t="shared" ref="X3:Y3" si="0">SUM(X5:X16)</f>
        <v>2.1279761904761902</v>
      </c>
      <c r="Y3" s="266">
        <f t="shared" si="0"/>
        <v>0.35749999999999998</v>
      </c>
      <c r="Z3" s="31"/>
      <c r="AA3" s="31"/>
      <c r="AB3" s="31"/>
      <c r="AC3" s="31"/>
    </row>
    <row r="4" spans="1:32" x14ac:dyDescent="0.25">
      <c r="A4" s="209">
        <v>6</v>
      </c>
      <c r="B4" s="209">
        <v>8</v>
      </c>
      <c r="C4" s="222">
        <v>0.35</v>
      </c>
      <c r="D4" s="209" t="s">
        <v>168</v>
      </c>
      <c r="E4" s="165">
        <f t="shared" ref="E4:E14" si="1">C4/B4</f>
        <v>4.3749999999999997E-2</v>
      </c>
      <c r="I4" s="211"/>
      <c r="J4" s="212"/>
      <c r="K4" s="242" t="s">
        <v>151</v>
      </c>
      <c r="L4" s="211"/>
      <c r="M4" s="211"/>
      <c r="N4" s="208"/>
      <c r="O4" s="220" t="s">
        <v>155</v>
      </c>
      <c r="P4" s="220" t="s">
        <v>156</v>
      </c>
      <c r="Q4" s="220" t="s">
        <v>25</v>
      </c>
      <c r="R4" s="220" t="s">
        <v>25</v>
      </c>
      <c r="S4" s="220" t="s">
        <v>157</v>
      </c>
      <c r="T4" s="225" t="s">
        <v>158</v>
      </c>
      <c r="U4" s="227" t="s">
        <v>159</v>
      </c>
      <c r="V4" s="220" t="s">
        <v>25</v>
      </c>
      <c r="W4" s="220" t="s">
        <v>160</v>
      </c>
      <c r="X4" s="225" t="s">
        <v>161</v>
      </c>
      <c r="Y4" s="227" t="s">
        <v>162</v>
      </c>
      <c r="Z4" s="31"/>
      <c r="AA4" s="31"/>
      <c r="AB4" s="31"/>
      <c r="AC4" s="31"/>
    </row>
    <row r="5" spans="1:32" x14ac:dyDescent="0.25">
      <c r="A5" s="209">
        <v>8</v>
      </c>
      <c r="B5" s="209">
        <v>13</v>
      </c>
      <c r="C5" s="222">
        <v>0.45</v>
      </c>
      <c r="D5" s="209" t="s">
        <v>33</v>
      </c>
      <c r="E5" s="165">
        <f t="shared" si="1"/>
        <v>3.4615384615384617E-2</v>
      </c>
      <c r="I5" s="242" t="s">
        <v>151</v>
      </c>
      <c r="J5" s="242" t="s">
        <v>138</v>
      </c>
      <c r="K5" s="242" t="s">
        <v>151</v>
      </c>
      <c r="L5" s="242" t="s">
        <v>138</v>
      </c>
      <c r="M5" s="242" t="s">
        <v>151</v>
      </c>
      <c r="N5" s="208"/>
      <c r="O5" s="209">
        <v>5</v>
      </c>
      <c r="P5" s="209">
        <v>6</v>
      </c>
      <c r="Q5" s="222">
        <v>0.45</v>
      </c>
      <c r="R5" s="222">
        <f>IF($N$1=2,Q5*$G$1/$E$1,IF($N$1=1,Q5*$F$1/$E$1,Q5))</f>
        <v>0.45</v>
      </c>
      <c r="S5" s="209" t="s">
        <v>167</v>
      </c>
      <c r="T5" s="212">
        <f>COUNTIF(I4:M5,"IMP")</f>
        <v>0</v>
      </c>
      <c r="U5" s="214">
        <f>COUNTIF(I9:M10,"IMP")</f>
        <v>0</v>
      </c>
      <c r="V5" s="221">
        <f t="shared" ref="V5:V15" si="2">IF(T5+U5=0,0,R5)</f>
        <v>0</v>
      </c>
      <c r="W5" s="221">
        <f>V5*$R$3/$V$3</f>
        <v>0</v>
      </c>
      <c r="X5" s="226">
        <f>IF(W5=0,0,W5*(T5^2.7/(T5^2.7+U5^2.7))*T5/P5)</f>
        <v>0</v>
      </c>
      <c r="Y5" s="228">
        <f>IF(W5=0,0,W5*U5^2.7/(T5^2.7+U5^2.7)*U5/P5)</f>
        <v>0</v>
      </c>
      <c r="Z5" s="31"/>
      <c r="AA5" s="31"/>
      <c r="AB5" s="31"/>
      <c r="AC5" s="31"/>
    </row>
    <row r="6" spans="1:32" x14ac:dyDescent="0.25">
      <c r="A6" s="209">
        <v>9</v>
      </c>
      <c r="B6" s="209">
        <v>8</v>
      </c>
      <c r="C6" s="222">
        <v>0.02</v>
      </c>
      <c r="D6" s="209" t="s">
        <v>169</v>
      </c>
      <c r="E6" s="165">
        <f t="shared" si="1"/>
        <v>2.5000000000000001E-3</v>
      </c>
      <c r="I6" s="242" t="s">
        <v>1</v>
      </c>
      <c r="J6" s="242" t="s">
        <v>1</v>
      </c>
      <c r="K6" s="242" t="s">
        <v>1</v>
      </c>
      <c r="L6" s="242" t="s">
        <v>1</v>
      </c>
      <c r="M6" s="242" t="s">
        <v>1</v>
      </c>
      <c r="N6" s="208"/>
      <c r="O6" s="209">
        <v>6</v>
      </c>
      <c r="P6" s="209">
        <v>8</v>
      </c>
      <c r="Q6" s="222">
        <v>0.35</v>
      </c>
      <c r="R6" s="222">
        <f t="shared" ref="R6:R16" si="3">IF($N$1=2,Q6*$G$1/$E$1,IF($N$1=1,Q6*$F$1/$E$1,Q6))</f>
        <v>0.35</v>
      </c>
      <c r="S6" s="209" t="s">
        <v>168</v>
      </c>
      <c r="T6" s="212">
        <f>COUNTIF(I6:M7,"IMP")</f>
        <v>0</v>
      </c>
      <c r="U6" s="214">
        <f>COUNTIF(I11:M12,"IMP")</f>
        <v>0</v>
      </c>
      <c r="V6" s="221">
        <f t="shared" si="2"/>
        <v>0</v>
      </c>
      <c r="W6" s="221">
        <f t="shared" ref="W6:W16" si="4">V6*$R$3/$V$3</f>
        <v>0</v>
      </c>
      <c r="X6" s="226">
        <f t="shared" ref="X6:X10" si="5">IF(W6=0,0,W6*(T6^2.7/(T6^2.7+U6^2.7))*T6/P6)</f>
        <v>0</v>
      </c>
      <c r="Y6" s="228">
        <f t="shared" ref="Y6:Y10" si="6">IF(W6=0,0,W6*U6^2.7/(T6^2.7+U6^2.7)*U6/P6)</f>
        <v>0</v>
      </c>
      <c r="Z6" s="31"/>
      <c r="AA6" s="31"/>
      <c r="AB6" s="31"/>
      <c r="AC6" s="31"/>
    </row>
    <row r="7" spans="1:32" x14ac:dyDescent="0.25">
      <c r="A7" s="209">
        <v>15</v>
      </c>
      <c r="B7" s="209">
        <v>8</v>
      </c>
      <c r="C7" s="222">
        <v>0.5</v>
      </c>
      <c r="D7" s="209" t="s">
        <v>170</v>
      </c>
      <c r="E7" s="165">
        <f>C7/B7</f>
        <v>6.25E-2</v>
      </c>
      <c r="I7" s="211"/>
      <c r="J7" s="242" t="s">
        <v>1</v>
      </c>
      <c r="K7" s="242" t="s">
        <v>1</v>
      </c>
      <c r="L7" s="242" t="s">
        <v>1</v>
      </c>
      <c r="M7" s="211"/>
      <c r="N7" s="208"/>
      <c r="O7" s="209">
        <v>8</v>
      </c>
      <c r="P7" s="209">
        <v>13</v>
      </c>
      <c r="Q7" s="222">
        <v>0.45</v>
      </c>
      <c r="R7" s="222">
        <f t="shared" si="3"/>
        <v>0.45</v>
      </c>
      <c r="S7" s="209" t="s">
        <v>33</v>
      </c>
      <c r="T7" s="212">
        <f>COUNTIF(I5:M7,"IMP")</f>
        <v>0</v>
      </c>
      <c r="U7" s="214">
        <f>COUNTIF(I10:M12,"IMP")</f>
        <v>0</v>
      </c>
      <c r="V7" s="221">
        <f t="shared" si="2"/>
        <v>0</v>
      </c>
      <c r="W7" s="221">
        <f t="shared" si="4"/>
        <v>0</v>
      </c>
      <c r="X7" s="226">
        <f t="shared" si="5"/>
        <v>0</v>
      </c>
      <c r="Y7" s="228">
        <f t="shared" si="6"/>
        <v>0</v>
      </c>
      <c r="Z7" s="31"/>
      <c r="AA7" s="31"/>
      <c r="AB7" s="31"/>
      <c r="AC7" s="31"/>
    </row>
    <row r="8" spans="1:32" x14ac:dyDescent="0.25">
      <c r="A8" s="209">
        <v>16</v>
      </c>
      <c r="B8" s="209">
        <v>8</v>
      </c>
      <c r="C8" s="222">
        <v>0.5</v>
      </c>
      <c r="D8" s="209" t="s">
        <v>171</v>
      </c>
      <c r="E8" s="165">
        <f t="shared" si="1"/>
        <v>6.25E-2</v>
      </c>
      <c r="I8" s="210"/>
      <c r="J8" s="210"/>
      <c r="K8" s="210"/>
      <c r="L8" s="210"/>
      <c r="M8" s="210"/>
      <c r="N8" s="208"/>
      <c r="O8" s="209">
        <v>9</v>
      </c>
      <c r="P8" s="209">
        <v>8</v>
      </c>
      <c r="Q8" s="222">
        <v>0.02</v>
      </c>
      <c r="R8" s="222">
        <f t="shared" si="3"/>
        <v>0.02</v>
      </c>
      <c r="S8" s="209" t="s">
        <v>169</v>
      </c>
      <c r="T8" s="212">
        <f>COUNTIF(I10:M10,"IMP")+COUNTIF(J11:L11,"IMP")</f>
        <v>0</v>
      </c>
      <c r="U8" s="214">
        <f>COUNTIF(I5:M5,"IMP")+COUNTIF(J6:L6,"IMP")</f>
        <v>0</v>
      </c>
      <c r="V8" s="221">
        <f t="shared" si="2"/>
        <v>0</v>
      </c>
      <c r="W8" s="221">
        <f t="shared" si="4"/>
        <v>0</v>
      </c>
      <c r="X8" s="226">
        <f t="shared" si="5"/>
        <v>0</v>
      </c>
      <c r="Y8" s="228">
        <f t="shared" si="6"/>
        <v>0</v>
      </c>
      <c r="Z8" s="31"/>
      <c r="AA8" s="31"/>
      <c r="AB8" s="31"/>
      <c r="AC8" s="31"/>
    </row>
    <row r="9" spans="1:32" x14ac:dyDescent="0.25">
      <c r="A9" s="209">
        <v>18</v>
      </c>
      <c r="B9" s="209" t="s">
        <v>172</v>
      </c>
      <c r="C9" s="222">
        <v>0.15</v>
      </c>
      <c r="D9" s="209" t="s">
        <v>173</v>
      </c>
      <c r="E9" s="165"/>
      <c r="I9" s="213"/>
      <c r="J9" s="214"/>
      <c r="K9" s="243" t="s">
        <v>151</v>
      </c>
      <c r="L9" s="213"/>
      <c r="M9" s="213"/>
      <c r="N9" s="208"/>
      <c r="O9" s="209">
        <v>15</v>
      </c>
      <c r="P9" s="209">
        <v>8</v>
      </c>
      <c r="Q9" s="222">
        <v>0.5</v>
      </c>
      <c r="R9" s="222">
        <f t="shared" si="3"/>
        <v>0.5</v>
      </c>
      <c r="S9" s="209" t="s">
        <v>170</v>
      </c>
      <c r="T9" s="212">
        <f>COUNTIF(I6:M7,"RAP")</f>
        <v>8</v>
      </c>
      <c r="U9" s="214">
        <f>COUNTIF(I11:M12,"RAP")</f>
        <v>0</v>
      </c>
      <c r="V9" s="221">
        <f t="shared" si="2"/>
        <v>0.5</v>
      </c>
      <c r="W9" s="221">
        <f t="shared" si="4"/>
        <v>0.85119047619047616</v>
      </c>
      <c r="X9" s="226">
        <f t="shared" si="5"/>
        <v>0.85119047619047616</v>
      </c>
      <c r="Y9" s="228">
        <f t="shared" si="6"/>
        <v>0</v>
      </c>
      <c r="Z9" s="31"/>
      <c r="AA9" s="31"/>
      <c r="AB9" s="31"/>
      <c r="AC9" s="31"/>
      <c r="AD9" s="264"/>
      <c r="AE9" s="264"/>
    </row>
    <row r="10" spans="1:32" x14ac:dyDescent="0.25">
      <c r="A10" s="209">
        <v>19</v>
      </c>
      <c r="B10" s="209" t="s">
        <v>172</v>
      </c>
      <c r="C10" s="222">
        <v>0.23</v>
      </c>
      <c r="D10" s="209" t="s">
        <v>174</v>
      </c>
      <c r="E10" s="165"/>
      <c r="I10" s="243" t="s">
        <v>151</v>
      </c>
      <c r="J10" s="243" t="s">
        <v>151</v>
      </c>
      <c r="K10" s="243" t="s">
        <v>151</v>
      </c>
      <c r="L10" s="243" t="s">
        <v>151</v>
      </c>
      <c r="M10" s="243" t="s">
        <v>151</v>
      </c>
      <c r="N10" s="208"/>
      <c r="O10" s="209">
        <v>16</v>
      </c>
      <c r="P10" s="209">
        <v>8</v>
      </c>
      <c r="Q10" s="222">
        <v>0.5</v>
      </c>
      <c r="R10" s="222">
        <f t="shared" si="3"/>
        <v>0.5</v>
      </c>
      <c r="S10" s="209" t="s">
        <v>171</v>
      </c>
      <c r="T10" s="212">
        <f>COUNTIF(I6:M7,"RAP")</f>
        <v>8</v>
      </c>
      <c r="U10" s="214">
        <f>COUNTIF(I11:M12,"RAP")</f>
        <v>0</v>
      </c>
      <c r="V10" s="221">
        <f t="shared" si="2"/>
        <v>0.5</v>
      </c>
      <c r="W10" s="221">
        <f t="shared" si="4"/>
        <v>0.85119047619047616</v>
      </c>
      <c r="X10" s="226">
        <f t="shared" si="5"/>
        <v>0.85119047619047616</v>
      </c>
      <c r="Y10" s="228">
        <f t="shared" si="6"/>
        <v>0</v>
      </c>
      <c r="Z10" s="31"/>
      <c r="AA10" s="31"/>
      <c r="AB10" s="31"/>
      <c r="AC10" s="31"/>
      <c r="AD10" s="264"/>
      <c r="AE10" s="264"/>
    </row>
    <row r="11" spans="1:32" x14ac:dyDescent="0.25">
      <c r="A11" s="209">
        <v>25</v>
      </c>
      <c r="B11" s="209">
        <v>5</v>
      </c>
      <c r="C11" s="222">
        <v>2.5000000000000001E-2</v>
      </c>
      <c r="D11" s="209" t="s">
        <v>38</v>
      </c>
      <c r="E11" s="165">
        <f t="shared" si="1"/>
        <v>5.0000000000000001E-3</v>
      </c>
      <c r="I11" s="243" t="s">
        <v>151</v>
      </c>
      <c r="J11" s="243" t="s">
        <v>2</v>
      </c>
      <c r="K11" s="243" t="s">
        <v>151</v>
      </c>
      <c r="L11" s="243" t="s">
        <v>151</v>
      </c>
      <c r="M11" s="243" t="s">
        <v>151</v>
      </c>
      <c r="N11" s="208"/>
      <c r="O11" s="209">
        <v>18</v>
      </c>
      <c r="P11" s="209" t="s">
        <v>172</v>
      </c>
      <c r="Q11" s="222">
        <v>0.15</v>
      </c>
      <c r="R11" s="222">
        <f t="shared" si="3"/>
        <v>0.15</v>
      </c>
      <c r="S11" s="209" t="s">
        <v>173</v>
      </c>
      <c r="T11" s="212">
        <v>1</v>
      </c>
      <c r="U11" s="214">
        <v>1</v>
      </c>
      <c r="V11" s="221">
        <f t="shared" si="2"/>
        <v>0.15</v>
      </c>
      <c r="W11" s="221">
        <f t="shared" si="4"/>
        <v>0.25535714285714284</v>
      </c>
      <c r="X11" s="226">
        <f>W11*K14</f>
        <v>0.12767857142857142</v>
      </c>
      <c r="Y11" s="228">
        <f>W11*K15</f>
        <v>0.12767857142857142</v>
      </c>
      <c r="Z11" s="31"/>
      <c r="AA11" s="31"/>
      <c r="AB11" s="31"/>
      <c r="AC11" s="31"/>
      <c r="AD11" s="264"/>
      <c r="AE11" s="264"/>
      <c r="AF11" s="264"/>
    </row>
    <row r="12" spans="1:32" x14ac:dyDescent="0.25">
      <c r="A12" s="209">
        <v>37</v>
      </c>
      <c r="B12" s="209">
        <v>2</v>
      </c>
      <c r="C12" s="222">
        <v>0.18</v>
      </c>
      <c r="D12" s="209" t="s">
        <v>175</v>
      </c>
      <c r="E12" s="165">
        <f t="shared" si="1"/>
        <v>0.09</v>
      </c>
      <c r="I12" s="213"/>
      <c r="J12" s="243" t="s">
        <v>151</v>
      </c>
      <c r="K12" s="243" t="s">
        <v>151</v>
      </c>
      <c r="L12" s="243" t="s">
        <v>151</v>
      </c>
      <c r="M12" s="213"/>
      <c r="N12" s="208"/>
      <c r="O12" s="209">
        <v>19</v>
      </c>
      <c r="P12" s="209" t="s">
        <v>172</v>
      </c>
      <c r="Q12" s="222">
        <v>0.23</v>
      </c>
      <c r="R12" s="222">
        <f t="shared" si="3"/>
        <v>0.23</v>
      </c>
      <c r="S12" s="209" t="s">
        <v>174</v>
      </c>
      <c r="T12" s="212">
        <f>COUNTIF(I5:M7,"CAB")</f>
        <v>2</v>
      </c>
      <c r="U12" s="214">
        <f>COUNTIF(I10:M12,"CAB")</f>
        <v>0</v>
      </c>
      <c r="V12" s="221">
        <f t="shared" si="2"/>
        <v>0.23</v>
      </c>
      <c r="W12" s="221">
        <f t="shared" si="4"/>
        <v>0.39154761904761903</v>
      </c>
      <c r="X12" s="226">
        <f>IF(T12&gt;0,W12*K14,0)</f>
        <v>0.19577380952380952</v>
      </c>
      <c r="Y12" s="228">
        <f>IF(U12&gt;0,W12*K15,0)</f>
        <v>0</v>
      </c>
      <c r="Z12" s="31"/>
      <c r="AA12" s="31"/>
      <c r="AB12" s="31"/>
      <c r="AC12" s="31"/>
      <c r="AD12" s="166"/>
      <c r="AE12" s="166"/>
    </row>
    <row r="13" spans="1:32" x14ac:dyDescent="0.25">
      <c r="A13" s="209">
        <v>38</v>
      </c>
      <c r="B13" s="209">
        <v>2</v>
      </c>
      <c r="C13" s="222">
        <v>0.12</v>
      </c>
      <c r="D13" s="209" t="s">
        <v>176</v>
      </c>
      <c r="E13" s="165">
        <f t="shared" si="1"/>
        <v>0.06</v>
      </c>
      <c r="I13" s="210"/>
      <c r="J13" s="210"/>
      <c r="K13" s="210"/>
      <c r="L13" s="210"/>
      <c r="M13" s="210"/>
      <c r="N13" s="208"/>
      <c r="O13" s="209">
        <v>25</v>
      </c>
      <c r="P13" s="209">
        <v>5</v>
      </c>
      <c r="Q13" s="222">
        <v>2.5000000000000001E-2</v>
      </c>
      <c r="R13" s="222">
        <f t="shared" si="3"/>
        <v>2.5000000000000001E-2</v>
      </c>
      <c r="S13" s="209" t="s">
        <v>38</v>
      </c>
      <c r="T13" s="212">
        <f>COUNTIF(J7:L7,"IMP")+COUNTIF(I6,"IMP")+COUNTIF(M6,"IMP")</f>
        <v>0</v>
      </c>
      <c r="U13" s="214">
        <f>COUNTIF(J12:L12,"IMP")+COUNTIF(I11,"IMP")+COUNTIF(M11,"IMP")</f>
        <v>0</v>
      </c>
      <c r="V13" s="221">
        <f t="shared" si="2"/>
        <v>0</v>
      </c>
      <c r="W13" s="221">
        <f t="shared" si="4"/>
        <v>0</v>
      </c>
      <c r="X13" s="226">
        <f t="shared" ref="X13" si="7">IF(W13=0,0,W13*(T13^2.7/(T13^2.7+U13^2.7))*T13/P13)</f>
        <v>0</v>
      </c>
      <c r="Y13" s="228">
        <f>IF(W13=0,0,W13*U13^2.7/(T13^2.7+U13^2.7)*U13/P13)</f>
        <v>0</v>
      </c>
      <c r="Z13" s="31"/>
      <c r="AA13" s="31"/>
      <c r="AB13" s="31"/>
      <c r="AC13" s="31"/>
    </row>
    <row r="14" spans="1:32" x14ac:dyDescent="0.25">
      <c r="A14" s="209">
        <v>39</v>
      </c>
      <c r="B14" s="209">
        <v>8</v>
      </c>
      <c r="C14" s="222">
        <v>0.6</v>
      </c>
      <c r="D14" s="209" t="s">
        <v>177</v>
      </c>
      <c r="E14" s="165">
        <f t="shared" si="1"/>
        <v>7.4999999999999997E-2</v>
      </c>
      <c r="I14" s="210"/>
      <c r="J14" s="210" t="s">
        <v>152</v>
      </c>
      <c r="K14" s="217">
        <v>0.5</v>
      </c>
      <c r="L14" s="210"/>
      <c r="M14" s="210"/>
      <c r="N14" s="208"/>
      <c r="O14" s="209">
        <v>37</v>
      </c>
      <c r="P14" s="209">
        <v>2</v>
      </c>
      <c r="Q14" s="222">
        <v>0.18</v>
      </c>
      <c r="R14" s="222">
        <f t="shared" si="3"/>
        <v>0.18</v>
      </c>
      <c r="S14" s="209" t="s">
        <v>175</v>
      </c>
      <c r="T14" s="212">
        <f>COUNTIF(I6:M7,"CAB")</f>
        <v>0</v>
      </c>
      <c r="U14" s="214">
        <f>COUNTIF(I11:M12,"CAB")</f>
        <v>0</v>
      </c>
      <c r="V14" s="221">
        <f t="shared" si="2"/>
        <v>0</v>
      </c>
      <c r="W14" s="221">
        <f t="shared" si="4"/>
        <v>0</v>
      </c>
      <c r="X14" s="226">
        <f>IF((U14+T14)=0,0,W14*T14^2.7/(U14^2.7+T14^2.7))</f>
        <v>0</v>
      </c>
      <c r="Y14" s="228">
        <f>IF(T14+U14=0,0,W14*U14^2.7/(U14^2.7+T14^2.7))</f>
        <v>0</v>
      </c>
      <c r="Z14" s="31"/>
      <c r="AA14" s="31"/>
      <c r="AB14" s="31"/>
      <c r="AC14" s="31"/>
    </row>
    <row r="15" spans="1:32" x14ac:dyDescent="0.25">
      <c r="I15" s="210"/>
      <c r="J15" s="210" t="s">
        <v>153</v>
      </c>
      <c r="K15" s="215">
        <v>0.5</v>
      </c>
      <c r="L15" s="210"/>
      <c r="M15" s="210"/>
      <c r="N15" s="208"/>
      <c r="O15" s="209">
        <v>38</v>
      </c>
      <c r="P15" s="209">
        <v>2</v>
      </c>
      <c r="Q15" s="222">
        <v>0.12</v>
      </c>
      <c r="R15" s="222">
        <f t="shared" si="3"/>
        <v>0.12</v>
      </c>
      <c r="S15" s="209" t="s">
        <v>176</v>
      </c>
      <c r="T15" s="212">
        <f>COUNTA(I6,M6)</f>
        <v>2</v>
      </c>
      <c r="U15" s="214">
        <f>COUNTA(I11,M11)</f>
        <v>2</v>
      </c>
      <c r="V15" s="221">
        <f t="shared" si="2"/>
        <v>0.12</v>
      </c>
      <c r="W15" s="221">
        <f t="shared" si="4"/>
        <v>0.20428571428571426</v>
      </c>
      <c r="X15" s="226">
        <f>W15*T15^2.7/(U15^2.7+T15^2.7)</f>
        <v>0.10214285714285713</v>
      </c>
      <c r="Y15" s="228">
        <f>W15*U15^2.7/(U15^2.7+T15^2.7)</f>
        <v>0.10214285714285713</v>
      </c>
      <c r="Z15" s="31"/>
      <c r="AA15" s="31"/>
      <c r="AB15" s="31"/>
      <c r="AC15" s="31"/>
    </row>
    <row r="16" spans="1:32" s="14" customFormat="1" x14ac:dyDescent="0.25">
      <c r="A16" s="259"/>
      <c r="B16" s="259"/>
      <c r="C16" s="259"/>
      <c r="D16" s="259" t="s">
        <v>27</v>
      </c>
      <c r="E16" s="259"/>
      <c r="F16" s="259"/>
      <c r="G16" s="259"/>
      <c r="H16" s="259"/>
      <c r="I16" s="210"/>
      <c r="J16" s="210"/>
      <c r="K16" s="210"/>
      <c r="L16" s="210"/>
      <c r="M16" s="210"/>
      <c r="N16" s="208"/>
      <c r="O16" s="209">
        <v>39</v>
      </c>
      <c r="P16" s="209">
        <v>8</v>
      </c>
      <c r="Q16" s="222">
        <v>0.6</v>
      </c>
      <c r="R16" s="222">
        <f t="shared" si="3"/>
        <v>0.6</v>
      </c>
      <c r="S16" s="209" t="s">
        <v>177</v>
      </c>
      <c r="T16" s="212">
        <f>COUNTIF(I6:M7,"TEC")</f>
        <v>0</v>
      </c>
      <c r="U16" s="214">
        <f>COUNTIF(I11:M12,"TEC")</f>
        <v>1</v>
      </c>
      <c r="V16" s="221">
        <f>IF(T16&lt;&gt;0,IF(U2&lt;&gt;0,Q16,IF(U16&lt;&gt;0,IF(T2&lt;&gt;0,Q16,0),0)),IF(U16&lt;&gt;0,IF(T2&lt;&gt;0,Q16,0),0))</f>
        <v>0.6</v>
      </c>
      <c r="W16" s="221">
        <f t="shared" si="4"/>
        <v>1.0214285714285714</v>
      </c>
      <c r="X16" s="226">
        <f>IF(T16&lt;&gt;0,IF(U2&lt;&gt;0,IF(U16&lt;&gt;0,IF(T2&lt;&gt;0,W16*T16^2.7/(T16^2.7+U16^2.7)*T16/P16,W16*T16/P16),W16*T16/P16),0),0)</f>
        <v>0</v>
      </c>
      <c r="Y16" s="228">
        <f>IF(U16&lt;&gt;0,IF(T2&lt;&gt;0,IF(T16&lt;&gt;0,IF(U2&lt;&gt;0,W16*U16^2.7/(T16^2.7+U16^2.7)*U16/P16,W16*U16/P16),W16*U16/P16),0),0)</f>
        <v>0.12767857142857142</v>
      </c>
      <c r="Z16" s="31"/>
      <c r="AA16" s="31"/>
      <c r="AB16" s="31"/>
      <c r="AC16" s="31"/>
    </row>
    <row r="17" spans="1:29" x14ac:dyDescent="0.25">
      <c r="A17" s="259"/>
      <c r="B17" s="157"/>
      <c r="C17" s="157" t="s">
        <v>33</v>
      </c>
      <c r="D17" s="165">
        <f>E3</f>
        <v>7.4999999999999997E-2</v>
      </c>
      <c r="E17" s="157"/>
      <c r="F17" s="157"/>
      <c r="Z17" s="31"/>
      <c r="AA17" s="31"/>
      <c r="AB17" s="31"/>
      <c r="AC17" s="31"/>
    </row>
    <row r="18" spans="1:29" x14ac:dyDescent="0.25">
      <c r="A18" s="259"/>
      <c r="B18" s="157" t="s">
        <v>179</v>
      </c>
      <c r="C18" s="157" t="s">
        <v>180</v>
      </c>
      <c r="D18" s="157" t="s">
        <v>180</v>
      </c>
      <c r="E18" s="157" t="s">
        <v>180</v>
      </c>
      <c r="F18" s="157" t="s">
        <v>179</v>
      </c>
    </row>
    <row r="19" spans="1:29" x14ac:dyDescent="0.25">
      <c r="A19" s="259" t="s">
        <v>33</v>
      </c>
      <c r="B19" s="165">
        <f>E3+E5</f>
        <v>0.10961538461538461</v>
      </c>
      <c r="C19" s="165">
        <f>B19</f>
        <v>0.10961538461538461</v>
      </c>
      <c r="D19" s="165">
        <f t="shared" ref="D19:F19" si="8">C19</f>
        <v>0.10961538461538461</v>
      </c>
      <c r="E19" s="165">
        <f t="shared" si="8"/>
        <v>0.10961538461538461</v>
      </c>
      <c r="F19" s="165">
        <f t="shared" si="8"/>
        <v>0.10961538461538461</v>
      </c>
    </row>
    <row r="20" spans="1:29" x14ac:dyDescent="0.25">
      <c r="A20" s="259" t="s">
        <v>1</v>
      </c>
      <c r="B20" s="157">
        <v>0</v>
      </c>
      <c r="C20" s="157">
        <v>0</v>
      </c>
      <c r="D20" s="157">
        <v>0</v>
      </c>
      <c r="E20" s="157">
        <v>0</v>
      </c>
      <c r="F20" s="157">
        <v>0</v>
      </c>
    </row>
    <row r="21" spans="1:29" x14ac:dyDescent="0.25">
      <c r="A21" s="259" t="s">
        <v>2</v>
      </c>
      <c r="B21" s="157">
        <v>1.7000000000000001E-2</v>
      </c>
      <c r="C21" s="157">
        <v>1.7000000000000001E-2</v>
      </c>
      <c r="D21" s="157">
        <v>1.7000000000000001E-2</v>
      </c>
      <c r="E21" s="157">
        <v>1.7000000000000001E-2</v>
      </c>
      <c r="F21" s="157">
        <v>1.7000000000000001E-2</v>
      </c>
    </row>
    <row r="22" spans="1:29" x14ac:dyDescent="0.25">
      <c r="A22" s="259" t="s">
        <v>6</v>
      </c>
      <c r="B22" s="157">
        <v>0</v>
      </c>
      <c r="C22" s="157">
        <v>0</v>
      </c>
      <c r="D22" s="157">
        <v>0</v>
      </c>
      <c r="E22" s="157">
        <v>0</v>
      </c>
      <c r="F22" s="157">
        <v>0</v>
      </c>
    </row>
    <row r="23" spans="1:29" x14ac:dyDescent="0.25">
      <c r="A23" s="259" t="s">
        <v>138</v>
      </c>
      <c r="B23" s="261">
        <v>0</v>
      </c>
      <c r="C23" s="157">
        <v>0</v>
      </c>
      <c r="D23" s="157">
        <v>0</v>
      </c>
      <c r="E23" s="157">
        <v>0</v>
      </c>
      <c r="F23" s="157">
        <v>0</v>
      </c>
    </row>
    <row r="24" spans="1:29" s="14" customFormat="1" x14ac:dyDescent="0.25">
      <c r="A24" s="259"/>
      <c r="B24" s="259" t="s">
        <v>59</v>
      </c>
      <c r="C24" s="259" t="s">
        <v>181</v>
      </c>
      <c r="D24" s="259" t="s">
        <v>181</v>
      </c>
      <c r="E24" s="259" t="s">
        <v>181</v>
      </c>
      <c r="F24" s="259" t="s">
        <v>59</v>
      </c>
      <c r="G24" s="259"/>
      <c r="H24" s="259"/>
      <c r="K24" s="259"/>
      <c r="L24" s="259"/>
      <c r="M24" s="259"/>
      <c r="N24" s="259"/>
      <c r="S24" s="259"/>
    </row>
    <row r="25" spans="1:29" x14ac:dyDescent="0.25">
      <c r="A25" s="259" t="s">
        <v>33</v>
      </c>
      <c r="B25" s="165">
        <f>E4+E5-E6-E11</f>
        <v>7.0865384615384608E-2</v>
      </c>
      <c r="C25" s="165">
        <f>E4+E5-E6</f>
        <v>7.5865384615384612E-2</v>
      </c>
      <c r="D25" s="165">
        <f>C25</f>
        <v>7.5865384615384612E-2</v>
      </c>
      <c r="E25" s="165">
        <f>D25</f>
        <v>7.5865384615384612E-2</v>
      </c>
      <c r="F25" s="165">
        <f>B25</f>
        <v>7.0865384615384608E-2</v>
      </c>
    </row>
    <row r="26" spans="1:29" x14ac:dyDescent="0.25">
      <c r="A26" s="259" t="s">
        <v>1</v>
      </c>
      <c r="B26" s="165">
        <f>E7+E8</f>
        <v>0.125</v>
      </c>
      <c r="C26" s="165">
        <f>B26</f>
        <v>0.125</v>
      </c>
      <c r="D26" s="165">
        <f t="shared" ref="D26:F26" si="9">C26</f>
        <v>0.125</v>
      </c>
      <c r="E26" s="165">
        <f t="shared" si="9"/>
        <v>0.125</v>
      </c>
      <c r="F26" s="165">
        <f t="shared" si="9"/>
        <v>0.125</v>
      </c>
    </row>
    <row r="27" spans="1:29" x14ac:dyDescent="0.25">
      <c r="A27" s="259" t="s">
        <v>2</v>
      </c>
      <c r="B27" s="165">
        <f>E14</f>
        <v>7.4999999999999997E-2</v>
      </c>
      <c r="C27" s="165">
        <f>B27</f>
        <v>7.4999999999999997E-2</v>
      </c>
      <c r="D27" s="165">
        <f t="shared" ref="D27:F27" si="10">C27</f>
        <v>7.4999999999999997E-2</v>
      </c>
      <c r="E27" s="165">
        <f t="shared" si="10"/>
        <v>7.4999999999999997E-2</v>
      </c>
      <c r="F27" s="165">
        <f t="shared" si="10"/>
        <v>7.4999999999999997E-2</v>
      </c>
    </row>
    <row r="28" spans="1:29" x14ac:dyDescent="0.25">
      <c r="A28" s="259" t="s">
        <v>6</v>
      </c>
      <c r="B28" s="157">
        <v>0</v>
      </c>
      <c r="C28" s="157">
        <v>0.1</v>
      </c>
      <c r="D28" s="157">
        <v>0.1</v>
      </c>
      <c r="E28" s="157">
        <v>0.1</v>
      </c>
      <c r="F28" s="157">
        <v>0</v>
      </c>
    </row>
    <row r="29" spans="1:29" x14ac:dyDescent="0.25">
      <c r="A29" s="259" t="s">
        <v>138</v>
      </c>
      <c r="B29" s="157">
        <v>0</v>
      </c>
      <c r="C29" s="157">
        <v>0</v>
      </c>
      <c r="D29" s="157">
        <v>0</v>
      </c>
      <c r="E29" s="157">
        <v>0</v>
      </c>
      <c r="F29" s="157">
        <v>0</v>
      </c>
    </row>
    <row r="30" spans="1:29" s="14" customFormat="1" x14ac:dyDescent="0.25">
      <c r="A30" s="259"/>
      <c r="B30" s="259"/>
      <c r="C30" s="259" t="s">
        <v>182</v>
      </c>
      <c r="D30" s="259" t="s">
        <v>182</v>
      </c>
      <c r="E30" s="259" t="s">
        <v>182</v>
      </c>
      <c r="F30" s="259"/>
      <c r="G30" s="259"/>
      <c r="H30" s="259"/>
      <c r="K30" s="259"/>
      <c r="L30" s="259"/>
      <c r="M30" s="259"/>
      <c r="N30" s="259"/>
      <c r="S30" s="259"/>
    </row>
    <row r="31" spans="1:29" x14ac:dyDescent="0.25">
      <c r="A31" s="259"/>
      <c r="B31" s="259" t="s">
        <v>33</v>
      </c>
      <c r="C31" s="165">
        <f>B25</f>
        <v>7.0865384615384608E-2</v>
      </c>
      <c r="D31" s="165">
        <f t="shared" ref="D31:E33" si="11">C31</f>
        <v>7.0865384615384608E-2</v>
      </c>
      <c r="E31" s="165">
        <f t="shared" si="11"/>
        <v>7.0865384615384608E-2</v>
      </c>
      <c r="F31" s="157"/>
    </row>
    <row r="32" spans="1:29" x14ac:dyDescent="0.25">
      <c r="A32" s="259"/>
      <c r="B32" s="259" t="s">
        <v>1</v>
      </c>
      <c r="C32" s="165">
        <f>B26</f>
        <v>0.125</v>
      </c>
      <c r="D32" s="165">
        <f t="shared" si="11"/>
        <v>0.125</v>
      </c>
      <c r="E32" s="165">
        <f t="shared" si="11"/>
        <v>0.125</v>
      </c>
      <c r="F32" s="157"/>
    </row>
    <row r="33" spans="1:6" x14ac:dyDescent="0.25">
      <c r="A33" s="259"/>
      <c r="B33" s="259" t="s">
        <v>2</v>
      </c>
      <c r="C33" s="165">
        <f>B27</f>
        <v>7.4999999999999997E-2</v>
      </c>
      <c r="D33" s="165">
        <f t="shared" si="11"/>
        <v>7.4999999999999997E-2</v>
      </c>
      <c r="E33" s="165">
        <f t="shared" si="11"/>
        <v>7.4999999999999997E-2</v>
      </c>
      <c r="F33" s="157"/>
    </row>
    <row r="34" spans="1:6" x14ac:dyDescent="0.25">
      <c r="A34" s="259"/>
      <c r="B34" s="259" t="s">
        <v>6</v>
      </c>
      <c r="C34" s="157">
        <v>0.1</v>
      </c>
      <c r="D34" s="157">
        <v>0.1</v>
      </c>
      <c r="E34" s="157">
        <v>0.1</v>
      </c>
      <c r="F34" s="157"/>
    </row>
    <row r="35" spans="1:6" x14ac:dyDescent="0.25">
      <c r="A35" s="259"/>
      <c r="B35" s="259" t="s">
        <v>138</v>
      </c>
      <c r="C35" s="157">
        <v>0</v>
      </c>
      <c r="D35" s="157">
        <v>0</v>
      </c>
      <c r="E35" s="157">
        <v>0</v>
      </c>
      <c r="F35" s="157"/>
    </row>
  </sheetData>
  <conditionalFormatting sqref="E3:E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{9A98574C-BE55-4ED2-849F-3C79D730A6E2}</x14:id>
        </ext>
      </extLst>
    </cfRule>
  </conditionalFormatting>
  <conditionalFormatting sqref="B19:F23 B25:F29 C31:E35 D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{588FECE8-0AE6-4D14-AE63-B550E0F473E6}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98574C-BE55-4ED2-849F-3C79D730A6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E3:E14</xm:sqref>
        </x14:conditionalFormatting>
        <x14:conditionalFormatting xmlns:xm="http://schemas.microsoft.com/office/excel/2006/main">
          <x14:cfRule type="dataBar" id="{588FECE8-0AE6-4D14-AE63-B550E0F473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B19:F23 B25:F29 C31:E35 D17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R59"/>
  <sheetViews>
    <sheetView topLeftCell="A4" zoomScale="80" workbookViewId="0">
      <selection activeCell="C5" sqref="C5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7.140625" customWidth="1"/>
    <col min="17" max="17" width="8.85546875" customWidth="1"/>
    <col min="19" max="19" width="7.7109375" customWidth="1"/>
    <col min="21" max="21" width="7.140625" customWidth="1"/>
    <col min="23" max="23" width="17.42578125" customWidth="1"/>
    <col min="24" max="24" width="7.1406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7.14062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137</v>
      </c>
      <c r="F1" s="10" t="s">
        <v>1</v>
      </c>
      <c r="G1" s="70">
        <f>IF(D3="SI",COUNTIF($F$6:$F$18,"RAP"),0)</f>
        <v>0</v>
      </c>
      <c r="H1" s="70">
        <f>G1+G2+G3</f>
        <v>0</v>
      </c>
      <c r="J1" s="11" t="s">
        <v>1</v>
      </c>
      <c r="K1" s="70">
        <f>IF(D3="SI",COUNTIF($J$6:$J$18,"RAP"),0)</f>
        <v>0</v>
      </c>
      <c r="L1" s="70">
        <f>K1+K2+K3</f>
        <v>0</v>
      </c>
      <c r="M1" s="148">
        <f>L1+H1</f>
        <v>0</v>
      </c>
      <c r="P1" s="294" t="s">
        <v>146</v>
      </c>
      <c r="Q1" s="294"/>
      <c r="R1" s="150">
        <v>-0.12364059050405626</v>
      </c>
      <c r="S1" s="151">
        <f>1+R1</f>
        <v>0.87635940949594371</v>
      </c>
      <c r="AF1">
        <f>COUNTA(J16:J18)</f>
        <v>0</v>
      </c>
    </row>
    <row r="2" spans="1:70" x14ac:dyDescent="0.25">
      <c r="A2" s="153" t="s">
        <v>139</v>
      </c>
      <c r="F2" s="10" t="s">
        <v>2</v>
      </c>
      <c r="G2" s="70">
        <f>IF(D3="SI",COUNTIF($F$6:$F$18,"TEC"),0)</f>
        <v>0</v>
      </c>
      <c r="H2" s="13"/>
      <c r="J2" s="11" t="s">
        <v>2</v>
      </c>
      <c r="K2" s="70">
        <f>IF(D3="SI",COUNTIF($J$6:$J$18,"TEC"),0)</f>
        <v>0</v>
      </c>
      <c r="L2" s="13" t="s">
        <v>144</v>
      </c>
      <c r="M2" s="147" t="str">
        <f>IF(M1&lt;&gt;0,"SI","NO")</f>
        <v>NO</v>
      </c>
      <c r="R2" s="150">
        <v>7.3959748117051499E-2</v>
      </c>
      <c r="S2" s="151">
        <f>1+R2</f>
        <v>1.0739597481170515</v>
      </c>
    </row>
    <row r="3" spans="1:70" x14ac:dyDescent="0.25">
      <c r="A3" s="146" t="s">
        <v>4</v>
      </c>
      <c r="B3" s="295" t="s">
        <v>150</v>
      </c>
      <c r="C3" s="295"/>
      <c r="D3" t="str">
        <f>IF(B3="Sol","SI",IF(B3="Lluvia","SI","NO"))</f>
        <v>NO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6" t="s">
        <v>140</v>
      </c>
      <c r="Q3" t="s">
        <v>8</v>
      </c>
      <c r="R3" s="16" t="s">
        <v>141</v>
      </c>
      <c r="Y3" t="s">
        <v>7</v>
      </c>
      <c r="Z3" s="19" t="s">
        <v>140</v>
      </c>
      <c r="AA3" t="s">
        <v>8</v>
      </c>
      <c r="AB3" s="19" t="s">
        <v>141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147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148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149</v>
      </c>
      <c r="B5" s="154">
        <v>352</v>
      </c>
      <c r="C5" s="154">
        <v>352</v>
      </c>
      <c r="E5" s="50" t="s">
        <v>27</v>
      </c>
      <c r="F5" s="10" t="s">
        <v>28</v>
      </c>
      <c r="G5" s="10">
        <v>12</v>
      </c>
      <c r="H5" s="10"/>
      <c r="I5" s="10"/>
      <c r="J5" s="11" t="s">
        <v>28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 t="shared" ref="Q5:Q19" si="1">P5*O5</f>
        <v>0</v>
      </c>
      <c r="R5" s="155" t="e">
        <f t="shared" ref="R5:R19" si="2">IF($M$2="SI",Q5*$B$22/0.5*$S$1,Q5*$B$22/0.5*$S$2)</f>
        <v>#DIV/0!</v>
      </c>
      <c r="S5" s="41" t="e">
        <f t="shared" ref="S5:S19" si="3"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29</v>
      </c>
      <c r="X5" s="15" t="s">
        <v>30</v>
      </c>
      <c r="Y5" s="68">
        <f>COUNTIF(J5:J18,"IMP")*0.017</f>
        <v>0</v>
      </c>
      <c r="Z5" s="144" t="str">
        <f>Z3</f>
        <v>0,6</v>
      </c>
      <c r="AA5" s="20">
        <f t="shared" ref="AA5:AA19" si="4">Z5*Y5</f>
        <v>0</v>
      </c>
      <c r="AB5" s="155" t="e">
        <f t="shared" ref="AB5:AB19" si="5">IF($M$2="SI",AA5*$C$22/0.5*$S$1,AA5*$C$22/0.5*$S$2)</f>
        <v>#DIV/0!</v>
      </c>
      <c r="AC5" s="41" t="e">
        <f t="shared" ref="AC5:AC19" si="6"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31</v>
      </c>
      <c r="B6" s="3"/>
      <c r="C6" s="4"/>
      <c r="E6" s="50" t="s">
        <v>32</v>
      </c>
      <c r="F6" s="10"/>
      <c r="G6" s="10"/>
      <c r="H6" s="152"/>
      <c r="I6" s="10"/>
      <c r="J6" s="11"/>
      <c r="K6" s="11"/>
      <c r="L6" s="152"/>
      <c r="M6" s="10"/>
      <c r="O6" s="66">
        <f>COUNTIF(F14:F18,"IMP")*0.017</f>
        <v>0</v>
      </c>
      <c r="P6" s="16" t="str">
        <f>P3</f>
        <v>0,6</v>
      </c>
      <c r="Q6" s="17">
        <f t="shared" si="1"/>
        <v>0</v>
      </c>
      <c r="R6" s="155" t="e">
        <f t="shared" si="2"/>
        <v>#DIV/0!</v>
      </c>
      <c r="S6" s="41" t="e">
        <f t="shared" si="3"/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34</v>
      </c>
      <c r="X6" s="15" t="s">
        <v>35</v>
      </c>
      <c r="Y6" s="68">
        <f>COUNTIF(J14:J18,"IMP")*0.017</f>
        <v>0</v>
      </c>
      <c r="Z6" s="144" t="str">
        <f>Z3</f>
        <v>0,6</v>
      </c>
      <c r="AA6" s="20">
        <f t="shared" si="4"/>
        <v>0</v>
      </c>
      <c r="AB6" s="155" t="e">
        <f t="shared" si="5"/>
        <v>#DIV/0!</v>
      </c>
      <c r="AC6" s="41" t="e">
        <f t="shared" si="6"/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36</v>
      </c>
      <c r="B7" s="3"/>
      <c r="C7" s="4"/>
      <c r="E7" s="50" t="s">
        <v>37</v>
      </c>
      <c r="F7" s="10"/>
      <c r="G7" s="10"/>
      <c r="H7" s="152"/>
      <c r="I7" s="10"/>
      <c r="J7" s="11"/>
      <c r="K7" s="11"/>
      <c r="L7" s="152"/>
      <c r="M7" s="10"/>
      <c r="O7" s="66">
        <v>0</v>
      </c>
      <c r="P7" s="142">
        <v>0.5</v>
      </c>
      <c r="Q7" s="17">
        <f t="shared" si="1"/>
        <v>0</v>
      </c>
      <c r="R7" s="155" t="e">
        <f t="shared" si="2"/>
        <v>#DIV/0!</v>
      </c>
      <c r="S7" s="41" t="e">
        <f t="shared" si="3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142</v>
      </c>
      <c r="X7" s="15" t="s">
        <v>143</v>
      </c>
      <c r="Y7" s="68">
        <v>0</v>
      </c>
      <c r="Z7" s="144">
        <v>0.5</v>
      </c>
      <c r="AA7" s="20">
        <f t="shared" si="4"/>
        <v>0</v>
      </c>
      <c r="AB7" s="155" t="e">
        <f t="shared" si="5"/>
        <v>#DIV/0!</v>
      </c>
      <c r="AC7" s="41" t="e">
        <f t="shared" si="6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39</v>
      </c>
      <c r="B8" s="3"/>
      <c r="C8" s="4"/>
      <c r="E8" s="50" t="s">
        <v>37</v>
      </c>
      <c r="F8" s="10"/>
      <c r="G8" s="10"/>
      <c r="H8" s="152"/>
      <c r="I8" s="10"/>
      <c r="J8" s="11"/>
      <c r="K8" s="11"/>
      <c r="L8" s="152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5" t="e">
        <f t="shared" si="2"/>
        <v>#DIV/0!</v>
      </c>
      <c r="S8" s="41" t="e">
        <f t="shared" si="3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40</v>
      </c>
      <c r="X8" s="15" t="s">
        <v>41</v>
      </c>
      <c r="Y8" s="68">
        <f>COUNTIF(J6:J18,"IMP")*0.01</f>
        <v>0</v>
      </c>
      <c r="Z8" s="144" t="str">
        <f>Z3</f>
        <v>0,6</v>
      </c>
      <c r="AA8" s="20">
        <f t="shared" si="4"/>
        <v>0</v>
      </c>
      <c r="AB8" s="155" t="e">
        <f t="shared" si="5"/>
        <v>#DIV/0!</v>
      </c>
      <c r="AC8" s="41" t="e">
        <f t="shared" si="6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42</v>
      </c>
      <c r="B9" s="3"/>
      <c r="C9" s="4"/>
      <c r="E9" s="50" t="s">
        <v>37</v>
      </c>
      <c r="F9" s="10"/>
      <c r="G9" s="10"/>
      <c r="H9" s="152"/>
      <c r="I9" s="10"/>
      <c r="J9" s="11"/>
      <c r="K9" s="11"/>
      <c r="L9" s="152"/>
      <c r="M9" s="10"/>
      <c r="O9" s="66">
        <f>COUNTIF(J6:J13,"IMP")*0.025</f>
        <v>0</v>
      </c>
      <c r="P9" s="142">
        <v>0.5</v>
      </c>
      <c r="Q9" s="17">
        <f t="shared" si="1"/>
        <v>0</v>
      </c>
      <c r="R9" s="155" t="e">
        <f t="shared" si="2"/>
        <v>#DIV/0!</v>
      </c>
      <c r="S9" s="41" t="e">
        <f t="shared" si="3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43</v>
      </c>
      <c r="X9" s="15" t="s">
        <v>44</v>
      </c>
      <c r="Y9" s="68">
        <f>COUNTIF(F6:F13,"IMP")*0.025</f>
        <v>0</v>
      </c>
      <c r="Z9" s="144">
        <v>0.5</v>
      </c>
      <c r="AA9" s="20">
        <f t="shared" si="4"/>
        <v>0</v>
      </c>
      <c r="AB9" s="155" t="e">
        <f t="shared" si="5"/>
        <v>#DIV/0!</v>
      </c>
      <c r="AC9" s="41" t="e">
        <f t="shared" si="6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45</v>
      </c>
      <c r="B10" s="3"/>
      <c r="C10" s="4"/>
      <c r="E10" s="50" t="s">
        <v>32</v>
      </c>
      <c r="F10" s="10"/>
      <c r="G10" s="10"/>
      <c r="H10" s="152"/>
      <c r="I10" s="10"/>
      <c r="J10" s="11"/>
      <c r="K10" s="11"/>
      <c r="L10" s="152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5" t="e">
        <f t="shared" si="2"/>
        <v>#DIV/0!</v>
      </c>
      <c r="S10" s="41" t="e">
        <f t="shared" si="3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4" t="str">
        <f>AB3</f>
        <v>0,72</v>
      </c>
      <c r="AA10" s="20">
        <f t="shared" si="4"/>
        <v>0</v>
      </c>
      <c r="AB10" s="155" t="e">
        <f t="shared" si="5"/>
        <v>#DIV/0!</v>
      </c>
      <c r="AC10" s="41" t="e">
        <f t="shared" si="6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48</v>
      </c>
      <c r="B11" s="3"/>
      <c r="C11" s="4"/>
      <c r="E11" s="50" t="s">
        <v>49</v>
      </c>
      <c r="F11" s="10"/>
      <c r="G11" s="10"/>
      <c r="H11" s="152"/>
      <c r="I11" s="10"/>
      <c r="J11" s="11"/>
      <c r="K11" s="11"/>
      <c r="L11" s="152"/>
      <c r="M11" s="10"/>
      <c r="O11" s="66">
        <f>IF(COUNTA(F16:F18)=0,0,COUNTIF(F14:F15,"RAP")*0.035)+IF(COUNTA(F17:F18)=0,0,COUNTIF(F16,"RAP")*0.035)+IF(COUNTA(F16:F17)=0,0,COUNTIF(F18,"RAP")*0.035)+IF(COUNTA(F16,F18)=0,0,COUNTIF(F17,"RAP")*0.035)</f>
        <v>0</v>
      </c>
      <c r="P11" s="16" t="str">
        <f>R3</f>
        <v>0,72</v>
      </c>
      <c r="Q11" s="17">
        <f t="shared" si="1"/>
        <v>0</v>
      </c>
      <c r="R11" s="155" t="e">
        <f t="shared" si="2"/>
        <v>#DIV/0!</v>
      </c>
      <c r="S11" s="41" t="e">
        <f t="shared" si="3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50</v>
      </c>
      <c r="X11" s="15" t="s">
        <v>51</v>
      </c>
      <c r="Y11" s="68">
        <f>IF(COUNTA(J16:J18)=0,0,COUNTIF(J14:J15,"RAP")*0.035)+IF(COUNTA(J17:J18)=0,0,COUNTIF(J16,"RAP")*0.035)+IF(COUNTA(J16:J17)=0,0,COUNTIF(J18,"RAP")*0.035)+IF(COUNTA(J16,J18)=0,0,COUNTIF(J17,"RAP")*0.035)</f>
        <v>0</v>
      </c>
      <c r="Z11" s="144" t="str">
        <f>AB3</f>
        <v>0,72</v>
      </c>
      <c r="AA11" s="20">
        <f t="shared" si="4"/>
        <v>0</v>
      </c>
      <c r="AB11" s="155" t="e">
        <f t="shared" si="5"/>
        <v>#DIV/0!</v>
      </c>
      <c r="AC11" s="41" t="e">
        <f t="shared" si="6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52</v>
      </c>
      <c r="B12" s="3"/>
      <c r="C12" s="4"/>
      <c r="E12" s="50" t="s">
        <v>49</v>
      </c>
      <c r="F12" s="10"/>
      <c r="G12" s="10"/>
      <c r="H12" s="152"/>
      <c r="I12" s="10"/>
      <c r="J12" s="11"/>
      <c r="K12" s="11"/>
      <c r="L12" s="152"/>
      <c r="M12" s="10"/>
      <c r="O12" s="67"/>
      <c r="P12" s="142">
        <v>0.5</v>
      </c>
      <c r="Q12" s="17">
        <f t="shared" si="1"/>
        <v>0</v>
      </c>
      <c r="R12" s="155" t="e">
        <f t="shared" si="2"/>
        <v>#DIV/0!</v>
      </c>
      <c r="S12" s="41" t="e">
        <f t="shared" si="3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53</v>
      </c>
      <c r="X12" s="15" t="s">
        <v>54</v>
      </c>
      <c r="Y12" s="69"/>
      <c r="Z12" s="144">
        <v>0.5</v>
      </c>
      <c r="AA12" s="20">
        <f t="shared" si="4"/>
        <v>0</v>
      </c>
      <c r="AB12" s="155" t="e">
        <f t="shared" si="5"/>
        <v>#DIV/0!</v>
      </c>
      <c r="AC12" s="41" t="e">
        <f t="shared" si="6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55</v>
      </c>
      <c r="B13" s="3">
        <v>8.25</v>
      </c>
      <c r="C13" s="4">
        <v>11</v>
      </c>
      <c r="E13" s="50" t="s">
        <v>49</v>
      </c>
      <c r="F13" s="10"/>
      <c r="G13" s="10"/>
      <c r="H13" s="152"/>
      <c r="I13" s="10"/>
      <c r="J13" s="11"/>
      <c r="K13" s="11"/>
      <c r="L13" s="152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5" t="e">
        <f t="shared" si="2"/>
        <v>#DIV/0!</v>
      </c>
      <c r="S13" s="41" t="e">
        <f t="shared" si="3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56</v>
      </c>
      <c r="X13" s="15" t="s">
        <v>57</v>
      </c>
      <c r="Y13" s="68">
        <v>9.7500000000000003E-2</v>
      </c>
      <c r="Z13" s="144" t="str">
        <f>Z3</f>
        <v>0,6</v>
      </c>
      <c r="AA13" s="20">
        <f t="shared" si="4"/>
        <v>5.8499999999999996E-2</v>
      </c>
      <c r="AB13" s="155" t="e">
        <f t="shared" si="5"/>
        <v>#DIV/0!</v>
      </c>
      <c r="AC13" s="41" t="e">
        <f t="shared" si="6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58</v>
      </c>
      <c r="B14" s="3">
        <v>7.75</v>
      </c>
      <c r="C14" s="4">
        <v>10</v>
      </c>
      <c r="E14" s="50" t="s">
        <v>59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3">
        <v>0.95</v>
      </c>
      <c r="Q14" s="17">
        <f t="shared" si="1"/>
        <v>0</v>
      </c>
      <c r="R14" s="155" t="e">
        <f t="shared" si="2"/>
        <v>#DIV/0!</v>
      </c>
      <c r="S14" s="41" t="e">
        <f t="shared" si="3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60</v>
      </c>
      <c r="X14" s="15" t="s">
        <v>61</v>
      </c>
      <c r="Y14" s="68">
        <f>COUNTIF(J6:J18,"CAB")*0.071</f>
        <v>0</v>
      </c>
      <c r="Z14" s="145">
        <v>0.95</v>
      </c>
      <c r="AA14" s="20">
        <f t="shared" si="4"/>
        <v>0</v>
      </c>
      <c r="AB14" s="155" t="e">
        <f t="shared" si="5"/>
        <v>#DIV/0!</v>
      </c>
      <c r="AC14" s="41" t="e">
        <f t="shared" si="6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62</v>
      </c>
      <c r="B15" s="52"/>
      <c r="C15" s="54"/>
      <c r="E15" s="50" t="s">
        <v>59</v>
      </c>
      <c r="F15" s="10"/>
      <c r="G15" s="10"/>
      <c r="H15" s="10"/>
      <c r="I15" s="10"/>
      <c r="J15" s="11"/>
      <c r="K15" s="11"/>
      <c r="L15" s="10"/>
      <c r="M15" s="10"/>
      <c r="O15" s="67"/>
      <c r="P15" s="142">
        <v>0.5</v>
      </c>
      <c r="Q15" s="17">
        <f t="shared" si="1"/>
        <v>0</v>
      </c>
      <c r="R15" s="155" t="e">
        <f t="shared" si="2"/>
        <v>#DIV/0!</v>
      </c>
      <c r="S15" s="41" t="e">
        <f t="shared" si="3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63</v>
      </c>
      <c r="X15" s="15" t="s">
        <v>64</v>
      </c>
      <c r="Y15" s="69"/>
      <c r="Z15" s="144">
        <v>0.5</v>
      </c>
      <c r="AA15" s="20">
        <f t="shared" si="4"/>
        <v>0</v>
      </c>
      <c r="AB15" s="155" t="e">
        <f t="shared" si="5"/>
        <v>#DIV/0!</v>
      </c>
      <c r="AC15" s="41" t="e">
        <f t="shared" si="6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65</v>
      </c>
      <c r="B16" s="52">
        <f>AVERAGE(G5:G18)</f>
        <v>12</v>
      </c>
      <c r="C16" s="54">
        <f>AVERAGE(K5:K18)</f>
        <v>12</v>
      </c>
      <c r="E16" s="50" t="s">
        <v>66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2">
        <v>0.25</v>
      </c>
      <c r="Q16" s="17">
        <f t="shared" si="1"/>
        <v>0</v>
      </c>
      <c r="R16" s="155" t="e">
        <f t="shared" si="2"/>
        <v>#DIV/0!</v>
      </c>
      <c r="S16" s="41" t="e">
        <f t="shared" si="3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67</v>
      </c>
      <c r="X16" s="15" t="s">
        <v>68</v>
      </c>
      <c r="Y16" s="68">
        <f>COUNTA(H6:H13)*0.03</f>
        <v>0</v>
      </c>
      <c r="Z16" s="144">
        <v>0.25</v>
      </c>
      <c r="AA16" s="20">
        <f t="shared" si="4"/>
        <v>0</v>
      </c>
      <c r="AB16" s="155" t="e">
        <f t="shared" si="5"/>
        <v>#DIV/0!</v>
      </c>
      <c r="AC16" s="41" t="e">
        <f t="shared" si="6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69</v>
      </c>
      <c r="B17" s="53" t="s">
        <v>70</v>
      </c>
      <c r="C17" s="55" t="s">
        <v>70</v>
      </c>
      <c r="E17" s="50" t="s">
        <v>66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(0.02*2)*IF(COUNTBLANK(F14:F15)&lt;&gt;0,(2-COUNTBLANK(F14:F15))/2,1)</f>
        <v>0</v>
      </c>
      <c r="P17" s="16" t="str">
        <f>P3</f>
        <v>0,6</v>
      </c>
      <c r="Q17" s="17">
        <f t="shared" si="1"/>
        <v>0</v>
      </c>
      <c r="R17" s="155" t="e">
        <f t="shared" si="2"/>
        <v>#DIV/0!</v>
      </c>
      <c r="S17" s="41" t="e">
        <f t="shared" si="3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71</v>
      </c>
      <c r="X17" s="15" t="s">
        <v>72</v>
      </c>
      <c r="Y17" s="68">
        <f>(0.02*2)*IF(COUNTBLANK(J14:J15)&lt;&gt;0,(2-COUNTBLANK(J14:J15))/2,1)</f>
        <v>0</v>
      </c>
      <c r="Z17" s="144" t="str">
        <f>Z3</f>
        <v>0,6</v>
      </c>
      <c r="AA17" s="20">
        <f t="shared" si="4"/>
        <v>0</v>
      </c>
      <c r="AB17" s="155" t="e">
        <f t="shared" si="5"/>
        <v>#DIV/0!</v>
      </c>
      <c r="AC17" s="41" t="e">
        <f t="shared" si="6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73</v>
      </c>
      <c r="B18" s="53">
        <v>20</v>
      </c>
      <c r="C18" s="55">
        <v>20</v>
      </c>
      <c r="E18" s="50" t="s">
        <v>66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2">
        <v>0.5</v>
      </c>
      <c r="Q18" s="17">
        <f t="shared" si="1"/>
        <v>0</v>
      </c>
      <c r="R18" s="155" t="e">
        <f t="shared" si="2"/>
        <v>#DIV/0!</v>
      </c>
      <c r="S18" s="41" t="e">
        <f t="shared" si="3"/>
        <v>#DIV/0!</v>
      </c>
      <c r="T18" s="42" t="e">
        <f>R18*PRODUCT(S5:S17)*PRODUCT(S19)</f>
        <v>#DIV/0!</v>
      </c>
      <c r="U18" s="42" t="e">
        <f>R18*R19*PRODUCT(S5:S17)</f>
        <v>#DIV/0!</v>
      </c>
      <c r="W18" s="48" t="s">
        <v>74</v>
      </c>
      <c r="X18" s="15" t="s">
        <v>75</v>
      </c>
      <c r="Y18" s="68">
        <v>0</v>
      </c>
      <c r="Z18" s="144">
        <v>0.5</v>
      </c>
      <c r="AA18" s="20">
        <f t="shared" si="4"/>
        <v>0</v>
      </c>
      <c r="AB18" s="155" t="e">
        <f t="shared" si="5"/>
        <v>#DIV/0!</v>
      </c>
      <c r="AC18" s="41" t="e">
        <f t="shared" si="6"/>
        <v>#DIV/0!</v>
      </c>
      <c r="AD18" s="42" t="e">
        <f>AB18*PRODUCT(AC5:AC17)*PRODUCT(AC19)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145</v>
      </c>
      <c r="L19" s="13" t="s">
        <v>145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5" t="e">
        <f t="shared" si="2"/>
        <v>#DIV/0!</v>
      </c>
      <c r="S19" s="43" t="e">
        <f t="shared" si="3"/>
        <v>#DIV/0!</v>
      </c>
      <c r="T19" s="44" t="e">
        <f>R19*PRODUCT(S5:S18)</f>
        <v>#DIV/0!</v>
      </c>
      <c r="U19" s="44">
        <v>0</v>
      </c>
      <c r="V19" s="1" t="s">
        <v>76</v>
      </c>
      <c r="W19" s="48" t="s">
        <v>77</v>
      </c>
      <c r="X19" s="15" t="s">
        <v>78</v>
      </c>
      <c r="Y19" s="68">
        <f>COUNTIF(J14:J18,"TEC")*0.06*IF(COUNTIF(F6:F13,"CAB")&lt;&gt;0,1,0)</f>
        <v>0</v>
      </c>
      <c r="Z19" s="144" t="str">
        <f>Z3</f>
        <v>0,6</v>
      </c>
      <c r="AA19" s="20">
        <f t="shared" si="4"/>
        <v>0</v>
      </c>
      <c r="AB19" s="155" t="e">
        <f t="shared" si="5"/>
        <v>#DIV/0!</v>
      </c>
      <c r="AC19" s="43" t="e">
        <f t="shared" si="6"/>
        <v>#DIV/0!</v>
      </c>
      <c r="AD19" s="44" t="e">
        <f>AB19*PRODUCT(AC5:AC18)</f>
        <v>#DIV/0!</v>
      </c>
      <c r="AE19" s="44">
        <v>0</v>
      </c>
      <c r="AF19" s="1" t="s">
        <v>76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79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80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x14ac:dyDescent="0.25">
      <c r="A22" s="26" t="s">
        <v>81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x14ac:dyDescent="0.25">
      <c r="A23" s="40" t="s">
        <v>82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G23" s="99" t="s">
        <v>86</v>
      </c>
      <c r="H23" s="100" t="s">
        <v>18</v>
      </c>
      <c r="I23" s="99" t="s">
        <v>87</v>
      </c>
      <c r="J23" s="101" t="s">
        <v>88</v>
      </c>
      <c r="K23" s="99" t="s">
        <v>89</v>
      </c>
      <c r="L23" s="101" t="s">
        <v>18</v>
      </c>
      <c r="M23" s="83" t="s">
        <v>90</v>
      </c>
      <c r="N23" s="27" t="s">
        <v>91</v>
      </c>
      <c r="O23" s="27" t="s">
        <v>92</v>
      </c>
      <c r="P23" s="27" t="s">
        <v>18</v>
      </c>
      <c r="Q23" s="27" t="s">
        <v>93</v>
      </c>
      <c r="R23" s="27" t="s">
        <v>18</v>
      </c>
      <c r="S23" s="27" t="s">
        <v>94</v>
      </c>
      <c r="T23" s="132" t="s">
        <v>18</v>
      </c>
      <c r="U23" s="136" t="s">
        <v>95</v>
      </c>
      <c r="V23" s="137" t="s">
        <v>91</v>
      </c>
      <c r="W23" s="83" t="s">
        <v>96</v>
      </c>
      <c r="X23" s="27" t="s">
        <v>97</v>
      </c>
      <c r="Y23" s="27" t="s">
        <v>18</v>
      </c>
      <c r="Z23" s="27" t="s">
        <v>98</v>
      </c>
      <c r="AA23" s="27" t="s">
        <v>18</v>
      </c>
      <c r="AB23" s="27" t="s">
        <v>99</v>
      </c>
      <c r="AC23" s="27" t="s">
        <v>18</v>
      </c>
      <c r="AD23" s="27" t="s">
        <v>100</v>
      </c>
      <c r="AE23" s="27" t="s">
        <v>18</v>
      </c>
      <c r="AF23" s="27" t="s">
        <v>101</v>
      </c>
      <c r="AG23" s="27" t="s">
        <v>18</v>
      </c>
      <c r="AH23" s="27" t="s">
        <v>102</v>
      </c>
      <c r="AI23" s="27" t="s">
        <v>18</v>
      </c>
      <c r="AJ23" s="27" t="s">
        <v>103</v>
      </c>
      <c r="AK23" s="27" t="s">
        <v>18</v>
      </c>
      <c r="AL23" s="27" t="s">
        <v>104</v>
      </c>
      <c r="AM23" s="27" t="s">
        <v>18</v>
      </c>
      <c r="AN23" s="27" t="s">
        <v>105</v>
      </c>
      <c r="AO23" s="27" t="s">
        <v>18</v>
      </c>
      <c r="AP23" s="27" t="s">
        <v>106</v>
      </c>
      <c r="AQ23" s="27" t="s">
        <v>18</v>
      </c>
      <c r="AR23" s="27" t="s">
        <v>107</v>
      </c>
      <c r="AS23" s="27" t="s">
        <v>18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83</v>
      </c>
      <c r="B24" s="64" t="e">
        <f>B23/B21</f>
        <v>#DIV/0!</v>
      </c>
      <c r="C24" s="65" t="e">
        <f>C23/B21</f>
        <v>#DIV/0!</v>
      </c>
      <c r="D24" s="13" t="s">
        <v>84</v>
      </c>
      <c r="E24" s="13" t="s">
        <v>85</v>
      </c>
      <c r="G24" s="124">
        <v>0</v>
      </c>
      <c r="H24" s="125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 t="shared" ref="P24:P29" si="11">N24</f>
        <v>#DIV/0!</v>
      </c>
      <c r="Q24" s="12">
        <v>0</v>
      </c>
      <c r="R24" s="73" t="e">
        <f>P24*N24</f>
        <v>#DIV/0!</v>
      </c>
      <c r="S24" s="70">
        <v>0</v>
      </c>
      <c r="T24" s="133" t="e">
        <f>(1-$B$33)^(INT(C23*2*(1-C31)))</f>
        <v>#DIV/0!</v>
      </c>
      <c r="U24" s="138">
        <v>0</v>
      </c>
      <c r="V24" s="86" t="e">
        <f>R24*T24</f>
        <v>#DIV/0!</v>
      </c>
      <c r="W24" s="134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2">$H$31*H38</f>
        <v>#DIV/0!</v>
      </c>
    </row>
    <row r="25" spans="1:70" x14ac:dyDescent="0.25">
      <c r="A25" s="26" t="s">
        <v>108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87">
        <v>1</v>
      </c>
      <c r="H25" s="126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si="11"/>
        <v>#DIV/0!</v>
      </c>
      <c r="Q25" s="28">
        <v>1</v>
      </c>
      <c r="R25" s="37" t="e">
        <f>N25*P24+P25*N24</f>
        <v>#DIV/0!</v>
      </c>
      <c r="S25" s="72">
        <v>1</v>
      </c>
      <c r="T25" s="133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5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109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2</v>
      </c>
      <c r="H26" s="126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1"/>
        <v>#DIV/0!</v>
      </c>
      <c r="Q26" s="28">
        <v>2</v>
      </c>
      <c r="R26" s="37" t="e">
        <f>P24*N26+P25*N25+P26*N24</f>
        <v>#DIV/0!</v>
      </c>
      <c r="S26" s="72">
        <v>2</v>
      </c>
      <c r="T26" s="133" t="e">
        <f t="shared" si="13"/>
        <v>#DIV/0!</v>
      </c>
      <c r="U26" s="93">
        <v>2</v>
      </c>
      <c r="V26" s="86" t="e">
        <f>R26*T24+T25*R25+R24*T26</f>
        <v>#DIV/0!</v>
      </c>
      <c r="W26" s="135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110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3</v>
      </c>
      <c r="H27" s="126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1"/>
        <v>#DIV/0!</v>
      </c>
      <c r="Q27" s="28">
        <v>3</v>
      </c>
      <c r="R27" s="37" t="e">
        <f>P24*N27+P25*N26+P26*N25+P27*N24</f>
        <v>#DIV/0!</v>
      </c>
      <c r="S27" s="72">
        <v>3</v>
      </c>
      <c r="T27" s="133" t="e">
        <f t="shared" si="13"/>
        <v>#DIV/0!</v>
      </c>
      <c r="U27" s="93">
        <v>3</v>
      </c>
      <c r="V27" s="86" t="e">
        <f>R27*T24+R26*T25+R25*T26+R24*T27</f>
        <v>#DIV/0!</v>
      </c>
      <c r="W27" s="135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111</v>
      </c>
      <c r="B28" s="120">
        <v>0.9</v>
      </c>
      <c r="C28" s="121">
        <v>0.9</v>
      </c>
      <c r="D28" s="151">
        <v>8.5000000000000006E-2</v>
      </c>
      <c r="E28" s="151">
        <v>8.5000000000000006E-2</v>
      </c>
      <c r="G28" s="87">
        <v>4</v>
      </c>
      <c r="H28" s="126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1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3" t="e">
        <f t="shared" si="13"/>
        <v>#DIV/0!</v>
      </c>
      <c r="U28" s="93">
        <v>4</v>
      </c>
      <c r="V28" s="86" t="e">
        <f>T28*R24+T27*R25+T26*R26+T25*R27+T24*R28</f>
        <v>#DIV/0!</v>
      </c>
      <c r="W28" s="135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112</v>
      </c>
      <c r="B29" s="119">
        <f>1/(1+EXP(-3.1416*4*((B14/(B14+C13))-(3.1416/6))))</f>
        <v>0.20010231099857245</v>
      </c>
      <c r="C29" s="118">
        <f>1/(1+EXP(-3.1416*4*((C14/(C14+B13))-(3.1416/6))))</f>
        <v>0.575891899079775</v>
      </c>
      <c r="D29" s="151">
        <v>0.04</v>
      </c>
      <c r="E29" s="151">
        <v>0.04</v>
      </c>
      <c r="G29" s="87">
        <v>5</v>
      </c>
      <c r="H29" s="126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1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3" t="e">
        <f t="shared" si="13"/>
        <v>#DIV/0!</v>
      </c>
      <c r="U29" s="93">
        <v>5</v>
      </c>
      <c r="V29" s="86" t="e">
        <f>T29*R24+T28*R25+T27*R26+T26*R27+T25*R28+T24*R29</f>
        <v>#DIV/0!</v>
      </c>
      <c r="W29" s="135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113</v>
      </c>
      <c r="B30" s="120">
        <v>0.15</v>
      </c>
      <c r="C30" s="121">
        <v>0.15</v>
      </c>
      <c r="D30" s="151">
        <f>IF(B17="TL",0.875*B32,0.001)</f>
        <v>1E-3</v>
      </c>
      <c r="E30" s="151">
        <f>IF(C17="TL",0.875*C32,0.001)</f>
        <v>1E-3</v>
      </c>
      <c r="G30" s="87">
        <v>6</v>
      </c>
      <c r="H30" s="126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3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5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51" t="s">
        <v>114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6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3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5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115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6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3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5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116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6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3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5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117</v>
      </c>
      <c r="B34" s="56" t="e">
        <f>B23*2</f>
        <v>#DIV/0!</v>
      </c>
      <c r="C34" s="57" t="e">
        <f>C23*2</f>
        <v>#DIV/0!</v>
      </c>
      <c r="G34" s="88">
        <v>10</v>
      </c>
      <c r="H34" s="127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3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5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118</v>
      </c>
      <c r="B37" s="107" t="e">
        <f>SUM(BN4:BN14)</f>
        <v>#DIV/0!</v>
      </c>
      <c r="G37" s="103" t="str">
        <f t="shared" ref="G37:AS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39" t="str">
        <f t="shared" si="19"/>
        <v>p</v>
      </c>
      <c r="U37" s="140" t="str">
        <f t="shared" si="19"/>
        <v>Total</v>
      </c>
      <c r="V37" s="141" t="str">
        <f t="shared" si="19"/>
        <v>P</v>
      </c>
      <c r="W37" s="90" t="str">
        <f t="shared" si="19"/>
        <v>E(x)</v>
      </c>
      <c r="X37" s="30" t="str">
        <f t="shared" si="19"/>
        <v>G0</v>
      </c>
      <c r="Y37" s="30" t="str">
        <f t="shared" si="19"/>
        <v>p</v>
      </c>
      <c r="Z37" s="30" t="str">
        <f t="shared" si="19"/>
        <v>G1</v>
      </c>
      <c r="AA37" s="30" t="str">
        <f t="shared" si="19"/>
        <v>p</v>
      </c>
      <c r="AB37" s="30" t="str">
        <f t="shared" si="19"/>
        <v>G2</v>
      </c>
      <c r="AC37" s="30" t="str">
        <f t="shared" si="19"/>
        <v>p</v>
      </c>
      <c r="AD37" s="30" t="str">
        <f t="shared" si="19"/>
        <v>G3</v>
      </c>
      <c r="AE37" s="30" t="str">
        <f t="shared" si="19"/>
        <v>p</v>
      </c>
      <c r="AF37" s="30" t="str">
        <f t="shared" si="19"/>
        <v>G4</v>
      </c>
      <c r="AG37" s="30" t="str">
        <f t="shared" si="19"/>
        <v>p</v>
      </c>
      <c r="AH37" s="30" t="str">
        <f t="shared" si="19"/>
        <v>G5</v>
      </c>
      <c r="AI37" s="30" t="str">
        <f t="shared" si="19"/>
        <v>p</v>
      </c>
      <c r="AJ37" s="30" t="str">
        <f t="shared" si="19"/>
        <v>G6</v>
      </c>
      <c r="AK37" s="30" t="str">
        <f t="shared" si="19"/>
        <v>p</v>
      </c>
      <c r="AL37" s="30" t="str">
        <f t="shared" si="19"/>
        <v>G7</v>
      </c>
      <c r="AM37" s="30" t="str">
        <f t="shared" si="19"/>
        <v>p</v>
      </c>
      <c r="AN37" s="30" t="str">
        <f t="shared" si="19"/>
        <v>G8</v>
      </c>
      <c r="AO37" s="30" t="str">
        <f t="shared" si="19"/>
        <v>p</v>
      </c>
      <c r="AP37" s="30" t="str">
        <f t="shared" si="19"/>
        <v>G9</v>
      </c>
      <c r="AQ37" s="30" t="str">
        <f t="shared" si="19"/>
        <v>p</v>
      </c>
      <c r="AR37" s="30" t="str">
        <f t="shared" si="19"/>
        <v>G10</v>
      </c>
      <c r="AS37" s="30" t="str">
        <f t="shared" si="19"/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119</v>
      </c>
      <c r="B38" s="107" t="e">
        <f>SUM(BJ4:BJ59)</f>
        <v>#DIV/0!</v>
      </c>
      <c r="G38" s="128">
        <v>0</v>
      </c>
      <c r="H38" s="129" t="e">
        <f>L38*J38</f>
        <v>#DIV/0!</v>
      </c>
      <c r="I38" s="97">
        <v>0</v>
      </c>
      <c r="J38" s="98" t="e">
        <f t="shared" ref="J38:J48" si="20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 t="shared" ref="P38:P43" si="21">N38</f>
        <v>#DIV/0!</v>
      </c>
      <c r="Q38" s="12">
        <v>0</v>
      </c>
      <c r="R38" s="73" t="e">
        <f>P38*N38</f>
        <v>#DIV/0!</v>
      </c>
      <c r="S38" s="70">
        <v>0</v>
      </c>
      <c r="T38" s="133" t="e">
        <f>(1-$C$33)^(INT(B23*2*(1-B31)))</f>
        <v>#DIV/0!</v>
      </c>
      <c r="U38" s="138">
        <v>0</v>
      </c>
      <c r="V38" s="86" t="e">
        <f>R38*T38</f>
        <v>#DIV/0!</v>
      </c>
      <c r="W38" s="134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2">BH32+1</f>
        <v>4</v>
      </c>
      <c r="BI38">
        <v>5</v>
      </c>
      <c r="BJ38" s="107" t="e">
        <f t="shared" ref="BJ38:BJ43" si="2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120</v>
      </c>
      <c r="B39" s="107" t="e">
        <f>SUM(BR4:BR47)</f>
        <v>#DIV/0!</v>
      </c>
      <c r="G39" s="91">
        <v>1</v>
      </c>
      <c r="H39" s="130" t="e">
        <f>L38*J39+L39*J38</f>
        <v>#DIV/0!</v>
      </c>
      <c r="I39" s="93">
        <v>1</v>
      </c>
      <c r="J39" s="86" t="e">
        <f t="shared" si="20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si="21"/>
        <v>#DIV/0!</v>
      </c>
      <c r="Q39" s="28">
        <v>1</v>
      </c>
      <c r="R39" s="37" t="e">
        <f>P39*N38+P38*N39</f>
        <v>#DIV/0!</v>
      </c>
      <c r="S39" s="72">
        <v>1</v>
      </c>
      <c r="T39" s="133" t="e">
        <f t="shared" ref="T39:T48" si="24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5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2"/>
        <v>4</v>
      </c>
      <c r="BI39">
        <v>6</v>
      </c>
      <c r="BJ39" s="107" t="e">
        <f t="shared" si="23"/>
        <v>#DIV/0!</v>
      </c>
      <c r="BP39">
        <f t="shared" ref="BP39:BP46" si="25">BP31+1</f>
        <v>9</v>
      </c>
      <c r="BQ39">
        <v>0</v>
      </c>
      <c r="BR39" s="107" t="e">
        <f t="shared" ref="BR39:BR47" si="26">$H$33*H38</f>
        <v>#DIV/0!</v>
      </c>
    </row>
    <row r="40" spans="1:70" x14ac:dyDescent="0.25">
      <c r="G40" s="91">
        <v>2</v>
      </c>
      <c r="H40" s="130" t="e">
        <f>L38*J40+J39*L39+J38*L40</f>
        <v>#DIV/0!</v>
      </c>
      <c r="I40" s="93">
        <v>2</v>
      </c>
      <c r="J40" s="86" t="e">
        <f t="shared" si="20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21"/>
        <v>#DIV/0!</v>
      </c>
      <c r="Q40" s="28">
        <v>2</v>
      </c>
      <c r="R40" s="37" t="e">
        <f>P40*N38+P39*N39+P38*N40</f>
        <v>#DIV/0!</v>
      </c>
      <c r="S40" s="72">
        <v>2</v>
      </c>
      <c r="T40" s="133" t="e">
        <f t="shared" si="24"/>
        <v>#DIV/0!</v>
      </c>
      <c r="U40" s="93">
        <v>2</v>
      </c>
      <c r="V40" s="86" t="e">
        <f>R40*T38+T39*R39+R38*T40</f>
        <v>#DIV/0!</v>
      </c>
      <c r="W40" s="135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2"/>
        <v>4</v>
      </c>
      <c r="BI40">
        <v>7</v>
      </c>
      <c r="BJ40" s="107" t="e">
        <f t="shared" si="23"/>
        <v>#DIV/0!</v>
      </c>
      <c r="BP40">
        <f t="shared" si="25"/>
        <v>9</v>
      </c>
      <c r="BQ40">
        <v>1</v>
      </c>
      <c r="BR40" s="107" t="e">
        <f t="shared" si="26"/>
        <v>#DIV/0!</v>
      </c>
    </row>
    <row r="41" spans="1:70" x14ac:dyDescent="0.25">
      <c r="G41" s="91">
        <v>3</v>
      </c>
      <c r="H41" s="130" t="e">
        <f>J41*L38+J40*L39+L41*J38+L40*J39</f>
        <v>#DIV/0!</v>
      </c>
      <c r="I41" s="93">
        <v>3</v>
      </c>
      <c r="J41" s="86" t="e">
        <f t="shared" si="20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21"/>
        <v>#DIV/0!</v>
      </c>
      <c r="Q41" s="28">
        <v>3</v>
      </c>
      <c r="R41" s="37" t="e">
        <f>P41*N38+P40*N39+P39*N40+P38*N41</f>
        <v>#DIV/0!</v>
      </c>
      <c r="S41" s="72">
        <v>3</v>
      </c>
      <c r="T41" s="133" t="e">
        <f t="shared" si="24"/>
        <v>#DIV/0!</v>
      </c>
      <c r="U41" s="93">
        <v>3</v>
      </c>
      <c r="V41" s="86" t="e">
        <f>R41*T38+R40*T39+R39*T40+R38*T41</f>
        <v>#DIV/0!</v>
      </c>
      <c r="W41" s="135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2"/>
        <v>4</v>
      </c>
      <c r="BI41">
        <v>8</v>
      </c>
      <c r="BJ41" s="107" t="e">
        <f t="shared" si="23"/>
        <v>#DIV/0!</v>
      </c>
      <c r="BP41">
        <f t="shared" si="25"/>
        <v>9</v>
      </c>
      <c r="BQ41">
        <v>2</v>
      </c>
      <c r="BR41" s="107" t="e">
        <f t="shared" si="26"/>
        <v>#DIV/0!</v>
      </c>
    </row>
    <row r="42" spans="1:70" ht="15" customHeight="1" x14ac:dyDescent="0.25">
      <c r="G42" s="91">
        <v>4</v>
      </c>
      <c r="H42" s="130" t="e">
        <f>J42*L38+J41*L39+J40*L40+J39*L41</f>
        <v>#DIV/0!</v>
      </c>
      <c r="I42" s="93">
        <v>4</v>
      </c>
      <c r="J42" s="86" t="e">
        <f t="shared" si="20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21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3" t="e">
        <f t="shared" si="24"/>
        <v>#DIV/0!</v>
      </c>
      <c r="U42" s="93">
        <v>4</v>
      </c>
      <c r="V42" s="86" t="e">
        <f>T42*R38+T41*R39+T40*R40+T39*R41+T38*R42</f>
        <v>#DIV/0!</v>
      </c>
      <c r="W42" s="135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2"/>
        <v>4</v>
      </c>
      <c r="BI42">
        <v>9</v>
      </c>
      <c r="BJ42" s="107" t="e">
        <f t="shared" si="23"/>
        <v>#DIV/0!</v>
      </c>
      <c r="BP42">
        <f t="shared" si="25"/>
        <v>9</v>
      </c>
      <c r="BQ42">
        <v>3</v>
      </c>
      <c r="BR42" s="107" t="e">
        <f t="shared" si="26"/>
        <v>#DIV/0!</v>
      </c>
    </row>
    <row r="43" spans="1:70" ht="15" customHeight="1" x14ac:dyDescent="0.25">
      <c r="G43" s="91">
        <v>5</v>
      </c>
      <c r="H43" s="130" t="e">
        <f>J43*L38+J42*L39+J41*L40+J40*L41</f>
        <v>#DIV/0!</v>
      </c>
      <c r="I43" s="93">
        <v>5</v>
      </c>
      <c r="J43" s="86" t="e">
        <f t="shared" si="20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21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3" t="e">
        <f t="shared" si="24"/>
        <v>#DIV/0!</v>
      </c>
      <c r="U43" s="93">
        <v>5</v>
      </c>
      <c r="V43" s="86" t="e">
        <f>T43*R38+T42*R39+T41*R40+T40*R41+T39*R42+T38*R43</f>
        <v>#DIV/0!</v>
      </c>
      <c r="W43" s="135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2"/>
        <v>4</v>
      </c>
      <c r="BI43">
        <v>10</v>
      </c>
      <c r="BJ43" s="107" t="e">
        <f t="shared" si="23"/>
        <v>#DIV/0!</v>
      </c>
      <c r="BP43">
        <f t="shared" si="25"/>
        <v>9</v>
      </c>
      <c r="BQ43">
        <v>4</v>
      </c>
      <c r="BR43" s="107" t="e">
        <f t="shared" si="26"/>
        <v>#DIV/0!</v>
      </c>
    </row>
    <row r="44" spans="1:70" ht="15" customHeight="1" x14ac:dyDescent="0.25">
      <c r="G44" s="91">
        <v>6</v>
      </c>
      <c r="H44" s="130" t="e">
        <f>J44*L38+J43*L39+J42*L40+J41*L41</f>
        <v>#DIV/0!</v>
      </c>
      <c r="I44" s="93">
        <v>6</v>
      </c>
      <c r="J44" s="86" t="e">
        <f t="shared" si="20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3" t="e">
        <f t="shared" si="24"/>
        <v>#DIV/0!</v>
      </c>
      <c r="U44" s="93">
        <v>6</v>
      </c>
      <c r="V44" s="86" t="e">
        <f>T44*R38+T43*R39+T42*R40+T41*R41+T40*R42+T39*R43+T38*R44</f>
        <v>#DIV/0!</v>
      </c>
      <c r="W44" s="135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25"/>
        <v>9</v>
      </c>
      <c r="BQ44">
        <v>5</v>
      </c>
      <c r="BR44" s="107" t="e">
        <f t="shared" si="26"/>
        <v>#DIV/0!</v>
      </c>
    </row>
    <row r="45" spans="1:70" ht="15" customHeight="1" x14ac:dyDescent="0.25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7</v>
      </c>
      <c r="H45" s="130" t="e">
        <f>J45*L38+J44*L39+J43*L40+J42*L41</f>
        <v>#DIV/0!</v>
      </c>
      <c r="I45" s="93">
        <v>7</v>
      </c>
      <c r="J45" s="86" t="e">
        <f t="shared" si="20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3" t="e">
        <f t="shared" si="24"/>
        <v>#DIV/0!</v>
      </c>
      <c r="U45" s="93">
        <v>7</v>
      </c>
      <c r="V45" s="86" t="e">
        <f>T45*R38+T44*R39+T43*R40+T42*R41+T41*R42+T40*R43+T39*R44+T38*R45</f>
        <v>#DIV/0!</v>
      </c>
      <c r="W45" s="135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25"/>
        <v>9</v>
      </c>
      <c r="BQ45">
        <v>6</v>
      </c>
      <c r="BR45" s="107" t="e">
        <f t="shared" si="26"/>
        <v>#DIV/0!</v>
      </c>
    </row>
    <row r="46" spans="1:70" ht="15" customHeight="1" x14ac:dyDescent="0.25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8</v>
      </c>
      <c r="H46" s="130" t="e">
        <f>J46*L38+J45*L39+J44*L40+J43*L41</f>
        <v>#DIV/0!</v>
      </c>
      <c r="I46" s="93">
        <v>8</v>
      </c>
      <c r="J46" s="86" t="e">
        <f t="shared" si="20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3" t="e">
        <f t="shared" si="24"/>
        <v>#DIV/0!</v>
      </c>
      <c r="U46" s="93">
        <v>8</v>
      </c>
      <c r="V46" s="86" t="e">
        <f>T46*R38+T45*R39+T44*R40+T43*R41+T42*R42+T41*R43+T40*R44+T39*R45+T38*R46</f>
        <v>#DIV/0!</v>
      </c>
      <c r="W46" s="135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25"/>
        <v>9</v>
      </c>
      <c r="BQ46">
        <v>7</v>
      </c>
      <c r="BR46" s="107" t="e">
        <f t="shared" si="26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9</v>
      </c>
      <c r="H47" s="130" t="e">
        <f>J47*L38+J46*L39+J45*L40+J44*L41</f>
        <v>#DIV/0!</v>
      </c>
      <c r="I47" s="93">
        <v>9</v>
      </c>
      <c r="J47" s="86" t="e">
        <f t="shared" si="20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3" t="e">
        <f t="shared" si="24"/>
        <v>#DIV/0!</v>
      </c>
      <c r="U47" s="93">
        <v>9</v>
      </c>
      <c r="V47" s="86" t="e">
        <f>T47*R38+T46*R39+T45*R40+T44*R41+T43*R42+T42*R43+T41*R44+T40*R45+T39*R46+T38*R47</f>
        <v>#DIV/0!</v>
      </c>
      <c r="W47" s="135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26"/>
        <v>#DIV/0!</v>
      </c>
    </row>
    <row r="48" spans="1:70" ht="15" customHeight="1" x14ac:dyDescent="0.25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2">
        <v>10</v>
      </c>
      <c r="H48" s="131" t="e">
        <f>J48*L38+J47*L39+J46*L40+J45*L41</f>
        <v>#DIV/0!</v>
      </c>
      <c r="I48" s="94">
        <v>10</v>
      </c>
      <c r="J48" s="89" t="e">
        <f t="shared" si="20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3" t="e">
        <f t="shared" si="24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5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x14ac:dyDescent="0.25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x14ac:dyDescent="0.25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BH50">
        <f>BH45+1</f>
        <v>6</v>
      </c>
      <c r="BI50">
        <v>7</v>
      </c>
      <c r="BJ50" s="107" t="e">
        <f>$H$30*H45</f>
        <v>#DIV/0!</v>
      </c>
    </row>
    <row r="51" spans="1:62" x14ac:dyDescent="0.25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H48">
    <cfRule type="cellIs" dxfId="27" priority="1" operator="greaterThan">
      <formula>0.15</formula>
    </cfRule>
  </conditionalFormatting>
  <conditionalFormatting sqref="H38:H48">
    <cfRule type="cellIs" dxfId="26" priority="2" operator="greaterThan">
      <formula>0.15</formula>
    </cfRule>
  </conditionalFormatting>
  <conditionalFormatting sqref="H48">
    <cfRule type="cellIs" dxfId="25" priority="3" operator="greaterThan">
      <formula>0.15</formula>
    </cfRule>
  </conditionalFormatting>
  <conditionalFormatting sqref="H38:H48">
    <cfRule type="cellIs" dxfId="24" priority="4" operator="greaterThan">
      <formula>0.15</formula>
    </cfRule>
  </conditionalFormatting>
  <conditionalFormatting sqref="H34">
    <cfRule type="cellIs" dxfId="23" priority="5" operator="greaterThan">
      <formula>0.15</formula>
    </cfRule>
  </conditionalFormatting>
  <conditionalFormatting sqref="H24:H34">
    <cfRule type="cellIs" dxfId="22" priority="6" operator="greaterThan">
      <formula>0.15</formula>
    </cfRule>
  </conditionalFormatting>
  <conditionalFormatting sqref="H34">
    <cfRule type="cellIs" dxfId="21" priority="7" operator="greaterThan">
      <formula>0.15</formula>
    </cfRule>
  </conditionalFormatting>
  <conditionalFormatting sqref="H24:H34">
    <cfRule type="cellIs" dxfId="20" priority="8" operator="greaterThan">
      <formula>0.15</formula>
    </cfRule>
  </conditionalFormatting>
  <conditionalFormatting sqref="V48">
    <cfRule type="cellIs" dxfId="19" priority="9" operator="greaterThan">
      <formula>0.15</formula>
    </cfRule>
  </conditionalFormatting>
  <conditionalFormatting sqref="V34">
    <cfRule type="cellIs" dxfId="18" priority="10" operator="greaterThan">
      <formula>0.15</formula>
    </cfRule>
  </conditionalFormatting>
  <conditionalFormatting sqref="V24:V34 V38:V48">
    <cfRule type="cellIs" dxfId="17" priority="11" operator="greaterThan">
      <formula>0.15</formula>
    </cfRule>
  </conditionalFormatting>
  <conditionalFormatting sqref="V48">
    <cfRule type="cellIs" dxfId="16" priority="12" operator="greaterThan">
      <formula>0.15</formula>
    </cfRule>
  </conditionalFormatting>
  <conditionalFormatting sqref="V34">
    <cfRule type="cellIs" dxfId="15" priority="13" operator="greaterThan">
      <formula>0.15</formula>
    </cfRule>
  </conditionalFormatting>
  <conditionalFormatting sqref="V24:V34 V38:V48">
    <cfRule type="cellIs" dxfId="14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Loko-LUKE</vt:lpstr>
      <vt:lpstr>Luke-handorratrick</vt:lpstr>
      <vt:lpstr>LUKE-Romeo</vt:lpstr>
      <vt:lpstr>Zenit-LUKE</vt:lpstr>
      <vt:lpstr>VADER-SISC</vt:lpstr>
      <vt:lpstr>SIMULADOR_v5</vt:lpstr>
      <vt:lpstr>SIMULADOR_v4</vt:lpstr>
      <vt:lpstr>Eventos</vt:lpstr>
      <vt:lpstr>SIMULADOR_sinJC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2022-11-10T08:47:25Z</dcterms:modified>
</cp:coreProperties>
</file>