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3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68519799-39C1-480F-8FEE-6520E81C6EE5}" xr6:coauthVersionLast="47" xr6:coauthVersionMax="47" xr10:uidLastSave="{00000000-0000-0000-0000-000000000000}"/>
  <bookViews>
    <workbookView xWindow="-120" yWindow="16080" windowWidth="29040" windowHeight="15840" firstSheet="3" activeTab="6" xr2:uid="{00000000-000D-0000-FFFF-FFFF00000000}"/>
  </bookViews>
  <sheets>
    <sheet name="SIMULADOR_v5" sheetId="2" r:id="rId1"/>
    <sheet name="J1-Pamboli-VADER" sheetId="10" r:id="rId2"/>
    <sheet name="J2-VADER-Spartak" sheetId="23" r:id="rId3"/>
    <sheet name="C2-Racing-VADER" sheetId="24" r:id="rId4"/>
    <sheet name="J3-Hasabit-VADER" sheetId="26" r:id="rId5"/>
    <sheet name="J8-Animas-VADER" sheetId="29" r:id="rId6"/>
    <sheet name="J12-VADER-Hasabit" sheetId="30" r:id="rId7"/>
    <sheet name="Analisis Partidos" sheetId="21" r:id="rId8"/>
    <sheet name="RIVALES" sheetId="3" r:id="rId9"/>
    <sheet name="Paso que arraso" sheetId="20" r:id="rId10"/>
    <sheet name="Spartak de Santiago" sheetId="19" r:id="rId11"/>
    <sheet name="Pamboli" sheetId="8" r:id="rId12"/>
    <sheet name="Club Atlético Gaditano" sheetId="12" r:id="rId13"/>
    <sheet name="Habasit" sheetId="14" r:id="rId14"/>
    <sheet name="Las Animas" sheetId="16" r:id="rId15"/>
    <sheet name="La Barrilla" sheetId="17" r:id="rId16"/>
  </sheets>
  <definedNames>
    <definedName name="_xlnm._FilterDatabase" localSheetId="15" hidden="1">'La Barrilla'!$AC$3:$AH$25</definedName>
    <definedName name="DatosExternos_1" localSheetId="12" hidden="1">'Club Atlético Gaditano'!$A$1:$W$63</definedName>
    <definedName name="DatosExternos_1" localSheetId="13" hidden="1">Habasit!$A$1:$W$54</definedName>
    <definedName name="DatosExternos_1" localSheetId="14" hidden="1">'Las Animas'!$A$1:$W$104</definedName>
    <definedName name="DatosExternos_1" localSheetId="11" hidden="1">Pamboli!$A$1:$W$41</definedName>
    <definedName name="DatosExternos_1" localSheetId="10" hidden="1">'Spartak de Santiago'!$A$1:$W$74</definedName>
    <definedName name="DatosExternos_2" localSheetId="12" hidden="1">'Club Atlético Gaditano'!#REF!</definedName>
    <definedName name="DatosExternos_2" localSheetId="15" hidden="1">'La Barrilla'!$A$1:$W$51</definedName>
    <definedName name="DatosExternos_2" localSheetId="14" hidden="1">'Las Animas'!#REF!</definedName>
    <definedName name="DatosExternos_2" localSheetId="11" hidden="1">Pamboli!#REF!</definedName>
    <definedName name="DatosExternos_2" localSheetId="9" hidden="1">'Paso que arraso'!$A$1:$W$69</definedName>
    <definedName name="DatosExternos_3" localSheetId="9" hidden="1">'Paso que arraso'!#REF!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yers_10_8_2022  11 50 08  2_7f1cb643-e24d-488e-9843-6b92ef201ead" name="players_10_8_2022  11 50 08  2" connection="Consulta - players_10_8_2022, 11 50 08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8" i="30" l="1"/>
  <c r="BF47" i="30"/>
  <c r="BF46" i="30"/>
  <c r="BE45" i="30"/>
  <c r="BI44" i="30"/>
  <c r="BM10" i="30" s="1"/>
  <c r="BQ30" i="30" s="1"/>
  <c r="BQ37" i="30" s="1"/>
  <c r="BQ45" i="30" s="1"/>
  <c r="BE44" i="30"/>
  <c r="BF45" i="30" s="1"/>
  <c r="BD44" i="30"/>
  <c r="BE43" i="30"/>
  <c r="BF44" i="30" s="1"/>
  <c r="BD43" i="30"/>
  <c r="BC43" i="30"/>
  <c r="BF42" i="30"/>
  <c r="BE42" i="30"/>
  <c r="BF43" i="30" s="1"/>
  <c r="BD42" i="30"/>
  <c r="BC42" i="30"/>
  <c r="BI41" i="30"/>
  <c r="BI46" i="30" s="1"/>
  <c r="BI51" i="30" s="1"/>
  <c r="BI54" i="30" s="1"/>
  <c r="BM12" i="30" s="1"/>
  <c r="BQ47" i="30" s="1"/>
  <c r="BF41" i="30"/>
  <c r="BE41" i="30"/>
  <c r="BD41" i="30"/>
  <c r="BC41" i="30"/>
  <c r="BF40" i="30"/>
  <c r="BE40" i="30"/>
  <c r="BD40" i="30"/>
  <c r="BC40" i="30"/>
  <c r="BC39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BI36" i="30"/>
  <c r="BI42" i="30" s="1"/>
  <c r="BI47" i="30" s="1"/>
  <c r="BI52" i="30" s="1"/>
  <c r="BI55" i="30" s="1"/>
  <c r="BI57" i="30" s="1"/>
  <c r="BM13" i="30" s="1"/>
  <c r="BF34" i="30"/>
  <c r="BF33" i="30"/>
  <c r="C33" i="30"/>
  <c r="B33" i="30"/>
  <c r="BI32" i="30"/>
  <c r="BI38" i="30" s="1"/>
  <c r="C32" i="30"/>
  <c r="E25" i="30" s="1"/>
  <c r="B32" i="30"/>
  <c r="BI31" i="30"/>
  <c r="BE31" i="30"/>
  <c r="BF32" i="30" s="1"/>
  <c r="BI30" i="30"/>
  <c r="BI37" i="30" s="1"/>
  <c r="BI43" i="30" s="1"/>
  <c r="BI48" i="30" s="1"/>
  <c r="BI53" i="30" s="1"/>
  <c r="BI56" i="30" s="1"/>
  <c r="BI58" i="30" s="1"/>
  <c r="BI59" i="30" s="1"/>
  <c r="BF30" i="30"/>
  <c r="BE30" i="30"/>
  <c r="BF31" i="30" s="1"/>
  <c r="BD30" i="30"/>
  <c r="E30" i="30"/>
  <c r="D30" i="30"/>
  <c r="C30" i="30"/>
  <c r="B30" i="30"/>
  <c r="BI29" i="30"/>
  <c r="BF29" i="30"/>
  <c r="BE29" i="30"/>
  <c r="BD29" i="30"/>
  <c r="BC29" i="30"/>
  <c r="C29" i="30"/>
  <c r="B29" i="30"/>
  <c r="BI28" i="30"/>
  <c r="BI35" i="30" s="1"/>
  <c r="BF28" i="30"/>
  <c r="BE28" i="30"/>
  <c r="BD28" i="30"/>
  <c r="BC28" i="30"/>
  <c r="BI27" i="30"/>
  <c r="BI34" i="30" s="1"/>
  <c r="BI40" i="30" s="1"/>
  <c r="BI45" i="30" s="1"/>
  <c r="BI50" i="30" s="1"/>
  <c r="BM11" i="30" s="1"/>
  <c r="BQ38" i="30" s="1"/>
  <c r="BQ46" i="30" s="1"/>
  <c r="BF27" i="30"/>
  <c r="BE27" i="30"/>
  <c r="BD27" i="30"/>
  <c r="BC27" i="30"/>
  <c r="C27" i="30"/>
  <c r="B27" i="30"/>
  <c r="BI26" i="30"/>
  <c r="BI33" i="30" s="1"/>
  <c r="BI39" i="30" s="1"/>
  <c r="BF26" i="30"/>
  <c r="BE26" i="30"/>
  <c r="BD26" i="30"/>
  <c r="BC26" i="30"/>
  <c r="D26" i="30"/>
  <c r="D27" i="30" s="1"/>
  <c r="C26" i="30"/>
  <c r="B26" i="30"/>
  <c r="BI25" i="30"/>
  <c r="BC25" i="30"/>
  <c r="D25" i="30"/>
  <c r="C25" i="30"/>
  <c r="B25" i="30"/>
  <c r="BI24" i="30"/>
  <c r="BI23" i="30"/>
  <c r="B22" i="30"/>
  <c r="C22" i="30" s="1"/>
  <c r="G14" i="30" s="1"/>
  <c r="B20" i="30"/>
  <c r="B21" i="30" s="1"/>
  <c r="BQ18" i="30"/>
  <c r="BQ22" i="30" s="1"/>
  <c r="BQ28" i="30" s="1"/>
  <c r="BQ35" i="30" s="1"/>
  <c r="BQ43" i="30" s="1"/>
  <c r="W16" i="30"/>
  <c r="V16" i="30"/>
  <c r="R16" i="30"/>
  <c r="Q16" i="30"/>
  <c r="P16" i="30"/>
  <c r="W15" i="30"/>
  <c r="V15" i="30"/>
  <c r="Q15" i="30"/>
  <c r="U15" i="30" s="1"/>
  <c r="Y15" i="30" s="1"/>
  <c r="AG15" i="30" s="1"/>
  <c r="P15" i="30"/>
  <c r="T15" i="30" s="1"/>
  <c r="W14" i="30"/>
  <c r="V14" i="30"/>
  <c r="Q14" i="30"/>
  <c r="P14" i="30"/>
  <c r="Q13" i="30"/>
  <c r="P13" i="30"/>
  <c r="W12" i="30"/>
  <c r="V12" i="30"/>
  <c r="Q12" i="30"/>
  <c r="P12" i="30"/>
  <c r="Q11" i="30"/>
  <c r="P11" i="30"/>
  <c r="W10" i="30"/>
  <c r="V10" i="30"/>
  <c r="BM9" i="30"/>
  <c r="BQ23" i="30" s="1"/>
  <c r="BQ29" i="30" s="1"/>
  <c r="BQ36" i="30" s="1"/>
  <c r="BQ44" i="30" s="1"/>
  <c r="W9" i="30"/>
  <c r="V9" i="30"/>
  <c r="Q9" i="30"/>
  <c r="P9" i="30"/>
  <c r="BM8" i="30"/>
  <c r="W8" i="30"/>
  <c r="V8" i="30"/>
  <c r="Q8" i="30"/>
  <c r="P8" i="30"/>
  <c r="BM7" i="30"/>
  <c r="BQ13" i="30" s="1"/>
  <c r="BQ17" i="30" s="1"/>
  <c r="BQ21" i="30" s="1"/>
  <c r="BQ27" i="30" s="1"/>
  <c r="BQ34" i="30" s="1"/>
  <c r="BQ42" i="30" s="1"/>
  <c r="W7" i="30"/>
  <c r="V7" i="30"/>
  <c r="Q7" i="30"/>
  <c r="P7" i="30"/>
  <c r="BQ6" i="30"/>
  <c r="BQ8" i="30" s="1"/>
  <c r="BQ11" i="30" s="1"/>
  <c r="BQ15" i="30" s="1"/>
  <c r="BQ19" i="30" s="1"/>
  <c r="BQ25" i="30" s="1"/>
  <c r="BQ32" i="30" s="1"/>
  <c r="BQ40" i="30" s="1"/>
  <c r="BM6" i="30"/>
  <c r="BQ9" i="30" s="1"/>
  <c r="BQ12" i="30" s="1"/>
  <c r="BQ16" i="30" s="1"/>
  <c r="BQ20" i="30" s="1"/>
  <c r="BQ26" i="30" s="1"/>
  <c r="BQ33" i="30" s="1"/>
  <c r="BQ41" i="30" s="1"/>
  <c r="W6" i="30"/>
  <c r="V6" i="30"/>
  <c r="Q6" i="30"/>
  <c r="P6" i="30"/>
  <c r="BQ5" i="30"/>
  <c r="BQ7" i="30" s="1"/>
  <c r="BQ10" i="30" s="1"/>
  <c r="BQ14" i="30" s="1"/>
  <c r="BI49" i="30" s="1"/>
  <c r="BQ24" i="30" s="1"/>
  <c r="BQ31" i="30" s="1"/>
  <c r="BQ39" i="30" s="1"/>
  <c r="BM14" i="30" s="1"/>
  <c r="W5" i="30"/>
  <c r="V5" i="30"/>
  <c r="Q5" i="30"/>
  <c r="P5" i="30"/>
  <c r="W4" i="30"/>
  <c r="V4" i="30"/>
  <c r="Q4" i="30"/>
  <c r="P4" i="30"/>
  <c r="D3" i="30"/>
  <c r="Q1" i="30"/>
  <c r="P1" i="30"/>
  <c r="N1" i="30"/>
  <c r="N14" i="30" s="1"/>
  <c r="C33" i="29"/>
  <c r="BI50" i="29"/>
  <c r="BM11" i="29" s="1"/>
  <c r="BQ38" i="29" s="1"/>
  <c r="BQ46" i="29" s="1"/>
  <c r="BF48" i="29"/>
  <c r="BF47" i="29"/>
  <c r="BF46" i="29"/>
  <c r="BE45" i="29"/>
  <c r="BE44" i="29"/>
  <c r="BF45" i="29" s="1"/>
  <c r="BD44" i="29"/>
  <c r="BF43" i="29"/>
  <c r="BE43" i="29"/>
  <c r="BF44" i="29" s="1"/>
  <c r="BD43" i="29"/>
  <c r="BC43" i="29"/>
  <c r="BF42" i="29"/>
  <c r="BE42" i="29"/>
  <c r="BD42" i="29"/>
  <c r="BC42" i="29"/>
  <c r="BF41" i="29"/>
  <c r="BE41" i="29"/>
  <c r="BD41" i="29"/>
  <c r="BC41" i="29"/>
  <c r="BF40" i="29"/>
  <c r="BE40" i="29"/>
  <c r="BD40" i="29"/>
  <c r="BC40" i="29"/>
  <c r="BC39" i="29"/>
  <c r="AS38" i="29"/>
  <c r="AR38" i="29"/>
  <c r="AQ38" i="29"/>
  <c r="AP38" i="29"/>
  <c r="AO38" i="29"/>
  <c r="AN38" i="29"/>
  <c r="AM38" i="29"/>
  <c r="AL38" i="29"/>
  <c r="AK38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BI34" i="29"/>
  <c r="BI40" i="29" s="1"/>
  <c r="BI45" i="29" s="1"/>
  <c r="BF34" i="29"/>
  <c r="BF33" i="29"/>
  <c r="B33" i="29"/>
  <c r="C32" i="29"/>
  <c r="B32" i="29"/>
  <c r="BE31" i="29"/>
  <c r="BF32" i="29" s="1"/>
  <c r="BI30" i="29"/>
  <c r="BI37" i="29" s="1"/>
  <c r="BI43" i="29" s="1"/>
  <c r="BI48" i="29" s="1"/>
  <c r="BI53" i="29" s="1"/>
  <c r="BI56" i="29" s="1"/>
  <c r="BI58" i="29" s="1"/>
  <c r="BI59" i="29" s="1"/>
  <c r="BF30" i="29"/>
  <c r="BE30" i="29"/>
  <c r="BF31" i="29" s="1"/>
  <c r="BD30" i="29"/>
  <c r="E30" i="29"/>
  <c r="D30" i="29"/>
  <c r="C30" i="29"/>
  <c r="B30" i="29"/>
  <c r="BI29" i="29"/>
  <c r="BI36" i="29" s="1"/>
  <c r="BI42" i="29" s="1"/>
  <c r="BI47" i="29" s="1"/>
  <c r="BI52" i="29" s="1"/>
  <c r="BI55" i="29" s="1"/>
  <c r="BI57" i="29" s="1"/>
  <c r="BF29" i="29"/>
  <c r="BE29" i="29"/>
  <c r="BD29" i="29"/>
  <c r="BC29" i="29"/>
  <c r="C29" i="29"/>
  <c r="B29" i="29"/>
  <c r="BI28" i="29"/>
  <c r="BI35" i="29" s="1"/>
  <c r="BI41" i="29" s="1"/>
  <c r="BI46" i="29" s="1"/>
  <c r="BI51" i="29" s="1"/>
  <c r="BI54" i="29" s="1"/>
  <c r="BM12" i="29" s="1"/>
  <c r="BQ47" i="29" s="1"/>
  <c r="BF28" i="29"/>
  <c r="BE28" i="29"/>
  <c r="BD28" i="29"/>
  <c r="BC28" i="29"/>
  <c r="BI27" i="29"/>
  <c r="BF27" i="29"/>
  <c r="BE27" i="29"/>
  <c r="BD27" i="29"/>
  <c r="BC27" i="29"/>
  <c r="C27" i="29"/>
  <c r="B27" i="29"/>
  <c r="BI26" i="29"/>
  <c r="BI33" i="29" s="1"/>
  <c r="BI39" i="29" s="1"/>
  <c r="BI44" i="29" s="1"/>
  <c r="BM10" i="29" s="1"/>
  <c r="BQ30" i="29" s="1"/>
  <c r="BQ37" i="29" s="1"/>
  <c r="BQ45" i="29" s="1"/>
  <c r="BF26" i="29"/>
  <c r="BE26" i="29"/>
  <c r="BD26" i="29"/>
  <c r="BC26" i="29"/>
  <c r="E26" i="29"/>
  <c r="E27" i="29" s="1"/>
  <c r="D26" i="29"/>
  <c r="C26" i="29"/>
  <c r="B26" i="29"/>
  <c r="BI25" i="29"/>
  <c r="BI32" i="29" s="1"/>
  <c r="BI38" i="29" s="1"/>
  <c r="BC25" i="29"/>
  <c r="E25" i="29"/>
  <c r="D25" i="29"/>
  <c r="C25" i="29"/>
  <c r="B25" i="29"/>
  <c r="BI24" i="29"/>
  <c r="BI31" i="29" s="1"/>
  <c r="BI23" i="29"/>
  <c r="B22" i="29"/>
  <c r="C22" i="29" s="1"/>
  <c r="G14" i="29" s="1"/>
  <c r="B20" i="29"/>
  <c r="B21" i="29" s="1"/>
  <c r="BQ18" i="29"/>
  <c r="BQ22" i="29" s="1"/>
  <c r="BQ28" i="29" s="1"/>
  <c r="BQ35" i="29" s="1"/>
  <c r="BQ43" i="29" s="1"/>
  <c r="W16" i="29"/>
  <c r="V16" i="29"/>
  <c r="R16" i="29"/>
  <c r="Q16" i="29"/>
  <c r="P16" i="29"/>
  <c r="W15" i="29"/>
  <c r="V15" i="29"/>
  <c r="Q15" i="29"/>
  <c r="U15" i="29" s="1"/>
  <c r="Y15" i="29" s="1"/>
  <c r="AG15" i="29" s="1"/>
  <c r="P15" i="29"/>
  <c r="T15" i="29" s="1"/>
  <c r="W14" i="29"/>
  <c r="V14" i="29"/>
  <c r="Q14" i="29"/>
  <c r="P14" i="29"/>
  <c r="BM13" i="29"/>
  <c r="Q13" i="29"/>
  <c r="P13" i="29"/>
  <c r="G13" i="29"/>
  <c r="BQ12" i="29"/>
  <c r="BQ16" i="29" s="1"/>
  <c r="BQ20" i="29" s="1"/>
  <c r="BQ26" i="29" s="1"/>
  <c r="BQ33" i="29" s="1"/>
  <c r="BQ41" i="29" s="1"/>
  <c r="W12" i="29"/>
  <c r="V12" i="29"/>
  <c r="Q12" i="29"/>
  <c r="P12" i="29"/>
  <c r="Q11" i="29"/>
  <c r="P11" i="29"/>
  <c r="W10" i="29"/>
  <c r="V10" i="29"/>
  <c r="BM9" i="29"/>
  <c r="BQ23" i="29" s="1"/>
  <c r="BQ29" i="29" s="1"/>
  <c r="BQ36" i="29" s="1"/>
  <c r="BQ44" i="29" s="1"/>
  <c r="W9" i="29"/>
  <c r="V9" i="29"/>
  <c r="Q9" i="29"/>
  <c r="P9" i="29"/>
  <c r="BM8" i="29"/>
  <c r="W8" i="29"/>
  <c r="V8" i="29"/>
  <c r="Q8" i="29"/>
  <c r="P8" i="29"/>
  <c r="BM7" i="29"/>
  <c r="BQ13" i="29" s="1"/>
  <c r="BQ17" i="29" s="1"/>
  <c r="BQ21" i="29" s="1"/>
  <c r="BQ27" i="29" s="1"/>
  <c r="BQ34" i="29" s="1"/>
  <c r="BQ42" i="29" s="1"/>
  <c r="W7" i="29"/>
  <c r="V7" i="29"/>
  <c r="Q7" i="29"/>
  <c r="P7" i="29"/>
  <c r="N7" i="29"/>
  <c r="BQ6" i="29"/>
  <c r="BQ8" i="29" s="1"/>
  <c r="BQ11" i="29" s="1"/>
  <c r="BQ15" i="29" s="1"/>
  <c r="BQ19" i="29" s="1"/>
  <c r="BQ25" i="29" s="1"/>
  <c r="BQ32" i="29" s="1"/>
  <c r="BQ40" i="29" s="1"/>
  <c r="BM6" i="29"/>
  <c r="BQ9" i="29" s="1"/>
  <c r="W6" i="29"/>
  <c r="V6" i="29"/>
  <c r="Q6" i="29"/>
  <c r="P6" i="29"/>
  <c r="BQ5" i="29"/>
  <c r="BQ7" i="29" s="1"/>
  <c r="BQ10" i="29" s="1"/>
  <c r="BQ14" i="29" s="1"/>
  <c r="BI49" i="29" s="1"/>
  <c r="BQ24" i="29" s="1"/>
  <c r="BQ31" i="29" s="1"/>
  <c r="BQ39" i="29" s="1"/>
  <c r="BM14" i="29" s="1"/>
  <c r="W5" i="29"/>
  <c r="V5" i="29"/>
  <c r="Q5" i="29"/>
  <c r="P5" i="29"/>
  <c r="W4" i="29"/>
  <c r="V4" i="29"/>
  <c r="Q4" i="29"/>
  <c r="P4" i="29"/>
  <c r="D3" i="29"/>
  <c r="Q1" i="29"/>
  <c r="P1" i="29"/>
  <c r="N1" i="29"/>
  <c r="N10" i="29" s="1"/>
  <c r="R10" i="29" s="1"/>
  <c r="C33" i="26"/>
  <c r="C25" i="26"/>
  <c r="B22" i="26"/>
  <c r="C22" i="26" s="1"/>
  <c r="G14" i="26" s="1"/>
  <c r="BI52" i="26"/>
  <c r="BI55" i="26" s="1"/>
  <c r="BI57" i="26" s="1"/>
  <c r="BM13" i="26" s="1"/>
  <c r="BF48" i="26"/>
  <c r="BF47" i="26"/>
  <c r="BF46" i="26"/>
  <c r="BE45" i="26"/>
  <c r="BE44" i="26"/>
  <c r="BF45" i="26" s="1"/>
  <c r="BD44" i="26"/>
  <c r="BE43" i="26"/>
  <c r="BF44" i="26" s="1"/>
  <c r="BD43" i="26"/>
  <c r="BC43" i="26"/>
  <c r="BF42" i="26"/>
  <c r="BE42" i="26"/>
  <c r="BF43" i="26" s="1"/>
  <c r="BD42" i="26"/>
  <c r="BC42" i="26"/>
  <c r="BF41" i="26"/>
  <c r="BE41" i="26"/>
  <c r="BD41" i="26"/>
  <c r="BC41" i="26"/>
  <c r="BF40" i="26"/>
  <c r="BE40" i="26"/>
  <c r="BD40" i="26"/>
  <c r="BC40" i="26"/>
  <c r="BC39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BI34" i="26"/>
  <c r="BI40" i="26" s="1"/>
  <c r="BI45" i="26" s="1"/>
  <c r="BI50" i="26" s="1"/>
  <c r="BM11" i="26" s="1"/>
  <c r="BQ38" i="26" s="1"/>
  <c r="BQ46" i="26" s="1"/>
  <c r="BF34" i="26"/>
  <c r="BF33" i="26"/>
  <c r="B33" i="26"/>
  <c r="C32" i="26"/>
  <c r="D25" i="26"/>
  <c r="BI31" i="26"/>
  <c r="BE31" i="26"/>
  <c r="BF32" i="26" s="1"/>
  <c r="BI30" i="26"/>
  <c r="BI37" i="26" s="1"/>
  <c r="BI43" i="26" s="1"/>
  <c r="BI48" i="26" s="1"/>
  <c r="BI53" i="26" s="1"/>
  <c r="BI56" i="26" s="1"/>
  <c r="BI58" i="26" s="1"/>
  <c r="BI59" i="26" s="1"/>
  <c r="BF30" i="26"/>
  <c r="BE30" i="26"/>
  <c r="BF31" i="26" s="1"/>
  <c r="BD30" i="26"/>
  <c r="E30" i="26"/>
  <c r="D30" i="26"/>
  <c r="C30" i="26"/>
  <c r="BQ29" i="26"/>
  <c r="BQ36" i="26" s="1"/>
  <c r="BQ44" i="26" s="1"/>
  <c r="BI29" i="26"/>
  <c r="BI36" i="26" s="1"/>
  <c r="BI42" i="26" s="1"/>
  <c r="BI47" i="26" s="1"/>
  <c r="BF29" i="26"/>
  <c r="BE29" i="26"/>
  <c r="BD29" i="26"/>
  <c r="BC29" i="26"/>
  <c r="C29" i="26"/>
  <c r="B29" i="26"/>
  <c r="BI28" i="26"/>
  <c r="BI35" i="26" s="1"/>
  <c r="BI41" i="26" s="1"/>
  <c r="BI46" i="26" s="1"/>
  <c r="BI51" i="26" s="1"/>
  <c r="BI54" i="26" s="1"/>
  <c r="BF28" i="26"/>
  <c r="BE28" i="26"/>
  <c r="BD28" i="26"/>
  <c r="BC28" i="26"/>
  <c r="BI27" i="26"/>
  <c r="BF27" i="26"/>
  <c r="BE27" i="26"/>
  <c r="BD27" i="26"/>
  <c r="BC27" i="26"/>
  <c r="C27" i="26"/>
  <c r="B27" i="26"/>
  <c r="BI26" i="26"/>
  <c r="BI33" i="26" s="1"/>
  <c r="BI39" i="26" s="1"/>
  <c r="BI44" i="26" s="1"/>
  <c r="BF26" i="26"/>
  <c r="BE26" i="26"/>
  <c r="BD26" i="26"/>
  <c r="BC26" i="26"/>
  <c r="E26" i="26"/>
  <c r="E27" i="26" s="1"/>
  <c r="C26" i="26"/>
  <c r="B26" i="26"/>
  <c r="BI25" i="26"/>
  <c r="BI32" i="26" s="1"/>
  <c r="BI38" i="26" s="1"/>
  <c r="BC25" i="26"/>
  <c r="E25" i="26"/>
  <c r="B25" i="26"/>
  <c r="BI24" i="26"/>
  <c r="BI23" i="26"/>
  <c r="B20" i="26"/>
  <c r="B21" i="26" s="1"/>
  <c r="BQ18" i="26"/>
  <c r="BQ22" i="26" s="1"/>
  <c r="BQ28" i="26" s="1"/>
  <c r="BQ35" i="26" s="1"/>
  <c r="BQ43" i="26" s="1"/>
  <c r="W16" i="26"/>
  <c r="V16" i="26"/>
  <c r="R16" i="26"/>
  <c r="Q16" i="26"/>
  <c r="P16" i="26"/>
  <c r="W15" i="26"/>
  <c r="V15" i="26"/>
  <c r="Q15" i="26"/>
  <c r="U15" i="26" s="1"/>
  <c r="Y15" i="26" s="1"/>
  <c r="AG15" i="26" s="1"/>
  <c r="P15" i="26"/>
  <c r="T15" i="26" s="1"/>
  <c r="W14" i="26"/>
  <c r="V14" i="26"/>
  <c r="Q14" i="26"/>
  <c r="P14" i="26"/>
  <c r="Q13" i="26"/>
  <c r="P13" i="26"/>
  <c r="BM12" i="26"/>
  <c r="BQ47" i="26" s="1"/>
  <c r="W12" i="26"/>
  <c r="V12" i="26"/>
  <c r="Q12" i="26"/>
  <c r="P12" i="26"/>
  <c r="Q11" i="26"/>
  <c r="P11" i="26"/>
  <c r="BM10" i="26"/>
  <c r="BQ30" i="26" s="1"/>
  <c r="BQ37" i="26" s="1"/>
  <c r="BQ45" i="26" s="1"/>
  <c r="W10" i="26"/>
  <c r="V10" i="26"/>
  <c r="BM9" i="26"/>
  <c r="BQ23" i="26" s="1"/>
  <c r="W9" i="26"/>
  <c r="V9" i="26"/>
  <c r="Q9" i="26"/>
  <c r="P9" i="26"/>
  <c r="BM8" i="26"/>
  <c r="W8" i="26"/>
  <c r="V8" i="26"/>
  <c r="Q8" i="26"/>
  <c r="P8" i="26"/>
  <c r="BM7" i="26"/>
  <c r="BQ13" i="26" s="1"/>
  <c r="BQ17" i="26" s="1"/>
  <c r="BQ21" i="26" s="1"/>
  <c r="BQ27" i="26" s="1"/>
  <c r="BQ34" i="26" s="1"/>
  <c r="BQ42" i="26" s="1"/>
  <c r="W7" i="26"/>
  <c r="V7" i="26"/>
  <c r="Q7" i="26"/>
  <c r="P7" i="26"/>
  <c r="BQ6" i="26"/>
  <c r="BQ8" i="26" s="1"/>
  <c r="BQ11" i="26" s="1"/>
  <c r="BQ15" i="26" s="1"/>
  <c r="BQ19" i="26" s="1"/>
  <c r="BQ25" i="26" s="1"/>
  <c r="BQ32" i="26" s="1"/>
  <c r="BQ40" i="26" s="1"/>
  <c r="BM6" i="26"/>
  <c r="BQ9" i="26" s="1"/>
  <c r="BQ12" i="26" s="1"/>
  <c r="BQ16" i="26" s="1"/>
  <c r="BQ20" i="26" s="1"/>
  <c r="BQ26" i="26" s="1"/>
  <c r="BQ33" i="26" s="1"/>
  <c r="BQ41" i="26" s="1"/>
  <c r="W6" i="26"/>
  <c r="V6" i="26"/>
  <c r="Q6" i="26"/>
  <c r="P6" i="26"/>
  <c r="BQ5" i="26"/>
  <c r="BQ7" i="26" s="1"/>
  <c r="BQ10" i="26" s="1"/>
  <c r="BQ14" i="26" s="1"/>
  <c r="BI49" i="26" s="1"/>
  <c r="BQ24" i="26" s="1"/>
  <c r="BQ31" i="26" s="1"/>
  <c r="BQ39" i="26" s="1"/>
  <c r="BM14" i="26" s="1"/>
  <c r="W5" i="26"/>
  <c r="V5" i="26"/>
  <c r="Q5" i="26"/>
  <c r="P5" i="26"/>
  <c r="W4" i="26"/>
  <c r="V4" i="26"/>
  <c r="Q4" i="26"/>
  <c r="P4" i="26"/>
  <c r="D3" i="26"/>
  <c r="Q1" i="26"/>
  <c r="P1" i="26"/>
  <c r="N1" i="26"/>
  <c r="N9" i="26" s="1"/>
  <c r="BF48" i="24"/>
  <c r="BF47" i="24"/>
  <c r="BF46" i="24"/>
  <c r="BE45" i="24"/>
  <c r="BE44" i="24"/>
  <c r="BF45" i="24" s="1"/>
  <c r="BD44" i="24"/>
  <c r="BE43" i="24"/>
  <c r="BF44" i="24" s="1"/>
  <c r="BD43" i="24"/>
  <c r="BC43" i="24"/>
  <c r="BF42" i="24"/>
  <c r="BE42" i="24"/>
  <c r="BF43" i="24" s="1"/>
  <c r="BD42" i="24"/>
  <c r="BC42" i="24"/>
  <c r="BF41" i="24"/>
  <c r="BE41" i="24"/>
  <c r="BD41" i="24"/>
  <c r="BC41" i="24"/>
  <c r="BF40" i="24"/>
  <c r="BE40" i="24"/>
  <c r="BD40" i="24"/>
  <c r="BC40" i="24"/>
  <c r="BC39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BI34" i="24"/>
  <c r="BI40" i="24" s="1"/>
  <c r="BI45" i="24" s="1"/>
  <c r="BI50" i="24" s="1"/>
  <c r="BM11" i="24" s="1"/>
  <c r="BQ38" i="24" s="1"/>
  <c r="BQ46" i="24" s="1"/>
  <c r="BF34" i="24"/>
  <c r="BF33" i="24"/>
  <c r="C33" i="24"/>
  <c r="B33" i="24"/>
  <c r="C32" i="24"/>
  <c r="B32" i="24"/>
  <c r="D26" i="24" s="1"/>
  <c r="D27" i="24" s="1"/>
  <c r="BE31" i="24"/>
  <c r="BF32" i="24" s="1"/>
  <c r="BI30" i="24"/>
  <c r="BI37" i="24" s="1"/>
  <c r="BI43" i="24" s="1"/>
  <c r="BI48" i="24" s="1"/>
  <c r="BI53" i="24" s="1"/>
  <c r="BI56" i="24" s="1"/>
  <c r="BI58" i="24" s="1"/>
  <c r="BI59" i="24" s="1"/>
  <c r="BE30" i="24"/>
  <c r="BF31" i="24" s="1"/>
  <c r="BD30" i="24"/>
  <c r="E30" i="24"/>
  <c r="D30" i="24"/>
  <c r="C30" i="24"/>
  <c r="B30" i="24"/>
  <c r="BI29" i="24"/>
  <c r="BI36" i="24" s="1"/>
  <c r="BI42" i="24" s="1"/>
  <c r="BI47" i="24" s="1"/>
  <c r="BI52" i="24" s="1"/>
  <c r="BI55" i="24" s="1"/>
  <c r="BI57" i="24" s="1"/>
  <c r="BM13" i="24" s="1"/>
  <c r="BE29" i="24"/>
  <c r="BF30" i="24" s="1"/>
  <c r="BD29" i="24"/>
  <c r="BC29" i="24"/>
  <c r="C29" i="24"/>
  <c r="B29" i="24"/>
  <c r="BI28" i="24"/>
  <c r="BI35" i="24" s="1"/>
  <c r="BI41" i="24" s="1"/>
  <c r="BI46" i="24" s="1"/>
  <c r="BI51" i="24" s="1"/>
  <c r="BI54" i="24" s="1"/>
  <c r="BM12" i="24" s="1"/>
  <c r="BQ47" i="24" s="1"/>
  <c r="BF28" i="24"/>
  <c r="BE28" i="24"/>
  <c r="BD28" i="24"/>
  <c r="BC28" i="24"/>
  <c r="BI27" i="24"/>
  <c r="BF27" i="24"/>
  <c r="BE27" i="24"/>
  <c r="BD27" i="24"/>
  <c r="BC27" i="24"/>
  <c r="C27" i="24"/>
  <c r="B27" i="24"/>
  <c r="BI26" i="24"/>
  <c r="BI33" i="24" s="1"/>
  <c r="BI39" i="24" s="1"/>
  <c r="BI44" i="24" s="1"/>
  <c r="BF26" i="24"/>
  <c r="BE26" i="24"/>
  <c r="BD26" i="24"/>
  <c r="BC26" i="24"/>
  <c r="E26" i="24"/>
  <c r="E27" i="24" s="1"/>
  <c r="C26" i="24"/>
  <c r="B26" i="24"/>
  <c r="BI25" i="24"/>
  <c r="BI32" i="24" s="1"/>
  <c r="BI38" i="24" s="1"/>
  <c r="BC25" i="24"/>
  <c r="E25" i="24"/>
  <c r="E23" i="24" s="1"/>
  <c r="D25" i="24"/>
  <c r="C25" i="24"/>
  <c r="B25" i="24"/>
  <c r="BI24" i="24"/>
  <c r="BI31" i="24" s="1"/>
  <c r="BM8" i="24" s="1"/>
  <c r="BQ18" i="24" s="1"/>
  <c r="BQ22" i="24" s="1"/>
  <c r="BQ28" i="24" s="1"/>
  <c r="BQ35" i="24" s="1"/>
  <c r="BQ43" i="24" s="1"/>
  <c r="BI23" i="24"/>
  <c r="B22" i="24"/>
  <c r="B20" i="24"/>
  <c r="B21" i="24" s="1"/>
  <c r="W16" i="24"/>
  <c r="V16" i="24"/>
  <c r="R16" i="24"/>
  <c r="Q16" i="24"/>
  <c r="P16" i="24"/>
  <c r="W15" i="24"/>
  <c r="V15" i="24"/>
  <c r="Q15" i="24"/>
  <c r="U15" i="24" s="1"/>
  <c r="Y15" i="24" s="1"/>
  <c r="AG15" i="24" s="1"/>
  <c r="P15" i="24"/>
  <c r="T15" i="24" s="1"/>
  <c r="W14" i="24"/>
  <c r="V14" i="24"/>
  <c r="Q14" i="24"/>
  <c r="P14" i="24"/>
  <c r="Q13" i="24"/>
  <c r="P13" i="24"/>
  <c r="BQ12" i="24"/>
  <c r="BQ16" i="24" s="1"/>
  <c r="BQ20" i="24" s="1"/>
  <c r="BQ26" i="24" s="1"/>
  <c r="BQ33" i="24" s="1"/>
  <c r="BQ41" i="24" s="1"/>
  <c r="W12" i="24"/>
  <c r="V12" i="24"/>
  <c r="Q12" i="24"/>
  <c r="P12" i="24"/>
  <c r="BQ11" i="24"/>
  <c r="BQ15" i="24" s="1"/>
  <c r="BQ19" i="24" s="1"/>
  <c r="BQ25" i="24" s="1"/>
  <c r="BQ32" i="24" s="1"/>
  <c r="BQ40" i="24" s="1"/>
  <c r="Q11" i="24"/>
  <c r="P11" i="24"/>
  <c r="BM10" i="24"/>
  <c r="BQ30" i="24" s="1"/>
  <c r="BQ37" i="24" s="1"/>
  <c r="BQ45" i="24" s="1"/>
  <c r="W10" i="24"/>
  <c r="V10" i="24"/>
  <c r="BM9" i="24"/>
  <c r="BQ23" i="24" s="1"/>
  <c r="BQ29" i="24" s="1"/>
  <c r="BQ36" i="24" s="1"/>
  <c r="BQ44" i="24" s="1"/>
  <c r="W9" i="24"/>
  <c r="V9" i="24"/>
  <c r="Q9" i="24"/>
  <c r="P9" i="24"/>
  <c r="W8" i="24"/>
  <c r="V8" i="24"/>
  <c r="Q8" i="24"/>
  <c r="P8" i="24"/>
  <c r="BM7" i="24"/>
  <c r="BQ13" i="24" s="1"/>
  <c r="BQ17" i="24" s="1"/>
  <c r="BQ21" i="24" s="1"/>
  <c r="BQ27" i="24" s="1"/>
  <c r="BQ34" i="24" s="1"/>
  <c r="BQ42" i="24" s="1"/>
  <c r="W7" i="24"/>
  <c r="V7" i="24"/>
  <c r="Q7" i="24"/>
  <c r="P7" i="24"/>
  <c r="BQ6" i="24"/>
  <c r="BQ8" i="24" s="1"/>
  <c r="BM6" i="24"/>
  <c r="BQ9" i="24" s="1"/>
  <c r="W6" i="24"/>
  <c r="V6" i="24"/>
  <c r="Q6" i="24"/>
  <c r="P6" i="24"/>
  <c r="BQ5" i="24"/>
  <c r="BQ7" i="24" s="1"/>
  <c r="BQ10" i="24" s="1"/>
  <c r="BQ14" i="24" s="1"/>
  <c r="BI49" i="24" s="1"/>
  <c r="BQ24" i="24" s="1"/>
  <c r="BQ31" i="24" s="1"/>
  <c r="BQ39" i="24" s="1"/>
  <c r="BM14" i="24" s="1"/>
  <c r="W5" i="24"/>
  <c r="V5" i="24"/>
  <c r="Q5" i="24"/>
  <c r="P5" i="24"/>
  <c r="W4" i="24"/>
  <c r="V4" i="24"/>
  <c r="Q4" i="24"/>
  <c r="P4" i="24"/>
  <c r="D3" i="24"/>
  <c r="Q1" i="24"/>
  <c r="P1" i="24"/>
  <c r="N1" i="24"/>
  <c r="N5" i="24" s="1"/>
  <c r="B22" i="23"/>
  <c r="BF48" i="23"/>
  <c r="BF47" i="23"/>
  <c r="BF46" i="23"/>
  <c r="BF45" i="23"/>
  <c r="BE45" i="23"/>
  <c r="BF44" i="23"/>
  <c r="BE44" i="23"/>
  <c r="BD44" i="23"/>
  <c r="BF43" i="23"/>
  <c r="BE43" i="23"/>
  <c r="BD43" i="23"/>
  <c r="BC43" i="23"/>
  <c r="BF42" i="23"/>
  <c r="BE42" i="23"/>
  <c r="BD42" i="23"/>
  <c r="BC42" i="23"/>
  <c r="BF41" i="23"/>
  <c r="BE41" i="23"/>
  <c r="BD41" i="23"/>
  <c r="BC41" i="23"/>
  <c r="BF40" i="23"/>
  <c r="BE40" i="23"/>
  <c r="BD40" i="23"/>
  <c r="BC40" i="23"/>
  <c r="BC39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BI35" i="23"/>
  <c r="BI41" i="23" s="1"/>
  <c r="BI46" i="23" s="1"/>
  <c r="BI51" i="23" s="1"/>
  <c r="BI54" i="23" s="1"/>
  <c r="BM12" i="23" s="1"/>
  <c r="BQ47" i="23" s="1"/>
  <c r="BI34" i="23"/>
  <c r="BI40" i="23" s="1"/>
  <c r="BI45" i="23" s="1"/>
  <c r="BI50" i="23" s="1"/>
  <c r="BM11" i="23" s="1"/>
  <c r="BQ38" i="23" s="1"/>
  <c r="BQ46" i="23" s="1"/>
  <c r="BF34" i="23"/>
  <c r="BI33" i="23"/>
  <c r="BI39" i="23" s="1"/>
  <c r="BI44" i="23" s="1"/>
  <c r="BM10" i="23" s="1"/>
  <c r="BQ30" i="23" s="1"/>
  <c r="BQ37" i="23" s="1"/>
  <c r="BQ45" i="23" s="1"/>
  <c r="BF33" i="23"/>
  <c r="C33" i="23"/>
  <c r="B33" i="23"/>
  <c r="BF32" i="23"/>
  <c r="C32" i="23"/>
  <c r="B32" i="23"/>
  <c r="BF31" i="23"/>
  <c r="BE31" i="23"/>
  <c r="BI30" i="23"/>
  <c r="BI37" i="23" s="1"/>
  <c r="BI43" i="23" s="1"/>
  <c r="BI48" i="23" s="1"/>
  <c r="BI53" i="23" s="1"/>
  <c r="BI56" i="23" s="1"/>
  <c r="BI58" i="23" s="1"/>
  <c r="BI59" i="23" s="1"/>
  <c r="BF30" i="23"/>
  <c r="BE30" i="23"/>
  <c r="BD30" i="23"/>
  <c r="E30" i="23"/>
  <c r="D30" i="23"/>
  <c r="C30" i="23"/>
  <c r="B30" i="23"/>
  <c r="BI29" i="23"/>
  <c r="BI36" i="23" s="1"/>
  <c r="BI42" i="23" s="1"/>
  <c r="BI47" i="23" s="1"/>
  <c r="BI52" i="23" s="1"/>
  <c r="BI55" i="23" s="1"/>
  <c r="BI57" i="23" s="1"/>
  <c r="BM13" i="23" s="1"/>
  <c r="BF29" i="23"/>
  <c r="BE29" i="23"/>
  <c r="BD29" i="23"/>
  <c r="BC29" i="23"/>
  <c r="C29" i="23"/>
  <c r="B29" i="23"/>
  <c r="BI28" i="23"/>
  <c r="BF28" i="23"/>
  <c r="BE28" i="23"/>
  <c r="BD28" i="23"/>
  <c r="BC28" i="23"/>
  <c r="BI27" i="23"/>
  <c r="BF27" i="23"/>
  <c r="BE27" i="23"/>
  <c r="BD27" i="23"/>
  <c r="BC27" i="23"/>
  <c r="C27" i="23"/>
  <c r="B27" i="23"/>
  <c r="BI26" i="23"/>
  <c r="BF26" i="23"/>
  <c r="BE26" i="23"/>
  <c r="BD26" i="23"/>
  <c r="BC26" i="23"/>
  <c r="E26" i="23"/>
  <c r="E27" i="23" s="1"/>
  <c r="D26" i="23"/>
  <c r="D27" i="23" s="1"/>
  <c r="D23" i="23" s="1"/>
  <c r="C26" i="23"/>
  <c r="B26" i="23"/>
  <c r="BI25" i="23"/>
  <c r="BI32" i="23" s="1"/>
  <c r="BI38" i="23" s="1"/>
  <c r="BC25" i="23"/>
  <c r="E25" i="23"/>
  <c r="E23" i="23" s="1"/>
  <c r="D25" i="23"/>
  <c r="C25" i="23"/>
  <c r="B25" i="23"/>
  <c r="BI24" i="23"/>
  <c r="BI31" i="23" s="1"/>
  <c r="BI23" i="23"/>
  <c r="B20" i="23"/>
  <c r="B21" i="23" s="1"/>
  <c r="W16" i="23"/>
  <c r="V16" i="23"/>
  <c r="R16" i="23"/>
  <c r="Q16" i="23"/>
  <c r="P16" i="23"/>
  <c r="W15" i="23"/>
  <c r="V15" i="23"/>
  <c r="Q15" i="23"/>
  <c r="U15" i="23" s="1"/>
  <c r="Y15" i="23" s="1"/>
  <c r="AG15" i="23" s="1"/>
  <c r="P15" i="23"/>
  <c r="T15" i="23" s="1"/>
  <c r="W14" i="23"/>
  <c r="V14" i="23"/>
  <c r="Q14" i="23"/>
  <c r="P14" i="23"/>
  <c r="Q13" i="23"/>
  <c r="P13" i="23"/>
  <c r="BQ12" i="23"/>
  <c r="BQ16" i="23" s="1"/>
  <c r="BQ20" i="23" s="1"/>
  <c r="BQ26" i="23" s="1"/>
  <c r="BQ33" i="23" s="1"/>
  <c r="BQ41" i="23" s="1"/>
  <c r="W12" i="23"/>
  <c r="V12" i="23"/>
  <c r="Q12" i="23"/>
  <c r="P12" i="23"/>
  <c r="BQ11" i="23"/>
  <c r="BQ15" i="23" s="1"/>
  <c r="BQ19" i="23" s="1"/>
  <c r="BQ25" i="23" s="1"/>
  <c r="BQ32" i="23" s="1"/>
  <c r="BQ40" i="23" s="1"/>
  <c r="Q11" i="23"/>
  <c r="P11" i="23"/>
  <c r="W10" i="23"/>
  <c r="V10" i="23"/>
  <c r="BM9" i="23"/>
  <c r="BQ23" i="23" s="1"/>
  <c r="BQ29" i="23" s="1"/>
  <c r="BQ36" i="23" s="1"/>
  <c r="BQ44" i="23" s="1"/>
  <c r="W9" i="23"/>
  <c r="V9" i="23"/>
  <c r="Q9" i="23"/>
  <c r="P9" i="23"/>
  <c r="BM8" i="23"/>
  <c r="BQ18" i="23" s="1"/>
  <c r="BQ22" i="23" s="1"/>
  <c r="BQ28" i="23" s="1"/>
  <c r="BQ35" i="23" s="1"/>
  <c r="BQ43" i="23" s="1"/>
  <c r="W8" i="23"/>
  <c r="V8" i="23"/>
  <c r="Q8" i="23"/>
  <c r="P8" i="23"/>
  <c r="BM7" i="23"/>
  <c r="BQ13" i="23" s="1"/>
  <c r="BQ17" i="23" s="1"/>
  <c r="BQ21" i="23" s="1"/>
  <c r="BQ27" i="23" s="1"/>
  <c r="BQ34" i="23" s="1"/>
  <c r="BQ42" i="23" s="1"/>
  <c r="W7" i="23"/>
  <c r="V7" i="23"/>
  <c r="Q7" i="23"/>
  <c r="P7" i="23"/>
  <c r="BQ6" i="23"/>
  <c r="BQ8" i="23" s="1"/>
  <c r="BM6" i="23"/>
  <c r="BQ9" i="23" s="1"/>
  <c r="W6" i="23"/>
  <c r="V6" i="23"/>
  <c r="Q6" i="23"/>
  <c r="P6" i="23"/>
  <c r="BQ5" i="23"/>
  <c r="BQ7" i="23" s="1"/>
  <c r="BQ10" i="23" s="1"/>
  <c r="BQ14" i="23" s="1"/>
  <c r="BI49" i="23" s="1"/>
  <c r="BQ24" i="23" s="1"/>
  <c r="BQ31" i="23" s="1"/>
  <c r="BQ39" i="23" s="1"/>
  <c r="BM14" i="23" s="1"/>
  <c r="W5" i="23"/>
  <c r="V5" i="23"/>
  <c r="Q5" i="23"/>
  <c r="P5" i="23"/>
  <c r="W4" i="23"/>
  <c r="V4" i="23"/>
  <c r="Q4" i="23"/>
  <c r="P4" i="23"/>
  <c r="D3" i="23"/>
  <c r="Q1" i="23"/>
  <c r="P1" i="23"/>
  <c r="N1" i="23"/>
  <c r="N9" i="23" s="1"/>
  <c r="V10" i="3"/>
  <c r="V9" i="3"/>
  <c r="V4" i="3"/>
  <c r="V6" i="3"/>
  <c r="V7" i="3"/>
  <c r="V5" i="3"/>
  <c r="V8" i="3"/>
  <c r="L4" i="3"/>
  <c r="K4" i="3"/>
  <c r="BF48" i="10"/>
  <c r="BF47" i="10"/>
  <c r="BE45" i="10"/>
  <c r="BF46" i="10" s="1"/>
  <c r="BE44" i="10"/>
  <c r="BF45" i="10" s="1"/>
  <c r="BD44" i="10"/>
  <c r="BE43" i="10"/>
  <c r="BD43" i="10"/>
  <c r="BC43" i="10"/>
  <c r="BF42" i="10"/>
  <c r="BE42" i="10"/>
  <c r="BF43" i="10" s="1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I37" i="10"/>
  <c r="BI43" i="10" s="1"/>
  <c r="BI48" i="10" s="1"/>
  <c r="BI53" i="10" s="1"/>
  <c r="BI56" i="10" s="1"/>
  <c r="BI58" i="10" s="1"/>
  <c r="BI59" i="10" s="1"/>
  <c r="BI36" i="10"/>
  <c r="BI42" i="10" s="1"/>
  <c r="BI47" i="10" s="1"/>
  <c r="BI52" i="10" s="1"/>
  <c r="BI55" i="10" s="1"/>
  <c r="BI57" i="10" s="1"/>
  <c r="BM13" i="10" s="1"/>
  <c r="BF34" i="10"/>
  <c r="BI33" i="10"/>
  <c r="BI39" i="10" s="1"/>
  <c r="BI44" i="10" s="1"/>
  <c r="BM10" i="10" s="1"/>
  <c r="BQ30" i="10" s="1"/>
  <c r="BQ37" i="10" s="1"/>
  <c r="BQ45" i="10" s="1"/>
  <c r="BF33" i="10"/>
  <c r="C33" i="10"/>
  <c r="B33" i="10"/>
  <c r="BI32" i="10"/>
  <c r="BI38" i="10" s="1"/>
  <c r="BF32" i="10"/>
  <c r="C32" i="10"/>
  <c r="B32" i="10"/>
  <c r="BI31" i="10"/>
  <c r="BM8" i="10" s="1"/>
  <c r="BQ18" i="10" s="1"/>
  <c r="BQ22" i="10" s="1"/>
  <c r="BQ28" i="10" s="1"/>
  <c r="BQ35" i="10" s="1"/>
  <c r="BQ43" i="10" s="1"/>
  <c r="BE31" i="10"/>
  <c r="BI30" i="10"/>
  <c r="BE30" i="10"/>
  <c r="BF31" i="10" s="1"/>
  <c r="BD30" i="10"/>
  <c r="E30" i="10"/>
  <c r="D30" i="10"/>
  <c r="C30" i="10"/>
  <c r="B30" i="10"/>
  <c r="BI29" i="10"/>
  <c r="BF29" i="10"/>
  <c r="BE29" i="10"/>
  <c r="BF30" i="10" s="1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F28" i="10" s="1"/>
  <c r="BD27" i="10"/>
  <c r="BC27" i="10"/>
  <c r="D27" i="10"/>
  <c r="C27" i="10"/>
  <c r="B27" i="10"/>
  <c r="BI26" i="10"/>
  <c r="BF26" i="10"/>
  <c r="BE26" i="10"/>
  <c r="BD26" i="10"/>
  <c r="BC26" i="10"/>
  <c r="E26" i="10"/>
  <c r="E27" i="10" s="1"/>
  <c r="D26" i="10"/>
  <c r="C26" i="10"/>
  <c r="B26" i="10"/>
  <c r="BI25" i="10"/>
  <c r="BC25" i="10"/>
  <c r="E25" i="10"/>
  <c r="D25" i="10"/>
  <c r="D23" i="10" s="1"/>
  <c r="C25" i="10"/>
  <c r="B25" i="10"/>
  <c r="BI24" i="10"/>
  <c r="BI23" i="10"/>
  <c r="B22" i="10"/>
  <c r="C22" i="10" s="1"/>
  <c r="G14" i="10" s="1"/>
  <c r="B21" i="10"/>
  <c r="B20" i="10"/>
  <c r="W16" i="10"/>
  <c r="V16" i="10"/>
  <c r="R16" i="10"/>
  <c r="Q16" i="10"/>
  <c r="P16" i="10"/>
  <c r="W15" i="10"/>
  <c r="V15" i="10"/>
  <c r="Q15" i="10"/>
  <c r="U15" i="10" s="1"/>
  <c r="Y15" i="10" s="1"/>
  <c r="AG15" i="10" s="1"/>
  <c r="P15" i="10"/>
  <c r="W14" i="10"/>
  <c r="V14" i="10"/>
  <c r="Q14" i="10"/>
  <c r="P14" i="10"/>
  <c r="Q13" i="10"/>
  <c r="P13" i="10"/>
  <c r="BQ12" i="10"/>
  <c r="BQ16" i="10" s="1"/>
  <c r="BQ20" i="10" s="1"/>
  <c r="BQ26" i="10" s="1"/>
  <c r="BQ33" i="10" s="1"/>
  <c r="BQ41" i="10" s="1"/>
  <c r="W12" i="10"/>
  <c r="V12" i="10"/>
  <c r="Q12" i="10"/>
  <c r="P12" i="10"/>
  <c r="Q11" i="10"/>
  <c r="P11" i="10"/>
  <c r="W10" i="10"/>
  <c r="V10" i="10"/>
  <c r="BQ9" i="10"/>
  <c r="BM9" i="10"/>
  <c r="BQ23" i="10" s="1"/>
  <c r="BQ29" i="10" s="1"/>
  <c r="BQ36" i="10" s="1"/>
  <c r="BQ44" i="10" s="1"/>
  <c r="W9" i="10"/>
  <c r="V9" i="10"/>
  <c r="Q9" i="10"/>
  <c r="P9" i="10"/>
  <c r="BQ8" i="10"/>
  <c r="BQ11" i="10" s="1"/>
  <c r="BQ15" i="10" s="1"/>
  <c r="BQ19" i="10" s="1"/>
  <c r="BQ25" i="10" s="1"/>
  <c r="BQ32" i="10" s="1"/>
  <c r="BQ40" i="10" s="1"/>
  <c r="W8" i="10"/>
  <c r="V8" i="10"/>
  <c r="Q8" i="10"/>
  <c r="P8" i="10"/>
  <c r="BM7" i="10"/>
  <c r="BQ13" i="10" s="1"/>
  <c r="BQ17" i="10" s="1"/>
  <c r="BQ21" i="10" s="1"/>
  <c r="BQ27" i="10" s="1"/>
  <c r="BQ34" i="10" s="1"/>
  <c r="BQ42" i="10" s="1"/>
  <c r="W7" i="10"/>
  <c r="V7" i="10"/>
  <c r="Q7" i="10"/>
  <c r="P7" i="10"/>
  <c r="BQ6" i="10"/>
  <c r="BM6" i="10"/>
  <c r="W6" i="10"/>
  <c r="V6" i="10"/>
  <c r="Q6" i="10"/>
  <c r="P6" i="10"/>
  <c r="BQ5" i="10"/>
  <c r="BQ7" i="10" s="1"/>
  <c r="BQ10" i="10" s="1"/>
  <c r="BQ14" i="10" s="1"/>
  <c r="BI49" i="10" s="1"/>
  <c r="BQ24" i="10" s="1"/>
  <c r="BQ31" i="10" s="1"/>
  <c r="BQ39" i="10" s="1"/>
  <c r="BM14" i="10" s="1"/>
  <c r="W5" i="10"/>
  <c r="V5" i="10"/>
  <c r="Q5" i="10"/>
  <c r="P5" i="10"/>
  <c r="W4" i="10"/>
  <c r="V4" i="10"/>
  <c r="Q4" i="10"/>
  <c r="P4" i="10"/>
  <c r="D3" i="10"/>
  <c r="Q1" i="10"/>
  <c r="P1" i="10"/>
  <c r="N1" i="10"/>
  <c r="N7" i="10" s="1"/>
  <c r="V3" i="3"/>
  <c r="D23" i="30" l="1"/>
  <c r="V11" i="30"/>
  <c r="B31" i="30"/>
  <c r="W25" i="30" s="1"/>
  <c r="G13" i="30"/>
  <c r="N13" i="30"/>
  <c r="R13" i="30" s="1"/>
  <c r="E26" i="30"/>
  <c r="E27" i="30" s="1"/>
  <c r="N9" i="30"/>
  <c r="R9" i="30" s="1"/>
  <c r="W11" i="30"/>
  <c r="X15" i="30"/>
  <c r="AA15" i="30" s="1"/>
  <c r="AB15" i="30" s="1"/>
  <c r="AH15" i="30"/>
  <c r="AJ15" i="30"/>
  <c r="E23" i="30"/>
  <c r="N8" i="30"/>
  <c r="R8" i="30" s="1"/>
  <c r="N10" i="30"/>
  <c r="R10" i="30" s="1"/>
  <c r="N11" i="30"/>
  <c r="R11" i="30" s="1"/>
  <c r="R14" i="30"/>
  <c r="C31" i="30"/>
  <c r="W39" i="30" s="1"/>
  <c r="N6" i="30"/>
  <c r="R6" i="30" s="1"/>
  <c r="N7" i="30"/>
  <c r="R7" i="30" s="1"/>
  <c r="N5" i="30"/>
  <c r="R5" i="30" s="1"/>
  <c r="N12" i="30"/>
  <c r="R12" i="30" s="1"/>
  <c r="N15" i="30"/>
  <c r="N4" i="30"/>
  <c r="R4" i="30" s="1"/>
  <c r="R15" i="30"/>
  <c r="B23" i="30"/>
  <c r="N13" i="29"/>
  <c r="R13" i="29" s="1"/>
  <c r="N4" i="29"/>
  <c r="R4" i="29" s="1"/>
  <c r="N6" i="29"/>
  <c r="R6" i="29" s="1"/>
  <c r="R15" i="29"/>
  <c r="R7" i="29"/>
  <c r="R12" i="29"/>
  <c r="N9" i="29"/>
  <c r="R9" i="29" s="1"/>
  <c r="W11" i="29"/>
  <c r="C31" i="29"/>
  <c r="W39" i="29" s="1"/>
  <c r="X15" i="29"/>
  <c r="AA15" i="29" s="1"/>
  <c r="E23" i="29"/>
  <c r="N15" i="29"/>
  <c r="N14" i="29"/>
  <c r="R14" i="29" s="1"/>
  <c r="N12" i="29"/>
  <c r="N11" i="29"/>
  <c r="R11" i="29" s="1"/>
  <c r="N5" i="29"/>
  <c r="R5" i="29" s="1"/>
  <c r="N8" i="29"/>
  <c r="R8" i="29" s="1"/>
  <c r="V11" i="29"/>
  <c r="B23" i="29"/>
  <c r="AJ15" i="29"/>
  <c r="AH15" i="29"/>
  <c r="D27" i="29"/>
  <c r="D23" i="29" s="1"/>
  <c r="E23" i="26"/>
  <c r="V11" i="26"/>
  <c r="X15" i="26"/>
  <c r="AA15" i="26" s="1"/>
  <c r="AB15" i="26" s="1"/>
  <c r="W11" i="26"/>
  <c r="R9" i="26"/>
  <c r="N7" i="26"/>
  <c r="R7" i="26" s="1"/>
  <c r="D26" i="26"/>
  <c r="D27" i="26" s="1"/>
  <c r="D23" i="26" s="1"/>
  <c r="N6" i="26"/>
  <c r="R6" i="26" s="1"/>
  <c r="AH15" i="26"/>
  <c r="AJ15" i="26"/>
  <c r="N15" i="26"/>
  <c r="N14" i="26"/>
  <c r="R14" i="26" s="1"/>
  <c r="N12" i="26"/>
  <c r="R12" i="26" s="1"/>
  <c r="N11" i="26"/>
  <c r="R11" i="26" s="1"/>
  <c r="N5" i="26"/>
  <c r="R5" i="26" s="1"/>
  <c r="N8" i="26"/>
  <c r="R8" i="26" s="1"/>
  <c r="N13" i="26"/>
  <c r="R13" i="26" s="1"/>
  <c r="C31" i="26"/>
  <c r="W39" i="26" s="1"/>
  <c r="N4" i="26"/>
  <c r="R4" i="26" s="1"/>
  <c r="N10" i="26"/>
  <c r="R10" i="26" s="1"/>
  <c r="G13" i="26"/>
  <c r="R15" i="26"/>
  <c r="B23" i="26"/>
  <c r="N4" i="24"/>
  <c r="R4" i="24" s="1"/>
  <c r="R5" i="24"/>
  <c r="B31" i="24"/>
  <c r="W25" i="24" s="1"/>
  <c r="X15" i="24"/>
  <c r="AA15" i="24" s="1"/>
  <c r="AB15" i="24" s="1"/>
  <c r="AH15" i="24"/>
  <c r="AJ15" i="24"/>
  <c r="W11" i="24"/>
  <c r="C31" i="24"/>
  <c r="W39" i="24" s="1"/>
  <c r="N15" i="24"/>
  <c r="N14" i="24"/>
  <c r="R14" i="24" s="1"/>
  <c r="N12" i="24"/>
  <c r="R12" i="24" s="1"/>
  <c r="N11" i="24"/>
  <c r="R11" i="24" s="1"/>
  <c r="N6" i="24"/>
  <c r="R6" i="24" s="1"/>
  <c r="N8" i="24"/>
  <c r="D23" i="24"/>
  <c r="BF29" i="24"/>
  <c r="R8" i="24"/>
  <c r="N9" i="24"/>
  <c r="R9" i="24" s="1"/>
  <c r="V11" i="24"/>
  <c r="N13" i="24"/>
  <c r="R13" i="24" s="1"/>
  <c r="N7" i="24"/>
  <c r="R7" i="24" s="1"/>
  <c r="N10" i="24"/>
  <c r="R10" i="24" s="1"/>
  <c r="C22" i="24"/>
  <c r="G14" i="24" s="1"/>
  <c r="G13" i="24"/>
  <c r="R15" i="24"/>
  <c r="N4" i="23"/>
  <c r="N7" i="23"/>
  <c r="R7" i="23" s="1"/>
  <c r="N6" i="23"/>
  <c r="W11" i="23"/>
  <c r="R6" i="23"/>
  <c r="R15" i="23"/>
  <c r="R9" i="23"/>
  <c r="X15" i="23"/>
  <c r="AA15" i="23" s="1"/>
  <c r="AB15" i="23" s="1"/>
  <c r="R4" i="23"/>
  <c r="C22" i="23"/>
  <c r="G14" i="23" s="1"/>
  <c r="G13" i="23"/>
  <c r="AJ15" i="23"/>
  <c r="AH15" i="23"/>
  <c r="R12" i="23"/>
  <c r="V11" i="23"/>
  <c r="N15" i="23"/>
  <c r="N14" i="23"/>
  <c r="R14" i="23" s="1"/>
  <c r="N12" i="23"/>
  <c r="N11" i="23"/>
  <c r="R11" i="23" s="1"/>
  <c r="N5" i="23"/>
  <c r="N8" i="23"/>
  <c r="R8" i="23" s="1"/>
  <c r="N10" i="23"/>
  <c r="R10" i="23" s="1"/>
  <c r="N13" i="23"/>
  <c r="R13" i="23" s="1"/>
  <c r="B31" i="23"/>
  <c r="W25" i="23" s="1"/>
  <c r="C31" i="23"/>
  <c r="W39" i="23" s="1"/>
  <c r="W11" i="10"/>
  <c r="G13" i="10"/>
  <c r="V11" i="10"/>
  <c r="E23" i="10"/>
  <c r="N4" i="10"/>
  <c r="R4" i="10" s="1"/>
  <c r="N5" i="10"/>
  <c r="R5" i="10" s="1"/>
  <c r="N12" i="10"/>
  <c r="N15" i="10"/>
  <c r="R12" i="10"/>
  <c r="B31" i="10"/>
  <c r="W25" i="10" s="1"/>
  <c r="AJ15" i="10"/>
  <c r="AH15" i="10"/>
  <c r="R7" i="10"/>
  <c r="N14" i="10"/>
  <c r="R14" i="10" s="1"/>
  <c r="T15" i="10"/>
  <c r="X15" i="10" s="1"/>
  <c r="AA15" i="10" s="1"/>
  <c r="R15" i="10"/>
  <c r="C31" i="10"/>
  <c r="W39" i="10" s="1"/>
  <c r="N9" i="10"/>
  <c r="N13" i="10"/>
  <c r="R13" i="10" s="1"/>
  <c r="R9" i="10"/>
  <c r="N8" i="10"/>
  <c r="N10" i="10"/>
  <c r="R10" i="10" s="1"/>
  <c r="N11" i="10"/>
  <c r="R11" i="10" s="1"/>
  <c r="BF44" i="10"/>
  <c r="N6" i="10"/>
  <c r="R6" i="10" s="1"/>
  <c r="R8" i="10"/>
  <c r="B23" i="10"/>
  <c r="T49" i="30" l="1"/>
  <c r="T46" i="30"/>
  <c r="T39" i="30"/>
  <c r="T42" i="30"/>
  <c r="T40" i="30"/>
  <c r="T47" i="30"/>
  <c r="T45" i="30"/>
  <c r="C23" i="30"/>
  <c r="T25" i="30" s="1"/>
  <c r="T41" i="30"/>
  <c r="R2" i="30"/>
  <c r="T48" i="30"/>
  <c r="N2" i="30"/>
  <c r="T44" i="30"/>
  <c r="B24" i="30"/>
  <c r="B34" i="30"/>
  <c r="T16" i="30" s="1"/>
  <c r="X16" i="30" s="1"/>
  <c r="AA16" i="30" s="1"/>
  <c r="T43" i="30"/>
  <c r="B31" i="29"/>
  <c r="T47" i="29" s="1"/>
  <c r="C23" i="29"/>
  <c r="R2" i="29"/>
  <c r="S14" i="29" s="1"/>
  <c r="AB15" i="29"/>
  <c r="B24" i="29"/>
  <c r="B34" i="29"/>
  <c r="N2" i="29"/>
  <c r="B31" i="26"/>
  <c r="W25" i="26" s="1"/>
  <c r="C23" i="26"/>
  <c r="R2" i="26"/>
  <c r="B24" i="26"/>
  <c r="B34" i="26"/>
  <c r="N2" i="26"/>
  <c r="B23" i="23"/>
  <c r="T39" i="23" s="1"/>
  <c r="B23" i="24"/>
  <c r="N2" i="24"/>
  <c r="R2" i="24"/>
  <c r="N2" i="23"/>
  <c r="R5" i="23"/>
  <c r="T48" i="10"/>
  <c r="C23" i="10"/>
  <c r="T29" i="10" s="1"/>
  <c r="R2" i="10"/>
  <c r="S14" i="10" s="1"/>
  <c r="AB15" i="10"/>
  <c r="T43" i="10"/>
  <c r="T46" i="10"/>
  <c r="T40" i="10"/>
  <c r="T45" i="10"/>
  <c r="N2" i="10"/>
  <c r="T28" i="10"/>
  <c r="T42" i="10"/>
  <c r="B34" i="10"/>
  <c r="T16" i="10" s="1"/>
  <c r="X16" i="10" s="1"/>
  <c r="AA16" i="10" s="1"/>
  <c r="T47" i="10"/>
  <c r="T44" i="10"/>
  <c r="B24" i="10"/>
  <c r="T41" i="10"/>
  <c r="T39" i="10"/>
  <c r="T33" i="10"/>
  <c r="T49" i="10"/>
  <c r="T27" i="30" l="1"/>
  <c r="T35" i="30"/>
  <c r="T30" i="30"/>
  <c r="T34" i="30"/>
  <c r="C24" i="30"/>
  <c r="N44" i="30" s="1"/>
  <c r="P44" i="30" s="1"/>
  <c r="T28" i="30"/>
  <c r="T32" i="30"/>
  <c r="C34" i="30"/>
  <c r="U16" i="30" s="1"/>
  <c r="Y16" i="30" s="1"/>
  <c r="AG16" i="30" s="1"/>
  <c r="AH16" i="30" s="1"/>
  <c r="S11" i="30"/>
  <c r="U11" i="30" s="1"/>
  <c r="Y11" i="30" s="1"/>
  <c r="AG11" i="30" s="1"/>
  <c r="T37" i="30"/>
  <c r="T26" i="30"/>
  <c r="T29" i="30"/>
  <c r="T33" i="30"/>
  <c r="T31" i="30"/>
  <c r="S16" i="30"/>
  <c r="S4" i="30"/>
  <c r="S6" i="30"/>
  <c r="S10" i="30"/>
  <c r="S13" i="30"/>
  <c r="S5" i="30"/>
  <c r="S7" i="30"/>
  <c r="S9" i="30"/>
  <c r="S15" i="30"/>
  <c r="S12" i="30"/>
  <c r="AD16" i="30"/>
  <c r="AB16" i="30"/>
  <c r="N27" i="30"/>
  <c r="P27" i="30" s="1"/>
  <c r="N25" i="30"/>
  <c r="N28" i="30"/>
  <c r="P28" i="30" s="1"/>
  <c r="N30" i="30"/>
  <c r="P30" i="30" s="1"/>
  <c r="R35" i="30" s="1"/>
  <c r="N29" i="30"/>
  <c r="P29" i="30" s="1"/>
  <c r="N26" i="30"/>
  <c r="S14" i="30"/>
  <c r="S8" i="30"/>
  <c r="T42" i="29"/>
  <c r="T40" i="29"/>
  <c r="S8" i="29"/>
  <c r="U8" i="29" s="1"/>
  <c r="Y8" i="29" s="1"/>
  <c r="AG8" i="29" s="1"/>
  <c r="S11" i="29"/>
  <c r="U11" i="29" s="1"/>
  <c r="Y11" i="29" s="1"/>
  <c r="AG11" i="29" s="1"/>
  <c r="S12" i="29"/>
  <c r="T12" i="29" s="1"/>
  <c r="X12" i="29" s="1"/>
  <c r="AA12" i="29" s="1"/>
  <c r="S9" i="29"/>
  <c r="T9" i="29" s="1"/>
  <c r="X9" i="29" s="1"/>
  <c r="AA9" i="29" s="1"/>
  <c r="T46" i="29"/>
  <c r="T16" i="29"/>
  <c r="X16" i="29" s="1"/>
  <c r="AA16" i="29" s="1"/>
  <c r="AD16" i="29" s="1"/>
  <c r="N27" i="29"/>
  <c r="P27" i="29" s="1"/>
  <c r="N30" i="29"/>
  <c r="P30" i="29" s="1"/>
  <c r="R35" i="29" s="1"/>
  <c r="N29" i="29"/>
  <c r="P29" i="29" s="1"/>
  <c r="N26" i="29"/>
  <c r="N28" i="29"/>
  <c r="P28" i="29" s="1"/>
  <c r="N25" i="29"/>
  <c r="S10" i="29"/>
  <c r="S6" i="29"/>
  <c r="S4" i="29"/>
  <c r="S16" i="29"/>
  <c r="S7" i="29"/>
  <c r="S15" i="29"/>
  <c r="S13" i="29"/>
  <c r="S5" i="29"/>
  <c r="C34" i="29"/>
  <c r="U16" i="29" s="1"/>
  <c r="Y16" i="29" s="1"/>
  <c r="AG16" i="29" s="1"/>
  <c r="T25" i="29"/>
  <c r="T30" i="29"/>
  <c r="C24" i="29"/>
  <c r="T33" i="29"/>
  <c r="T32" i="29"/>
  <c r="T29" i="29"/>
  <c r="T26" i="29"/>
  <c r="T28" i="29"/>
  <c r="T31" i="29"/>
  <c r="T35" i="29"/>
  <c r="T34" i="29"/>
  <c r="T27" i="29"/>
  <c r="W25" i="29"/>
  <c r="T44" i="29"/>
  <c r="T48" i="29"/>
  <c r="T41" i="29"/>
  <c r="T39" i="29"/>
  <c r="T43" i="29"/>
  <c r="T49" i="29"/>
  <c r="T45" i="29"/>
  <c r="T14" i="29"/>
  <c r="X14" i="29" s="1"/>
  <c r="AA14" i="29" s="1"/>
  <c r="U14" i="29"/>
  <c r="Y14" i="29" s="1"/>
  <c r="AG14" i="29" s="1"/>
  <c r="T48" i="26"/>
  <c r="T42" i="26"/>
  <c r="T45" i="26"/>
  <c r="T46" i="26"/>
  <c r="T49" i="26"/>
  <c r="T44" i="26"/>
  <c r="T40" i="26"/>
  <c r="T41" i="26"/>
  <c r="S10" i="26"/>
  <c r="T10" i="26" s="1"/>
  <c r="X10" i="26" s="1"/>
  <c r="AA10" i="26" s="1"/>
  <c r="T39" i="26"/>
  <c r="T16" i="26"/>
  <c r="X16" i="26" s="1"/>
  <c r="AA16" i="26" s="1"/>
  <c r="AB16" i="26" s="1"/>
  <c r="T47" i="26"/>
  <c r="T43" i="26"/>
  <c r="S16" i="26"/>
  <c r="S6" i="26"/>
  <c r="S9" i="26"/>
  <c r="S7" i="26"/>
  <c r="S13" i="26"/>
  <c r="C34" i="26"/>
  <c r="U16" i="26" s="1"/>
  <c r="Y16" i="26" s="1"/>
  <c r="AG16" i="26" s="1"/>
  <c r="T25" i="26"/>
  <c r="C24" i="26"/>
  <c r="T28" i="26"/>
  <c r="T27" i="26"/>
  <c r="T33" i="26"/>
  <c r="T31" i="26"/>
  <c r="T30" i="26"/>
  <c r="T35" i="26"/>
  <c r="T34" i="26"/>
  <c r="T29" i="26"/>
  <c r="T32" i="26"/>
  <c r="T26" i="26"/>
  <c r="S5" i="26"/>
  <c r="N27" i="26"/>
  <c r="P27" i="26" s="1"/>
  <c r="N25" i="26"/>
  <c r="N29" i="26"/>
  <c r="P29" i="26" s="1"/>
  <c r="N26" i="26"/>
  <c r="N28" i="26"/>
  <c r="P28" i="26" s="1"/>
  <c r="N30" i="26"/>
  <c r="P30" i="26" s="1"/>
  <c r="R35" i="26" s="1"/>
  <c r="S8" i="26"/>
  <c r="S15" i="26"/>
  <c r="S4" i="26"/>
  <c r="S14" i="26"/>
  <c r="S11" i="26"/>
  <c r="S12" i="26"/>
  <c r="C23" i="23"/>
  <c r="T49" i="23"/>
  <c r="T45" i="23"/>
  <c r="T48" i="23"/>
  <c r="T40" i="23"/>
  <c r="T46" i="23"/>
  <c r="T47" i="23"/>
  <c r="T41" i="23"/>
  <c r="T44" i="23"/>
  <c r="B24" i="23"/>
  <c r="N28" i="23" s="1"/>
  <c r="P28" i="23" s="1"/>
  <c r="B34" i="23"/>
  <c r="T16" i="23" s="1"/>
  <c r="X16" i="23" s="1"/>
  <c r="AA16" i="23" s="1"/>
  <c r="AD16" i="23" s="1"/>
  <c r="T43" i="23"/>
  <c r="T42" i="23"/>
  <c r="S9" i="24"/>
  <c r="U9" i="24" s="1"/>
  <c r="Y9" i="24" s="1"/>
  <c r="AG9" i="24" s="1"/>
  <c r="S7" i="24"/>
  <c r="U7" i="24" s="1"/>
  <c r="Y7" i="24" s="1"/>
  <c r="AG7" i="24" s="1"/>
  <c r="S6" i="24"/>
  <c r="U6" i="24" s="1"/>
  <c r="Y6" i="24" s="1"/>
  <c r="AG6" i="24" s="1"/>
  <c r="B34" i="24"/>
  <c r="T16" i="24" s="1"/>
  <c r="X16" i="24" s="1"/>
  <c r="AA16" i="24" s="1"/>
  <c r="B24" i="24"/>
  <c r="T46" i="24"/>
  <c r="T45" i="24"/>
  <c r="T44" i="24"/>
  <c r="T43" i="24"/>
  <c r="T41" i="24"/>
  <c r="T48" i="24"/>
  <c r="T42" i="24"/>
  <c r="T49" i="24"/>
  <c r="T40" i="24"/>
  <c r="T47" i="24"/>
  <c r="T39" i="24"/>
  <c r="C23" i="24"/>
  <c r="S8" i="24"/>
  <c r="S10" i="24"/>
  <c r="S14" i="24"/>
  <c r="S15" i="24"/>
  <c r="S13" i="24"/>
  <c r="S16" i="24"/>
  <c r="S5" i="24"/>
  <c r="S4" i="24"/>
  <c r="S11" i="24"/>
  <c r="S12" i="24"/>
  <c r="R2" i="23"/>
  <c r="S7" i="23" s="1"/>
  <c r="C34" i="23"/>
  <c r="U16" i="23" s="1"/>
  <c r="Y16" i="23" s="1"/>
  <c r="AG16" i="23" s="1"/>
  <c r="T25" i="23"/>
  <c r="T30" i="23"/>
  <c r="T28" i="23"/>
  <c r="T31" i="23"/>
  <c r="T27" i="23"/>
  <c r="C24" i="23"/>
  <c r="T35" i="23"/>
  <c r="T34" i="23"/>
  <c r="T26" i="23"/>
  <c r="T32" i="23"/>
  <c r="T29" i="23"/>
  <c r="T33" i="23"/>
  <c r="T31" i="10"/>
  <c r="T30" i="10"/>
  <c r="T27" i="10"/>
  <c r="T26" i="10"/>
  <c r="T34" i="10"/>
  <c r="C24" i="10"/>
  <c r="T35" i="10"/>
  <c r="T32" i="10"/>
  <c r="C34" i="10"/>
  <c r="U16" i="10" s="1"/>
  <c r="Y16" i="10" s="1"/>
  <c r="AG16" i="10" s="1"/>
  <c r="AJ16" i="10" s="1"/>
  <c r="T25" i="10"/>
  <c r="T37" i="10"/>
  <c r="T14" i="10"/>
  <c r="X14" i="10" s="1"/>
  <c r="AA14" i="10" s="1"/>
  <c r="U14" i="10"/>
  <c r="Y14" i="10" s="1"/>
  <c r="AG14" i="10" s="1"/>
  <c r="S7" i="10"/>
  <c r="S6" i="10"/>
  <c r="N25" i="10"/>
  <c r="N27" i="10"/>
  <c r="P27" i="10" s="1"/>
  <c r="N29" i="10"/>
  <c r="P29" i="10" s="1"/>
  <c r="N26" i="10"/>
  <c r="N30" i="10"/>
  <c r="P30" i="10" s="1"/>
  <c r="R35" i="10" s="1"/>
  <c r="N28" i="10"/>
  <c r="P28" i="10" s="1"/>
  <c r="S9" i="10"/>
  <c r="S16" i="10"/>
  <c r="S5" i="10"/>
  <c r="S4" i="10"/>
  <c r="S12" i="10"/>
  <c r="S11" i="10"/>
  <c r="AD16" i="10"/>
  <c r="AB16" i="10"/>
  <c r="S8" i="10"/>
  <c r="S10" i="10"/>
  <c r="S15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S13" i="10"/>
  <c r="N39" i="30" l="1"/>
  <c r="P39" i="30" s="1"/>
  <c r="T11" i="30"/>
  <c r="X11" i="30" s="1"/>
  <c r="AA11" i="30" s="1"/>
  <c r="AB11" i="30" s="1"/>
  <c r="AJ16" i="30"/>
  <c r="N43" i="30"/>
  <c r="P43" i="30" s="1"/>
  <c r="N40" i="30"/>
  <c r="P40" i="30" s="1"/>
  <c r="N41" i="30"/>
  <c r="P41" i="30" s="1"/>
  <c r="N42" i="30"/>
  <c r="P42" i="30" s="1"/>
  <c r="T23" i="30"/>
  <c r="R33" i="30"/>
  <c r="R32" i="30"/>
  <c r="U7" i="30"/>
  <c r="Y7" i="30" s="1"/>
  <c r="AG7" i="30" s="1"/>
  <c r="T7" i="30"/>
  <c r="X7" i="30" s="1"/>
  <c r="AA7" i="30" s="1"/>
  <c r="T8" i="30"/>
  <c r="X8" i="30" s="1"/>
  <c r="AA8" i="30" s="1"/>
  <c r="U8" i="30"/>
  <c r="Y8" i="30" s="1"/>
  <c r="AG8" i="30" s="1"/>
  <c r="T12" i="30"/>
  <c r="X12" i="30" s="1"/>
  <c r="AA12" i="30" s="1"/>
  <c r="U12" i="30"/>
  <c r="Y12" i="30" s="1"/>
  <c r="AG12" i="30" s="1"/>
  <c r="U5" i="30"/>
  <c r="Y5" i="30" s="1"/>
  <c r="AG5" i="30" s="1"/>
  <c r="T5" i="30"/>
  <c r="X5" i="30" s="1"/>
  <c r="AA5" i="30" s="1"/>
  <c r="T14" i="30"/>
  <c r="X14" i="30" s="1"/>
  <c r="AA14" i="30" s="1"/>
  <c r="U14" i="30"/>
  <c r="Y14" i="30" s="1"/>
  <c r="AG14" i="30" s="1"/>
  <c r="U13" i="30"/>
  <c r="Y13" i="30" s="1"/>
  <c r="AG13" i="30" s="1"/>
  <c r="T13" i="30"/>
  <c r="X13" i="30" s="1"/>
  <c r="AA13" i="30" s="1"/>
  <c r="R49" i="30"/>
  <c r="P26" i="30"/>
  <c r="R31" i="30" s="1"/>
  <c r="R34" i="30"/>
  <c r="U9" i="30"/>
  <c r="Y9" i="30" s="1"/>
  <c r="AG9" i="30" s="1"/>
  <c r="T9" i="30"/>
  <c r="X9" i="30" s="1"/>
  <c r="AA9" i="30" s="1"/>
  <c r="T10" i="30"/>
  <c r="X10" i="30" s="1"/>
  <c r="AA10" i="30" s="1"/>
  <c r="U10" i="30"/>
  <c r="Y10" i="30" s="1"/>
  <c r="AG10" i="30" s="1"/>
  <c r="U6" i="30"/>
  <c r="Y6" i="30" s="1"/>
  <c r="AG6" i="30" s="1"/>
  <c r="T6" i="30"/>
  <c r="X6" i="30" s="1"/>
  <c r="AA6" i="30" s="1"/>
  <c r="AH11" i="30"/>
  <c r="P25" i="30"/>
  <c r="N23" i="30"/>
  <c r="U4" i="30"/>
  <c r="T4" i="30"/>
  <c r="S2" i="30"/>
  <c r="T11" i="29"/>
  <c r="X11" i="29" s="1"/>
  <c r="AA11" i="29" s="1"/>
  <c r="AB11" i="29" s="1"/>
  <c r="T8" i="29"/>
  <c r="X8" i="29" s="1"/>
  <c r="AA8" i="29" s="1"/>
  <c r="AB8" i="29" s="1"/>
  <c r="U12" i="29"/>
  <c r="Y12" i="29" s="1"/>
  <c r="AG12" i="29" s="1"/>
  <c r="AH12" i="29" s="1"/>
  <c r="U9" i="29"/>
  <c r="Y9" i="29" s="1"/>
  <c r="AG9" i="29" s="1"/>
  <c r="AH9" i="29" s="1"/>
  <c r="AB16" i="29"/>
  <c r="R32" i="29"/>
  <c r="R33" i="29"/>
  <c r="R34" i="29"/>
  <c r="AH11" i="29"/>
  <c r="AB9" i="29"/>
  <c r="N43" i="29"/>
  <c r="P43" i="29" s="1"/>
  <c r="N41" i="29"/>
  <c r="P41" i="29" s="1"/>
  <c r="N44" i="29"/>
  <c r="P44" i="29" s="1"/>
  <c r="N40" i="29"/>
  <c r="P40" i="29" s="1"/>
  <c r="N42" i="29"/>
  <c r="P42" i="29" s="1"/>
  <c r="N39" i="29"/>
  <c r="T10" i="29"/>
  <c r="X10" i="29" s="1"/>
  <c r="AA10" i="29" s="1"/>
  <c r="U10" i="29"/>
  <c r="Y10" i="29" s="1"/>
  <c r="AG10" i="29" s="1"/>
  <c r="T5" i="29"/>
  <c r="X5" i="29" s="1"/>
  <c r="AA5" i="29" s="1"/>
  <c r="U5" i="29"/>
  <c r="Y5" i="29" s="1"/>
  <c r="AG5" i="29" s="1"/>
  <c r="T13" i="29"/>
  <c r="X13" i="29" s="1"/>
  <c r="AA13" i="29" s="1"/>
  <c r="U13" i="29"/>
  <c r="Y13" i="29" s="1"/>
  <c r="AG13" i="29" s="1"/>
  <c r="U6" i="29"/>
  <c r="Y6" i="29" s="1"/>
  <c r="AG6" i="29" s="1"/>
  <c r="T6" i="29"/>
  <c r="X6" i="29" s="1"/>
  <c r="AA6" i="29" s="1"/>
  <c r="T37" i="29"/>
  <c r="AB12" i="29"/>
  <c r="P25" i="29"/>
  <c r="N23" i="29"/>
  <c r="T23" i="29"/>
  <c r="AH16" i="29"/>
  <c r="AJ16" i="29"/>
  <c r="P26" i="29"/>
  <c r="R31" i="29" s="1"/>
  <c r="AH14" i="29"/>
  <c r="U7" i="29"/>
  <c r="Y7" i="29" s="1"/>
  <c r="AG7" i="29" s="1"/>
  <c r="T7" i="29"/>
  <c r="X7" i="29" s="1"/>
  <c r="AA7" i="29" s="1"/>
  <c r="U4" i="29"/>
  <c r="T4" i="29"/>
  <c r="S2" i="29"/>
  <c r="AB14" i="29"/>
  <c r="AH8" i="29"/>
  <c r="T37" i="26"/>
  <c r="U10" i="26"/>
  <c r="Y10" i="26" s="1"/>
  <c r="AG10" i="26" s="1"/>
  <c r="AH10" i="26" s="1"/>
  <c r="AD16" i="26"/>
  <c r="R33" i="26"/>
  <c r="N43" i="26"/>
  <c r="P43" i="26" s="1"/>
  <c r="N41" i="26"/>
  <c r="P41" i="26" s="1"/>
  <c r="N44" i="26"/>
  <c r="P44" i="26" s="1"/>
  <c r="N40" i="26"/>
  <c r="P40" i="26" s="1"/>
  <c r="N39" i="26"/>
  <c r="N42" i="26"/>
  <c r="P42" i="26" s="1"/>
  <c r="T23" i="26"/>
  <c r="T14" i="26"/>
  <c r="X14" i="26" s="1"/>
  <c r="AA14" i="26" s="1"/>
  <c r="U14" i="26"/>
  <c r="Y14" i="26" s="1"/>
  <c r="AG14" i="26" s="1"/>
  <c r="AH16" i="26"/>
  <c r="AJ16" i="26"/>
  <c r="S2" i="26"/>
  <c r="U4" i="26"/>
  <c r="T4" i="26"/>
  <c r="R34" i="26"/>
  <c r="T5" i="26"/>
  <c r="X5" i="26" s="1"/>
  <c r="AA5" i="26" s="1"/>
  <c r="U5" i="26"/>
  <c r="Y5" i="26" s="1"/>
  <c r="AG5" i="26" s="1"/>
  <c r="U13" i="26"/>
  <c r="Y13" i="26" s="1"/>
  <c r="AG13" i="26" s="1"/>
  <c r="T13" i="26"/>
  <c r="X13" i="26" s="1"/>
  <c r="AA13" i="26" s="1"/>
  <c r="U12" i="26"/>
  <c r="Y12" i="26" s="1"/>
  <c r="AG12" i="26" s="1"/>
  <c r="T12" i="26"/>
  <c r="X12" i="26" s="1"/>
  <c r="AA12" i="26" s="1"/>
  <c r="AB10" i="26"/>
  <c r="P25" i="26"/>
  <c r="N23" i="26"/>
  <c r="U7" i="26"/>
  <c r="Y7" i="26" s="1"/>
  <c r="AG7" i="26" s="1"/>
  <c r="T7" i="26"/>
  <c r="X7" i="26" s="1"/>
  <c r="AA7" i="26" s="1"/>
  <c r="R32" i="26"/>
  <c r="U9" i="26"/>
  <c r="Y9" i="26" s="1"/>
  <c r="AG9" i="26" s="1"/>
  <c r="T9" i="26"/>
  <c r="X9" i="26" s="1"/>
  <c r="AA9" i="26" s="1"/>
  <c r="U8" i="26"/>
  <c r="Y8" i="26" s="1"/>
  <c r="AG8" i="26" s="1"/>
  <c r="T8" i="26"/>
  <c r="X8" i="26" s="1"/>
  <c r="AA8" i="26" s="1"/>
  <c r="U6" i="26"/>
  <c r="Y6" i="26" s="1"/>
  <c r="AG6" i="26" s="1"/>
  <c r="T6" i="26"/>
  <c r="X6" i="26" s="1"/>
  <c r="AA6" i="26" s="1"/>
  <c r="P26" i="26"/>
  <c r="R31" i="26" s="1"/>
  <c r="U11" i="26"/>
  <c r="Y11" i="26" s="1"/>
  <c r="AG11" i="26" s="1"/>
  <c r="T11" i="26"/>
  <c r="X11" i="26" s="1"/>
  <c r="AA11" i="26" s="1"/>
  <c r="T37" i="23"/>
  <c r="N30" i="23"/>
  <c r="P30" i="23" s="1"/>
  <c r="R35" i="23" s="1"/>
  <c r="N25" i="23"/>
  <c r="N23" i="23" s="1"/>
  <c r="N26" i="23"/>
  <c r="N29" i="23"/>
  <c r="P29" i="23" s="1"/>
  <c r="R34" i="23" s="1"/>
  <c r="AB16" i="23"/>
  <c r="N27" i="23"/>
  <c r="P27" i="23" s="1"/>
  <c r="R32" i="23" s="1"/>
  <c r="T9" i="24"/>
  <c r="X9" i="24" s="1"/>
  <c r="AA9" i="24" s="1"/>
  <c r="AB9" i="24" s="1"/>
  <c r="T7" i="24"/>
  <c r="X7" i="24" s="1"/>
  <c r="AA7" i="24" s="1"/>
  <c r="AB7" i="24" s="1"/>
  <c r="T6" i="24"/>
  <c r="X6" i="24" s="1"/>
  <c r="AA6" i="24" s="1"/>
  <c r="AB6" i="24" s="1"/>
  <c r="U13" i="24"/>
  <c r="Y13" i="24" s="1"/>
  <c r="AG13" i="24" s="1"/>
  <c r="T13" i="24"/>
  <c r="X13" i="24" s="1"/>
  <c r="AA13" i="24" s="1"/>
  <c r="N25" i="24"/>
  <c r="N30" i="24"/>
  <c r="P30" i="24" s="1"/>
  <c r="R35" i="24" s="1"/>
  <c r="N29" i="24"/>
  <c r="P29" i="24" s="1"/>
  <c r="N26" i="24"/>
  <c r="N28" i="24"/>
  <c r="P28" i="24" s="1"/>
  <c r="N27" i="24"/>
  <c r="P27" i="24" s="1"/>
  <c r="U11" i="24"/>
  <c r="Y11" i="24" s="1"/>
  <c r="AG11" i="24" s="1"/>
  <c r="T11" i="24"/>
  <c r="X11" i="24" s="1"/>
  <c r="AA11" i="24" s="1"/>
  <c r="T14" i="24"/>
  <c r="X14" i="24" s="1"/>
  <c r="AA14" i="24" s="1"/>
  <c r="U14" i="24"/>
  <c r="Y14" i="24" s="1"/>
  <c r="AG14" i="24" s="1"/>
  <c r="AD16" i="24"/>
  <c r="AB16" i="24"/>
  <c r="S2" i="24"/>
  <c r="T4" i="24"/>
  <c r="U4" i="24"/>
  <c r="T10" i="24"/>
  <c r="X10" i="24" s="1"/>
  <c r="AA10" i="24" s="1"/>
  <c r="U10" i="24"/>
  <c r="Y10" i="24" s="1"/>
  <c r="AG10" i="24" s="1"/>
  <c r="T37" i="24"/>
  <c r="AH7" i="24"/>
  <c r="T5" i="24"/>
  <c r="X5" i="24" s="1"/>
  <c r="AA5" i="24" s="1"/>
  <c r="U5" i="24"/>
  <c r="Y5" i="24" s="1"/>
  <c r="AG5" i="24" s="1"/>
  <c r="U8" i="24"/>
  <c r="Y8" i="24" s="1"/>
  <c r="AG8" i="24" s="1"/>
  <c r="T8" i="24"/>
  <c r="X8" i="24" s="1"/>
  <c r="AA8" i="24" s="1"/>
  <c r="AH9" i="24"/>
  <c r="AH6" i="24"/>
  <c r="T12" i="24"/>
  <c r="X12" i="24" s="1"/>
  <c r="AA12" i="24" s="1"/>
  <c r="U12" i="24"/>
  <c r="Y12" i="24" s="1"/>
  <c r="AG12" i="24" s="1"/>
  <c r="C24" i="24"/>
  <c r="T35" i="24"/>
  <c r="C34" i="24"/>
  <c r="U16" i="24" s="1"/>
  <c r="Y16" i="24" s="1"/>
  <c r="AG16" i="24" s="1"/>
  <c r="T30" i="24"/>
  <c r="T27" i="24"/>
  <c r="T25" i="24"/>
  <c r="T33" i="24"/>
  <c r="T28" i="24"/>
  <c r="T31" i="24"/>
  <c r="T32" i="24"/>
  <c r="T29" i="24"/>
  <c r="T26" i="24"/>
  <c r="T34" i="24"/>
  <c r="S9" i="23"/>
  <c r="U9" i="23" s="1"/>
  <c r="Y9" i="23" s="1"/>
  <c r="AG9" i="23" s="1"/>
  <c r="S14" i="23"/>
  <c r="T14" i="23" s="1"/>
  <c r="X14" i="23" s="1"/>
  <c r="AA14" i="23" s="1"/>
  <c r="S6" i="23"/>
  <c r="U6" i="23" s="1"/>
  <c r="Y6" i="23" s="1"/>
  <c r="AG6" i="23" s="1"/>
  <c r="S4" i="23"/>
  <c r="U4" i="23" s="1"/>
  <c r="S15" i="23"/>
  <c r="R33" i="23"/>
  <c r="S12" i="23"/>
  <c r="S10" i="23"/>
  <c r="S8" i="23"/>
  <c r="S11" i="23"/>
  <c r="S13" i="23"/>
  <c r="U7" i="23"/>
  <c r="Y7" i="23" s="1"/>
  <c r="AG7" i="23" s="1"/>
  <c r="T7" i="23"/>
  <c r="X7" i="23" s="1"/>
  <c r="AA7" i="23" s="1"/>
  <c r="T23" i="23"/>
  <c r="S5" i="23"/>
  <c r="AH16" i="23"/>
  <c r="AJ16" i="23"/>
  <c r="P26" i="23"/>
  <c r="S16" i="23"/>
  <c r="P25" i="23"/>
  <c r="N43" i="23"/>
  <c r="P43" i="23" s="1"/>
  <c r="N41" i="23"/>
  <c r="P41" i="23" s="1"/>
  <c r="N44" i="23"/>
  <c r="P44" i="23" s="1"/>
  <c r="N40" i="23"/>
  <c r="P40" i="23" s="1"/>
  <c r="N39" i="23"/>
  <c r="N42" i="23"/>
  <c r="P42" i="23" s="1"/>
  <c r="T23" i="10"/>
  <c r="R33" i="10"/>
  <c r="AH16" i="10"/>
  <c r="R34" i="10"/>
  <c r="AB14" i="10"/>
  <c r="U6" i="10"/>
  <c r="Y6" i="10" s="1"/>
  <c r="AG6" i="10" s="1"/>
  <c r="T6" i="10"/>
  <c r="X6" i="10" s="1"/>
  <c r="AA6" i="10" s="1"/>
  <c r="U8" i="10"/>
  <c r="Y8" i="10" s="1"/>
  <c r="AG8" i="10" s="1"/>
  <c r="T8" i="10"/>
  <c r="X8" i="10" s="1"/>
  <c r="AA8" i="10" s="1"/>
  <c r="R47" i="10"/>
  <c r="R49" i="10"/>
  <c r="R48" i="10"/>
  <c r="R46" i="10"/>
  <c r="R45" i="10"/>
  <c r="T13" i="10"/>
  <c r="X13" i="10" s="1"/>
  <c r="AA13" i="10" s="1"/>
  <c r="U13" i="10"/>
  <c r="Y13" i="10" s="1"/>
  <c r="AG13" i="10" s="1"/>
  <c r="P26" i="10"/>
  <c r="R31" i="10" s="1"/>
  <c r="T4" i="10"/>
  <c r="S2" i="10"/>
  <c r="U4" i="10"/>
  <c r="R32" i="10"/>
  <c r="U7" i="10"/>
  <c r="Y7" i="10" s="1"/>
  <c r="AG7" i="10" s="1"/>
  <c r="T7" i="10"/>
  <c r="X7" i="10" s="1"/>
  <c r="AA7" i="10" s="1"/>
  <c r="U9" i="10"/>
  <c r="Y9" i="10" s="1"/>
  <c r="AG9" i="10" s="1"/>
  <c r="T9" i="10"/>
  <c r="X9" i="10" s="1"/>
  <c r="AA9" i="10" s="1"/>
  <c r="T10" i="10"/>
  <c r="X10" i="10" s="1"/>
  <c r="AA10" i="10" s="1"/>
  <c r="U10" i="10"/>
  <c r="Y10" i="10" s="1"/>
  <c r="AG10" i="10" s="1"/>
  <c r="T11" i="10"/>
  <c r="X11" i="10" s="1"/>
  <c r="AA11" i="10" s="1"/>
  <c r="U11" i="10"/>
  <c r="Y11" i="10" s="1"/>
  <c r="AG11" i="10" s="1"/>
  <c r="T12" i="10"/>
  <c r="X12" i="10" s="1"/>
  <c r="AA12" i="10" s="1"/>
  <c r="U12" i="10"/>
  <c r="Y12" i="10" s="1"/>
  <c r="AG12" i="10" s="1"/>
  <c r="P39" i="10"/>
  <c r="R42" i="10" s="1"/>
  <c r="N37" i="10"/>
  <c r="U5" i="10"/>
  <c r="Y5" i="10" s="1"/>
  <c r="AG5" i="10" s="1"/>
  <c r="T5" i="10"/>
  <c r="X5" i="10" s="1"/>
  <c r="AA5" i="10" s="1"/>
  <c r="P25" i="10"/>
  <c r="N23" i="10"/>
  <c r="AH14" i="10"/>
  <c r="R47" i="30" l="1"/>
  <c r="R45" i="30"/>
  <c r="R48" i="30"/>
  <c r="R46" i="30"/>
  <c r="N37" i="30"/>
  <c r="R43" i="30"/>
  <c r="R44" i="30"/>
  <c r="R41" i="30"/>
  <c r="R40" i="30"/>
  <c r="R26" i="30"/>
  <c r="AB13" i="30"/>
  <c r="AH12" i="30"/>
  <c r="AH13" i="30"/>
  <c r="AB12" i="30"/>
  <c r="X4" i="30"/>
  <c r="T2" i="30"/>
  <c r="R42" i="30"/>
  <c r="AH8" i="30"/>
  <c r="U2" i="30"/>
  <c r="Y4" i="30"/>
  <c r="R39" i="30"/>
  <c r="P37" i="30"/>
  <c r="AH10" i="30"/>
  <c r="AH14" i="30"/>
  <c r="AB8" i="30"/>
  <c r="AB10" i="30"/>
  <c r="AB14" i="30"/>
  <c r="AB7" i="30"/>
  <c r="R25" i="30"/>
  <c r="R30" i="30"/>
  <c r="P23" i="30"/>
  <c r="R28" i="30"/>
  <c r="R29" i="30"/>
  <c r="R27" i="30"/>
  <c r="AB6" i="30"/>
  <c r="AB9" i="30"/>
  <c r="AB5" i="30"/>
  <c r="AH7" i="30"/>
  <c r="AH6" i="30"/>
  <c r="AH9" i="30"/>
  <c r="AH5" i="30"/>
  <c r="AH7" i="29"/>
  <c r="R26" i="29"/>
  <c r="R25" i="29"/>
  <c r="R30" i="29"/>
  <c r="R29" i="29"/>
  <c r="R28" i="29"/>
  <c r="R27" i="29"/>
  <c r="P23" i="29"/>
  <c r="AH6" i="29"/>
  <c r="AB7" i="29"/>
  <c r="AB6" i="29"/>
  <c r="P39" i="29"/>
  <c r="R42" i="29" s="1"/>
  <c r="N37" i="29"/>
  <c r="AH13" i="29"/>
  <c r="AH5" i="29"/>
  <c r="T2" i="29"/>
  <c r="X4" i="29"/>
  <c r="AH10" i="29"/>
  <c r="U2" i="29"/>
  <c r="Y4" i="29"/>
  <c r="AB10" i="29"/>
  <c r="AB5" i="29"/>
  <c r="AB13" i="29"/>
  <c r="R47" i="29"/>
  <c r="R49" i="29"/>
  <c r="R46" i="29"/>
  <c r="R45" i="29"/>
  <c r="R48" i="29"/>
  <c r="R26" i="26"/>
  <c r="AH13" i="26"/>
  <c r="R25" i="26"/>
  <c r="R30" i="26"/>
  <c r="P23" i="26"/>
  <c r="R28" i="26"/>
  <c r="R27" i="26"/>
  <c r="R29" i="26"/>
  <c r="AB6" i="26"/>
  <c r="AH5" i="26"/>
  <c r="P39" i="26"/>
  <c r="R43" i="26" s="1"/>
  <c r="N37" i="26"/>
  <c r="AH6" i="26"/>
  <c r="AB5" i="26"/>
  <c r="AB8" i="26"/>
  <c r="AH14" i="26"/>
  <c r="R47" i="26"/>
  <c r="R49" i="26"/>
  <c r="R48" i="26"/>
  <c r="R46" i="26"/>
  <c r="R45" i="26"/>
  <c r="AH8" i="26"/>
  <c r="AB7" i="26"/>
  <c r="AB12" i="26"/>
  <c r="T2" i="26"/>
  <c r="X4" i="26"/>
  <c r="AB14" i="26"/>
  <c r="AB9" i="26"/>
  <c r="AH7" i="26"/>
  <c r="AH12" i="26"/>
  <c r="U2" i="26"/>
  <c r="Y4" i="26"/>
  <c r="AB11" i="26"/>
  <c r="AH11" i="26"/>
  <c r="AH9" i="26"/>
  <c r="AB13" i="26"/>
  <c r="R31" i="23"/>
  <c r="R32" i="24"/>
  <c r="R33" i="24"/>
  <c r="R34" i="24"/>
  <c r="AH10" i="24"/>
  <c r="AB12" i="24"/>
  <c r="T23" i="24"/>
  <c r="T2" i="24"/>
  <c r="X4" i="24"/>
  <c r="AH14" i="24"/>
  <c r="AB13" i="24"/>
  <c r="N43" i="24"/>
  <c r="P43" i="24" s="1"/>
  <c r="N41" i="24"/>
  <c r="P41" i="24" s="1"/>
  <c r="N44" i="24"/>
  <c r="P44" i="24" s="1"/>
  <c r="N40" i="24"/>
  <c r="P40" i="24" s="1"/>
  <c r="N39" i="24"/>
  <c r="N42" i="24"/>
  <c r="P42" i="24" s="1"/>
  <c r="U2" i="24"/>
  <c r="Y4" i="24"/>
  <c r="AB8" i="24"/>
  <c r="AB14" i="24"/>
  <c r="N23" i="24"/>
  <c r="P25" i="24"/>
  <c r="AH8" i="24"/>
  <c r="AB11" i="24"/>
  <c r="AB5" i="24"/>
  <c r="AH16" i="24"/>
  <c r="AJ16" i="24"/>
  <c r="AH5" i="24"/>
  <c r="AH11" i="24"/>
  <c r="AH13" i="24"/>
  <c r="AH12" i="24"/>
  <c r="AB10" i="24"/>
  <c r="P26" i="24"/>
  <c r="R31" i="24" s="1"/>
  <c r="T9" i="23"/>
  <c r="X9" i="23" s="1"/>
  <c r="AA9" i="23" s="1"/>
  <c r="AB9" i="23" s="1"/>
  <c r="T4" i="23"/>
  <c r="X4" i="23" s="1"/>
  <c r="U14" i="23"/>
  <c r="Y14" i="23" s="1"/>
  <c r="AG14" i="23" s="1"/>
  <c r="AH14" i="23" s="1"/>
  <c r="T6" i="23"/>
  <c r="X6" i="23" s="1"/>
  <c r="AA6" i="23" s="1"/>
  <c r="AB6" i="23" s="1"/>
  <c r="AH9" i="23"/>
  <c r="U8" i="23"/>
  <c r="Y8" i="23" s="1"/>
  <c r="AG8" i="23" s="1"/>
  <c r="T8" i="23"/>
  <c r="X8" i="23" s="1"/>
  <c r="AA8" i="23" s="1"/>
  <c r="AH6" i="23"/>
  <c r="T5" i="23"/>
  <c r="X5" i="23" s="1"/>
  <c r="AA5" i="23" s="1"/>
  <c r="U5" i="23"/>
  <c r="Y5" i="23" s="1"/>
  <c r="AG5" i="23" s="1"/>
  <c r="U10" i="23"/>
  <c r="Y10" i="23" s="1"/>
  <c r="AG10" i="23" s="1"/>
  <c r="T10" i="23"/>
  <c r="X10" i="23" s="1"/>
  <c r="AA10" i="23" s="1"/>
  <c r="Y4" i="23"/>
  <c r="R25" i="23"/>
  <c r="R30" i="23"/>
  <c r="P23" i="23"/>
  <c r="R29" i="23"/>
  <c r="R28" i="23"/>
  <c r="R27" i="23"/>
  <c r="U12" i="23"/>
  <c r="Y12" i="23" s="1"/>
  <c r="AG12" i="23" s="1"/>
  <c r="T12" i="23"/>
  <c r="X12" i="23" s="1"/>
  <c r="AA12" i="23" s="1"/>
  <c r="AB7" i="23"/>
  <c r="P39" i="23"/>
  <c r="R40" i="23" s="1"/>
  <c r="N37" i="23"/>
  <c r="AH7" i="23"/>
  <c r="R26" i="23"/>
  <c r="AB14" i="23"/>
  <c r="U11" i="23"/>
  <c r="Y11" i="23" s="1"/>
  <c r="AG11" i="23" s="1"/>
  <c r="T11" i="23"/>
  <c r="X11" i="23" s="1"/>
  <c r="AA11" i="23" s="1"/>
  <c r="R47" i="23"/>
  <c r="R49" i="23"/>
  <c r="R48" i="23"/>
  <c r="R46" i="23"/>
  <c r="R45" i="23"/>
  <c r="S2" i="23"/>
  <c r="U13" i="23"/>
  <c r="Y13" i="23" s="1"/>
  <c r="AG13" i="23" s="1"/>
  <c r="T13" i="23"/>
  <c r="X13" i="23" s="1"/>
  <c r="AA13" i="23" s="1"/>
  <c r="R43" i="10"/>
  <c r="R40" i="10"/>
  <c r="R25" i="10"/>
  <c r="R30" i="10"/>
  <c r="P23" i="10"/>
  <c r="R29" i="10"/>
  <c r="R28" i="10"/>
  <c r="R27" i="10"/>
  <c r="AH5" i="10"/>
  <c r="AB10" i="10"/>
  <c r="T2" i="10"/>
  <c r="X4" i="10"/>
  <c r="AB6" i="10"/>
  <c r="AB11" i="10"/>
  <c r="AB5" i="10"/>
  <c r="AH6" i="10"/>
  <c r="AB9" i="10"/>
  <c r="R39" i="10"/>
  <c r="V40" i="10" s="1"/>
  <c r="P37" i="10"/>
  <c r="AH9" i="10"/>
  <c r="R44" i="10"/>
  <c r="R41" i="10"/>
  <c r="U2" i="10"/>
  <c r="Y4" i="10"/>
  <c r="AH10" i="10"/>
  <c r="AH12" i="10"/>
  <c r="AB7" i="10"/>
  <c r="R26" i="10"/>
  <c r="AB12" i="10"/>
  <c r="AH7" i="10"/>
  <c r="AH13" i="10"/>
  <c r="AB8" i="10"/>
  <c r="AH11" i="10"/>
  <c r="AB13" i="10"/>
  <c r="AH8" i="10"/>
  <c r="V28" i="30" l="1"/>
  <c r="AE25" i="30" s="1"/>
  <c r="V27" i="30"/>
  <c r="AC25" i="30" s="1"/>
  <c r="R37" i="30"/>
  <c r="V39" i="30"/>
  <c r="V47" i="30"/>
  <c r="V45" i="30"/>
  <c r="V46" i="30"/>
  <c r="V44" i="30"/>
  <c r="V48" i="30"/>
  <c r="V43" i="30"/>
  <c r="X2" i="30"/>
  <c r="AA4" i="30"/>
  <c r="AG4" i="30"/>
  <c r="Y2" i="30"/>
  <c r="R23" i="30"/>
  <c r="V25" i="30"/>
  <c r="V31" i="30"/>
  <c r="V29" i="30"/>
  <c r="V33" i="30"/>
  <c r="V34" i="30"/>
  <c r="V30" i="30"/>
  <c r="V32" i="30"/>
  <c r="V40" i="30"/>
  <c r="V41" i="30"/>
  <c r="V42" i="30"/>
  <c r="V26" i="30"/>
  <c r="R43" i="29"/>
  <c r="R41" i="29"/>
  <c r="R40" i="29"/>
  <c r="V27" i="29"/>
  <c r="AC27" i="29" s="1"/>
  <c r="V28" i="29"/>
  <c r="AE28" i="29" s="1"/>
  <c r="R44" i="29"/>
  <c r="AE25" i="29"/>
  <c r="X2" i="29"/>
  <c r="AA4" i="29"/>
  <c r="R39" i="29"/>
  <c r="P37" i="29"/>
  <c r="R23" i="29"/>
  <c r="V25" i="29"/>
  <c r="V30" i="29"/>
  <c r="V33" i="29"/>
  <c r="V29" i="29"/>
  <c r="V32" i="29"/>
  <c r="V31" i="29"/>
  <c r="V34" i="29"/>
  <c r="AG4" i="29"/>
  <c r="Y2" i="29"/>
  <c r="V26" i="29"/>
  <c r="R44" i="26"/>
  <c r="R42" i="26"/>
  <c r="R40" i="26"/>
  <c r="R41" i="26"/>
  <c r="R23" i="26"/>
  <c r="V25" i="26"/>
  <c r="V29" i="26"/>
  <c r="V34" i="26"/>
  <c r="V31" i="26"/>
  <c r="V32" i="26"/>
  <c r="V30" i="26"/>
  <c r="V33" i="26"/>
  <c r="R39" i="26"/>
  <c r="P37" i="26"/>
  <c r="AA4" i="26"/>
  <c r="X2" i="26"/>
  <c r="V27" i="26"/>
  <c r="V26" i="26"/>
  <c r="AG4" i="26"/>
  <c r="Y2" i="26"/>
  <c r="V28" i="26"/>
  <c r="R26" i="24"/>
  <c r="P39" i="24"/>
  <c r="R41" i="24" s="1"/>
  <c r="N37" i="24"/>
  <c r="AA4" i="24"/>
  <c r="X2" i="24"/>
  <c r="R47" i="24"/>
  <c r="R49" i="24"/>
  <c r="R48" i="24"/>
  <c r="R46" i="24"/>
  <c r="R45" i="24"/>
  <c r="R25" i="24"/>
  <c r="V26" i="24" s="1"/>
  <c r="P23" i="24"/>
  <c r="R29" i="24"/>
  <c r="R28" i="24"/>
  <c r="R27" i="24"/>
  <c r="R30" i="24"/>
  <c r="AG4" i="24"/>
  <c r="Y2" i="24"/>
  <c r="R42" i="23"/>
  <c r="X2" i="23"/>
  <c r="AA4" i="23"/>
  <c r="AB12" i="23"/>
  <c r="U2" i="23"/>
  <c r="AH11" i="23"/>
  <c r="AH12" i="23"/>
  <c r="Y2" i="23"/>
  <c r="AG4" i="23"/>
  <c r="AB8" i="23"/>
  <c r="AB11" i="23"/>
  <c r="R23" i="23"/>
  <c r="V25" i="23"/>
  <c r="V29" i="23"/>
  <c r="V31" i="23"/>
  <c r="V34" i="23"/>
  <c r="V30" i="23"/>
  <c r="V32" i="23"/>
  <c r="V33" i="23"/>
  <c r="V27" i="23"/>
  <c r="AB10" i="23"/>
  <c r="AH8" i="23"/>
  <c r="T2" i="23"/>
  <c r="R43" i="23"/>
  <c r="V28" i="23"/>
  <c r="AH10" i="23"/>
  <c r="AH13" i="23"/>
  <c r="V26" i="23"/>
  <c r="AH5" i="23"/>
  <c r="AB5" i="23"/>
  <c r="R39" i="23"/>
  <c r="P37" i="23"/>
  <c r="R44" i="23"/>
  <c r="AB13" i="23"/>
  <c r="R41" i="23"/>
  <c r="V26" i="10"/>
  <c r="AA26" i="10" s="1"/>
  <c r="AA39" i="10"/>
  <c r="AA40" i="10"/>
  <c r="V27" i="10"/>
  <c r="V28" i="10"/>
  <c r="V39" i="10"/>
  <c r="R37" i="10"/>
  <c r="V48" i="10"/>
  <c r="V47" i="10"/>
  <c r="V46" i="10"/>
  <c r="V43" i="10"/>
  <c r="V45" i="10"/>
  <c r="V44" i="10"/>
  <c r="AG4" i="10"/>
  <c r="Y2" i="10"/>
  <c r="V41" i="10"/>
  <c r="X2" i="10"/>
  <c r="AA4" i="10"/>
  <c r="V42" i="10"/>
  <c r="R23" i="10"/>
  <c r="V25" i="10"/>
  <c r="V29" i="10"/>
  <c r="V33" i="10"/>
  <c r="V30" i="10"/>
  <c r="V31" i="10"/>
  <c r="V34" i="10"/>
  <c r="V32" i="10"/>
  <c r="AE28" i="30" l="1"/>
  <c r="AE27" i="30"/>
  <c r="AE26" i="30"/>
  <c r="AC27" i="30"/>
  <c r="AC26" i="30"/>
  <c r="AA26" i="30"/>
  <c r="AA25" i="30"/>
  <c r="V23" i="30"/>
  <c r="V35" i="30" s="1"/>
  <c r="V22" i="30" s="1"/>
  <c r="Y25" i="30"/>
  <c r="V37" i="30"/>
  <c r="V49" i="30" s="1"/>
  <c r="Y39" i="30"/>
  <c r="AE39" i="30"/>
  <c r="AE40" i="30"/>
  <c r="AE41" i="30"/>
  <c r="AE42" i="30"/>
  <c r="AG40" i="30"/>
  <c r="AG39" i="30"/>
  <c r="AG41" i="30"/>
  <c r="AG42" i="30"/>
  <c r="AG43" i="30"/>
  <c r="AM32" i="30"/>
  <c r="AM30" i="30"/>
  <c r="AM29" i="30"/>
  <c r="AM31" i="30"/>
  <c r="AM27" i="30"/>
  <c r="AM28" i="30"/>
  <c r="AM25" i="30"/>
  <c r="AM26" i="30"/>
  <c r="AQ48" i="30"/>
  <c r="AQ45" i="30"/>
  <c r="AQ46" i="30"/>
  <c r="AQ44" i="30"/>
  <c r="AQ41" i="30"/>
  <c r="AQ47" i="30"/>
  <c r="AQ39" i="30"/>
  <c r="AQ42" i="30"/>
  <c r="AQ40" i="30"/>
  <c r="AQ43" i="30"/>
  <c r="AD4" i="30"/>
  <c r="AC4" i="30"/>
  <c r="AB4" i="30"/>
  <c r="AI29" i="30"/>
  <c r="AI30" i="30"/>
  <c r="AI28" i="30"/>
  <c r="AI27" i="30"/>
  <c r="AI26" i="30"/>
  <c r="AI25" i="30"/>
  <c r="AI40" i="30"/>
  <c r="AI39" i="30"/>
  <c r="AI43" i="30"/>
  <c r="AI41" i="30"/>
  <c r="AI42" i="30"/>
  <c r="AI44" i="30"/>
  <c r="AQ32" i="30"/>
  <c r="AQ27" i="30"/>
  <c r="AQ31" i="30"/>
  <c r="AQ28" i="30"/>
  <c r="AQ34" i="30"/>
  <c r="AQ30" i="30"/>
  <c r="AQ25" i="30"/>
  <c r="AQ33" i="30"/>
  <c r="AQ26" i="30"/>
  <c r="AQ29" i="30"/>
  <c r="AM40" i="30"/>
  <c r="AM42" i="30"/>
  <c r="AM45" i="30"/>
  <c r="AM46" i="30"/>
  <c r="AM41" i="30"/>
  <c r="AM43" i="30"/>
  <c r="AM44" i="30"/>
  <c r="AM39" i="30"/>
  <c r="AK28" i="30"/>
  <c r="AK31" i="30"/>
  <c r="AK25" i="30"/>
  <c r="AK26" i="30"/>
  <c r="AK27" i="30"/>
  <c r="AK30" i="30"/>
  <c r="AK29" i="30"/>
  <c r="AC41" i="30"/>
  <c r="AC39" i="30"/>
  <c r="AC40" i="30"/>
  <c r="AO32" i="30"/>
  <c r="AO33" i="30"/>
  <c r="AO30" i="30"/>
  <c r="AO31" i="30"/>
  <c r="AO29" i="30"/>
  <c r="AO28" i="30"/>
  <c r="AO27" i="30"/>
  <c r="AO26" i="30"/>
  <c r="AO25" i="30"/>
  <c r="AK40" i="30"/>
  <c r="AK44" i="30"/>
  <c r="AK45" i="30"/>
  <c r="AK39" i="30"/>
  <c r="AK43" i="30"/>
  <c r="AK42" i="30"/>
  <c r="AK41" i="30"/>
  <c r="AA40" i="30"/>
  <c r="AA39" i="30"/>
  <c r="AG25" i="30"/>
  <c r="AG26" i="30"/>
  <c r="AG29" i="30"/>
  <c r="AG28" i="30"/>
  <c r="AG27" i="30"/>
  <c r="AH4" i="30"/>
  <c r="AI4" i="30"/>
  <c r="AJ4" i="30"/>
  <c r="AO42" i="30"/>
  <c r="AO45" i="30"/>
  <c r="AO44" i="30"/>
  <c r="AO39" i="30"/>
  <c r="AO41" i="30"/>
  <c r="AO47" i="30"/>
  <c r="AO43" i="30"/>
  <c r="AO40" i="30"/>
  <c r="AO46" i="30"/>
  <c r="AE27" i="29"/>
  <c r="AE26" i="29"/>
  <c r="AE23" i="29" s="1"/>
  <c r="AC26" i="29"/>
  <c r="V42" i="29"/>
  <c r="AE42" i="29" s="1"/>
  <c r="AC25" i="29"/>
  <c r="V40" i="29"/>
  <c r="AA40" i="29" s="1"/>
  <c r="AI25" i="29"/>
  <c r="AI29" i="29"/>
  <c r="AI27" i="29"/>
  <c r="AI28" i="29"/>
  <c r="AI30" i="29"/>
  <c r="AI26" i="29"/>
  <c r="AD4" i="29"/>
  <c r="AC4" i="29"/>
  <c r="AB4" i="29"/>
  <c r="V23" i="29"/>
  <c r="V35" i="29" s="1"/>
  <c r="V22" i="29" s="1"/>
  <c r="Y25" i="29"/>
  <c r="AQ33" i="29"/>
  <c r="AQ26" i="29"/>
  <c r="AQ30" i="29"/>
  <c r="AQ31" i="29"/>
  <c r="AQ25" i="29"/>
  <c r="AQ34" i="29"/>
  <c r="AQ29" i="29"/>
  <c r="AQ27" i="29"/>
  <c r="AQ32" i="29"/>
  <c r="AQ28" i="29"/>
  <c r="AA25" i="29"/>
  <c r="AA26" i="29"/>
  <c r="AK27" i="29"/>
  <c r="AK25" i="29"/>
  <c r="AK30" i="29"/>
  <c r="AK31" i="29"/>
  <c r="AK26" i="29"/>
  <c r="AK29" i="29"/>
  <c r="AK28" i="29"/>
  <c r="AM29" i="29"/>
  <c r="AM26" i="29"/>
  <c r="AM30" i="29"/>
  <c r="AM32" i="29"/>
  <c r="AM28" i="29"/>
  <c r="AM25" i="29"/>
  <c r="AM31" i="29"/>
  <c r="AM27" i="29"/>
  <c r="R37" i="29"/>
  <c r="V39" i="29"/>
  <c r="V47" i="29"/>
  <c r="V46" i="29"/>
  <c r="V48" i="29"/>
  <c r="V45" i="29"/>
  <c r="V44" i="29"/>
  <c r="V43" i="29"/>
  <c r="AH4" i="29"/>
  <c r="AI4" i="29"/>
  <c r="AJ4" i="29"/>
  <c r="AG28" i="29"/>
  <c r="AG25" i="29"/>
  <c r="AG27" i="29"/>
  <c r="AG29" i="29"/>
  <c r="AG26" i="29"/>
  <c r="V41" i="29"/>
  <c r="AO26" i="29"/>
  <c r="AO33" i="29"/>
  <c r="AO30" i="29"/>
  <c r="AO32" i="29"/>
  <c r="AO29" i="29"/>
  <c r="AO25" i="29"/>
  <c r="AO28" i="29"/>
  <c r="AO31" i="29"/>
  <c r="AO27" i="29"/>
  <c r="V27" i="24"/>
  <c r="AC25" i="24" s="1"/>
  <c r="AG28" i="26"/>
  <c r="AG26" i="26"/>
  <c r="AG29" i="26"/>
  <c r="AG27" i="26"/>
  <c r="AG25" i="26"/>
  <c r="V23" i="26"/>
  <c r="V35" i="26" s="1"/>
  <c r="V22" i="26" s="1"/>
  <c r="Y25" i="26"/>
  <c r="AO31" i="26"/>
  <c r="AO29" i="26"/>
  <c r="AO28" i="26"/>
  <c r="AO27" i="26"/>
  <c r="AO30" i="26"/>
  <c r="AO26" i="26"/>
  <c r="AO25" i="26"/>
  <c r="AO32" i="26"/>
  <c r="AO33" i="26"/>
  <c r="R37" i="26"/>
  <c r="V39" i="26"/>
  <c r="V43" i="26"/>
  <c r="V44" i="26"/>
  <c r="V47" i="26"/>
  <c r="V46" i="26"/>
  <c r="V48" i="26"/>
  <c r="V45" i="26"/>
  <c r="AI29" i="26"/>
  <c r="AI28" i="26"/>
  <c r="AI27" i="26"/>
  <c r="AI26" i="26"/>
  <c r="AI25" i="26"/>
  <c r="AI30" i="26"/>
  <c r="V40" i="26"/>
  <c r="V41" i="26"/>
  <c r="V42" i="26"/>
  <c r="AM32" i="26"/>
  <c r="AM30" i="26"/>
  <c r="AM31" i="26"/>
  <c r="AM29" i="26"/>
  <c r="AM28" i="26"/>
  <c r="AM27" i="26"/>
  <c r="AM26" i="26"/>
  <c r="AM25" i="26"/>
  <c r="AA26" i="26"/>
  <c r="AA25" i="26"/>
  <c r="AK30" i="26"/>
  <c r="AK26" i="26"/>
  <c r="AK29" i="26"/>
  <c r="AK28" i="26"/>
  <c r="AK25" i="26"/>
  <c r="AK27" i="26"/>
  <c r="AK31" i="26"/>
  <c r="AB4" i="26"/>
  <c r="AD4" i="26"/>
  <c r="AC4" i="26"/>
  <c r="AE28" i="26"/>
  <c r="AE27" i="26"/>
  <c r="AE26" i="26"/>
  <c r="AE25" i="26"/>
  <c r="AJ4" i="26"/>
  <c r="AI4" i="26"/>
  <c r="AH4" i="26"/>
  <c r="AC26" i="26"/>
  <c r="AC27" i="26"/>
  <c r="AC25" i="26"/>
  <c r="AQ34" i="26"/>
  <c r="AQ30" i="26"/>
  <c r="AQ32" i="26"/>
  <c r="AQ29" i="26"/>
  <c r="AQ25" i="26"/>
  <c r="AQ27" i="26"/>
  <c r="AQ33" i="26"/>
  <c r="AQ26" i="26"/>
  <c r="AQ31" i="26"/>
  <c r="AQ28" i="26"/>
  <c r="V28" i="24"/>
  <c r="AE25" i="24" s="1"/>
  <c r="R44" i="24"/>
  <c r="R43" i="24"/>
  <c r="R42" i="24"/>
  <c r="R40" i="24"/>
  <c r="AA26" i="24"/>
  <c r="AA25" i="24"/>
  <c r="AC4" i="24"/>
  <c r="AD4" i="24"/>
  <c r="AB4" i="24"/>
  <c r="V25" i="24"/>
  <c r="R23" i="24"/>
  <c r="V32" i="24"/>
  <c r="V33" i="24"/>
  <c r="V31" i="24"/>
  <c r="V34" i="24"/>
  <c r="V29" i="24"/>
  <c r="V30" i="24"/>
  <c r="AH4" i="24"/>
  <c r="AJ4" i="24"/>
  <c r="AI4" i="24"/>
  <c r="R39" i="24"/>
  <c r="P37" i="24"/>
  <c r="AC26" i="24"/>
  <c r="AC27" i="24"/>
  <c r="V41" i="23"/>
  <c r="AC41" i="23" s="1"/>
  <c r="AE28" i="23"/>
  <c r="AE27" i="23"/>
  <c r="AE26" i="23"/>
  <c r="AE25" i="23"/>
  <c r="AA26" i="23"/>
  <c r="AA25" i="23"/>
  <c r="AC25" i="23"/>
  <c r="AC26" i="23"/>
  <c r="AC27" i="23"/>
  <c r="V23" i="23"/>
  <c r="V35" i="23" s="1"/>
  <c r="Y25" i="23"/>
  <c r="AI4" i="23"/>
  <c r="AH4" i="23"/>
  <c r="AJ11" i="23" s="1"/>
  <c r="AJ4" i="23"/>
  <c r="AO33" i="23"/>
  <c r="AO30" i="23"/>
  <c r="AO29" i="23"/>
  <c r="AO31" i="23"/>
  <c r="AO28" i="23"/>
  <c r="AO27" i="23"/>
  <c r="AO25" i="23"/>
  <c r="AO26" i="23"/>
  <c r="AO32" i="23"/>
  <c r="AM30" i="23"/>
  <c r="AM32" i="23"/>
  <c r="AM29" i="23"/>
  <c r="AM31" i="23"/>
  <c r="AM28" i="23"/>
  <c r="AM27" i="23"/>
  <c r="AM25" i="23"/>
  <c r="AM26" i="23"/>
  <c r="AI29" i="23"/>
  <c r="AI28" i="23"/>
  <c r="AI27" i="23"/>
  <c r="AI26" i="23"/>
  <c r="AI25" i="23"/>
  <c r="AI30" i="23"/>
  <c r="AQ31" i="23"/>
  <c r="AQ34" i="23"/>
  <c r="AQ30" i="23"/>
  <c r="AQ29" i="23"/>
  <c r="AQ28" i="23"/>
  <c r="AQ32" i="23"/>
  <c r="AQ27" i="23"/>
  <c r="AQ33" i="23"/>
  <c r="AQ26" i="23"/>
  <c r="AQ25" i="23"/>
  <c r="AD4" i="23"/>
  <c r="AC4" i="23"/>
  <c r="AB4" i="23"/>
  <c r="AD12" i="23" s="1"/>
  <c r="R37" i="23"/>
  <c r="V39" i="23"/>
  <c r="V45" i="23"/>
  <c r="V48" i="23"/>
  <c r="V46" i="23"/>
  <c r="V47" i="23"/>
  <c r="V43" i="23"/>
  <c r="V44" i="23"/>
  <c r="AK31" i="23"/>
  <c r="AK30" i="23"/>
  <c r="AK29" i="23"/>
  <c r="AK25" i="23"/>
  <c r="AK27" i="23"/>
  <c r="AK28" i="23"/>
  <c r="AK26" i="23"/>
  <c r="AC7" i="23"/>
  <c r="V42" i="23"/>
  <c r="AG25" i="23"/>
  <c r="AG29" i="23"/>
  <c r="AG28" i="23"/>
  <c r="AG26" i="23"/>
  <c r="AG27" i="23"/>
  <c r="V40" i="23"/>
  <c r="AA25" i="10"/>
  <c r="AA23" i="10" s="1"/>
  <c r="AO27" i="10"/>
  <c r="AO28" i="10"/>
  <c r="AO30" i="10"/>
  <c r="AO26" i="10"/>
  <c r="AO32" i="10"/>
  <c r="AO25" i="10"/>
  <c r="AO33" i="10"/>
  <c r="AO31" i="10"/>
  <c r="AO29" i="10"/>
  <c r="AM40" i="10"/>
  <c r="AM45" i="10"/>
  <c r="AM46" i="10"/>
  <c r="AM39" i="10"/>
  <c r="AM41" i="10"/>
  <c r="AM43" i="10"/>
  <c r="AM44" i="10"/>
  <c r="AM42" i="10"/>
  <c r="AG39" i="10"/>
  <c r="AG41" i="10"/>
  <c r="AG40" i="10"/>
  <c r="AG42" i="10"/>
  <c r="AG43" i="10"/>
  <c r="Y25" i="10"/>
  <c r="V23" i="10"/>
  <c r="V35" i="10" s="1"/>
  <c r="V22" i="10" s="1"/>
  <c r="AC41" i="10"/>
  <c r="AC40" i="10"/>
  <c r="AC39" i="10"/>
  <c r="AO46" i="10"/>
  <c r="AO40" i="10"/>
  <c r="AO42" i="10"/>
  <c r="AO45" i="10"/>
  <c r="AO47" i="10"/>
  <c r="AO44" i="10"/>
  <c r="AO43" i="10"/>
  <c r="AO39" i="10"/>
  <c r="AO41" i="10"/>
  <c r="AK42" i="10"/>
  <c r="AK45" i="10"/>
  <c r="AK41" i="10"/>
  <c r="AK43" i="10"/>
  <c r="AK44" i="10"/>
  <c r="AK40" i="10"/>
  <c r="AK39" i="10"/>
  <c r="AM31" i="10"/>
  <c r="AM25" i="10"/>
  <c r="AM26" i="10"/>
  <c r="AM29" i="10"/>
  <c r="AM27" i="10"/>
  <c r="AM32" i="10"/>
  <c r="AM30" i="10"/>
  <c r="AM28" i="10"/>
  <c r="AQ46" i="10"/>
  <c r="AQ45" i="10"/>
  <c r="AQ40" i="10"/>
  <c r="AQ44" i="10"/>
  <c r="AQ47" i="10"/>
  <c r="AQ48" i="10"/>
  <c r="AQ43" i="10"/>
  <c r="AQ42" i="10"/>
  <c r="AQ41" i="10"/>
  <c r="AQ39" i="10"/>
  <c r="AC27" i="10"/>
  <c r="AC26" i="10"/>
  <c r="AC25" i="10"/>
  <c r="AE40" i="10"/>
  <c r="AE41" i="10"/>
  <c r="AE39" i="10"/>
  <c r="AE42" i="10"/>
  <c r="AJ4" i="10"/>
  <c r="AI4" i="10"/>
  <c r="AH4" i="10"/>
  <c r="AC4" i="10"/>
  <c r="AB4" i="10"/>
  <c r="AD4" i="10"/>
  <c r="AQ29" i="10"/>
  <c r="AQ26" i="10"/>
  <c r="AQ27" i="10"/>
  <c r="AQ25" i="10"/>
  <c r="AQ28" i="10"/>
  <c r="AQ32" i="10"/>
  <c r="AQ34" i="10"/>
  <c r="AQ30" i="10"/>
  <c r="AQ33" i="10"/>
  <c r="AQ31" i="10"/>
  <c r="AI39" i="10"/>
  <c r="AI44" i="10"/>
  <c r="AI41" i="10"/>
  <c r="AI43" i="10"/>
  <c r="AI42" i="10"/>
  <c r="AI40" i="10"/>
  <c r="V37" i="10"/>
  <c r="V49" i="10" s="1"/>
  <c r="V36" i="10" s="1"/>
  <c r="Y39" i="10"/>
  <c r="AI27" i="10"/>
  <c r="AI30" i="10"/>
  <c r="AI28" i="10"/>
  <c r="AI25" i="10"/>
  <c r="AI26" i="10"/>
  <c r="AI29" i="10"/>
  <c r="AG27" i="10"/>
  <c r="AG26" i="10"/>
  <c r="AG28" i="10"/>
  <c r="AG29" i="10"/>
  <c r="AG25" i="10"/>
  <c r="AK28" i="10"/>
  <c r="AK26" i="10"/>
  <c r="AK30" i="10"/>
  <c r="AK25" i="10"/>
  <c r="AK31" i="10"/>
  <c r="AK27" i="10"/>
  <c r="AK29" i="10"/>
  <c r="AE27" i="10"/>
  <c r="AE28" i="10"/>
  <c r="AE26" i="10"/>
  <c r="AE25" i="10"/>
  <c r="AA37" i="10"/>
  <c r="AE23" i="30" l="1"/>
  <c r="AC23" i="30"/>
  <c r="AA23" i="30"/>
  <c r="AA37" i="30"/>
  <c r="Y37" i="30"/>
  <c r="AO37" i="30"/>
  <c r="AC37" i="30"/>
  <c r="AI37" i="30"/>
  <c r="AB18" i="30"/>
  <c r="AC16" i="30"/>
  <c r="AD15" i="30"/>
  <c r="AC15" i="30"/>
  <c r="AD7" i="30"/>
  <c r="AC8" i="30"/>
  <c r="AD6" i="30"/>
  <c r="AD14" i="30"/>
  <c r="AD10" i="30"/>
  <c r="AD9" i="30"/>
  <c r="AD12" i="30"/>
  <c r="AC14" i="30"/>
  <c r="AC9" i="30"/>
  <c r="AD5" i="30"/>
  <c r="AC7" i="30"/>
  <c r="AC10" i="30"/>
  <c r="AD11" i="30"/>
  <c r="AC5" i="30"/>
  <c r="AC11" i="30"/>
  <c r="AD8" i="30"/>
  <c r="AC6" i="30"/>
  <c r="AD13" i="30"/>
  <c r="AC12" i="30"/>
  <c r="AC13" i="30"/>
  <c r="AS41" i="30"/>
  <c r="J41" i="30" s="1"/>
  <c r="AS48" i="30"/>
  <c r="J48" i="30" s="1"/>
  <c r="AS40" i="30"/>
  <c r="J40" i="30" s="1"/>
  <c r="AS45" i="30"/>
  <c r="J45" i="30" s="1"/>
  <c r="AS47" i="30"/>
  <c r="J47" i="30" s="1"/>
  <c r="AS39" i="30"/>
  <c r="AS44" i="30"/>
  <c r="J44" i="30" s="1"/>
  <c r="AS42" i="30"/>
  <c r="J42" i="30" s="1"/>
  <c r="AS43" i="30"/>
  <c r="J43" i="30" s="1"/>
  <c r="AS49" i="30"/>
  <c r="J49" i="30" s="1"/>
  <c r="AS46" i="30"/>
  <c r="J46" i="30" s="1"/>
  <c r="AG37" i="30"/>
  <c r="V36" i="30"/>
  <c r="AM37" i="30"/>
  <c r="AI23" i="30"/>
  <c r="Y23" i="30"/>
  <c r="AG23" i="30"/>
  <c r="AS34" i="30"/>
  <c r="J34" i="30" s="1"/>
  <c r="AS25" i="30"/>
  <c r="AS29" i="30"/>
  <c r="J29" i="30" s="1"/>
  <c r="AS30" i="30"/>
  <c r="J30" i="30" s="1"/>
  <c r="AS28" i="30"/>
  <c r="J28" i="30" s="1"/>
  <c r="AS35" i="30"/>
  <c r="J35" i="30" s="1"/>
  <c r="AS26" i="30"/>
  <c r="J26" i="30" s="1"/>
  <c r="AS27" i="30"/>
  <c r="J27" i="30" s="1"/>
  <c r="AS33" i="30"/>
  <c r="J33" i="30" s="1"/>
  <c r="AS32" i="30"/>
  <c r="J32" i="30" s="1"/>
  <c r="AS31" i="30"/>
  <c r="J31" i="30" s="1"/>
  <c r="AQ23" i="30"/>
  <c r="AK37" i="30"/>
  <c r="AH18" i="30"/>
  <c r="AI15" i="30"/>
  <c r="AI16" i="30"/>
  <c r="AI11" i="30"/>
  <c r="AJ10" i="30"/>
  <c r="AJ9" i="30"/>
  <c r="AI13" i="30"/>
  <c r="AI10" i="30"/>
  <c r="AI9" i="30"/>
  <c r="AI8" i="30"/>
  <c r="AJ7" i="30"/>
  <c r="AJ14" i="30"/>
  <c r="AI7" i="30"/>
  <c r="AI14" i="30"/>
  <c r="AI5" i="30"/>
  <c r="AJ12" i="30"/>
  <c r="AJ6" i="30"/>
  <c r="AI12" i="30"/>
  <c r="AI6" i="30"/>
  <c r="AJ13" i="30"/>
  <c r="AJ5" i="30"/>
  <c r="AJ8" i="30"/>
  <c r="AJ11" i="30"/>
  <c r="AO23" i="30"/>
  <c r="AK23" i="30"/>
  <c r="AQ37" i="30"/>
  <c r="AM23" i="30"/>
  <c r="AE37" i="30"/>
  <c r="AA39" i="29"/>
  <c r="AC23" i="29"/>
  <c r="AE41" i="29"/>
  <c r="AE40" i="29"/>
  <c r="AE39" i="29"/>
  <c r="AA23" i="29"/>
  <c r="AQ23" i="29"/>
  <c r="AQ40" i="29"/>
  <c r="AQ39" i="29"/>
  <c r="AQ48" i="29"/>
  <c r="AQ43" i="29"/>
  <c r="AQ46" i="29"/>
  <c r="AQ47" i="29"/>
  <c r="AQ45" i="29"/>
  <c r="AQ44" i="29"/>
  <c r="AQ42" i="29"/>
  <c r="AQ41" i="29"/>
  <c r="AM23" i="29"/>
  <c r="AI23" i="29"/>
  <c r="AA37" i="29"/>
  <c r="AC40" i="29"/>
  <c r="AC39" i="29"/>
  <c r="AC41" i="29"/>
  <c r="AH18" i="29"/>
  <c r="AI15" i="29"/>
  <c r="AI12" i="29"/>
  <c r="AI16" i="29"/>
  <c r="AI14" i="29"/>
  <c r="AI11" i="29"/>
  <c r="AJ8" i="29"/>
  <c r="AI8" i="29"/>
  <c r="AI9" i="29"/>
  <c r="AJ14" i="29"/>
  <c r="AI6" i="29"/>
  <c r="AI5" i="29"/>
  <c r="AJ6" i="29"/>
  <c r="AI13" i="29"/>
  <c r="AJ13" i="29"/>
  <c r="AJ10" i="29"/>
  <c r="AJ11" i="29"/>
  <c r="AJ7" i="29"/>
  <c r="AI10" i="29"/>
  <c r="AI7" i="29"/>
  <c r="AJ5" i="29"/>
  <c r="AJ12" i="29"/>
  <c r="AJ9" i="29"/>
  <c r="V37" i="29"/>
  <c r="V49" i="29" s="1"/>
  <c r="Y39" i="29"/>
  <c r="AK23" i="29"/>
  <c r="Y23" i="29"/>
  <c r="AO23" i="29"/>
  <c r="AG41" i="29"/>
  <c r="AG40" i="29"/>
  <c r="AG39" i="29"/>
  <c r="AG43" i="29"/>
  <c r="AG42" i="29"/>
  <c r="AK40" i="29"/>
  <c r="AK44" i="29"/>
  <c r="AK42" i="29"/>
  <c r="AK41" i="29"/>
  <c r="AK43" i="29"/>
  <c r="AK45" i="29"/>
  <c r="AK39" i="29"/>
  <c r="AG23" i="29"/>
  <c r="AI42" i="29"/>
  <c r="AI39" i="29"/>
  <c r="AI44" i="29"/>
  <c r="AI43" i="29"/>
  <c r="AI40" i="29"/>
  <c r="AI41" i="29"/>
  <c r="AS32" i="29"/>
  <c r="J32" i="29" s="1"/>
  <c r="AS27" i="29"/>
  <c r="J27" i="29" s="1"/>
  <c r="AS33" i="29"/>
  <c r="J33" i="29" s="1"/>
  <c r="AS25" i="29"/>
  <c r="J25" i="29" s="1"/>
  <c r="AS34" i="29"/>
  <c r="J34" i="29" s="1"/>
  <c r="AS29" i="29"/>
  <c r="J29" i="29" s="1"/>
  <c r="AS30" i="29"/>
  <c r="J30" i="29" s="1"/>
  <c r="AS26" i="29"/>
  <c r="J26" i="29" s="1"/>
  <c r="AS35" i="29"/>
  <c r="J35" i="29" s="1"/>
  <c r="AS28" i="29"/>
  <c r="J28" i="29" s="1"/>
  <c r="AS31" i="29"/>
  <c r="J31" i="29" s="1"/>
  <c r="AB18" i="29"/>
  <c r="AC16" i="29"/>
  <c r="AD15" i="29"/>
  <c r="AD11" i="29"/>
  <c r="AC15" i="29"/>
  <c r="AC14" i="29"/>
  <c r="AD14" i="29"/>
  <c r="AD7" i="29"/>
  <c r="AC7" i="29"/>
  <c r="AD13" i="29"/>
  <c r="AD10" i="29"/>
  <c r="AC13" i="29"/>
  <c r="AD8" i="29"/>
  <c r="AD6" i="29"/>
  <c r="AD9" i="29"/>
  <c r="AD5" i="29"/>
  <c r="AC6" i="29"/>
  <c r="AC10" i="29"/>
  <c r="AC5" i="29"/>
  <c r="AC8" i="29"/>
  <c r="AC9" i="29"/>
  <c r="AC11" i="29"/>
  <c r="AD12" i="29"/>
  <c r="AC12" i="29"/>
  <c r="AM44" i="29"/>
  <c r="AM46" i="29"/>
  <c r="AM45" i="29"/>
  <c r="AM42" i="29"/>
  <c r="AM43" i="29"/>
  <c r="AM41" i="29"/>
  <c r="AM40" i="29"/>
  <c r="AM39" i="29"/>
  <c r="AO40" i="29"/>
  <c r="AO39" i="29"/>
  <c r="AO45" i="29"/>
  <c r="AO46" i="29"/>
  <c r="AO47" i="29"/>
  <c r="AO43" i="29"/>
  <c r="AO44" i="29"/>
  <c r="AO42" i="29"/>
  <c r="AO41" i="29"/>
  <c r="AG23" i="26"/>
  <c r="AQ23" i="26"/>
  <c r="AA23" i="26"/>
  <c r="AM42" i="26"/>
  <c r="AM41" i="26"/>
  <c r="AM40" i="26"/>
  <c r="AM39" i="26"/>
  <c r="AM45" i="26"/>
  <c r="AM46" i="26"/>
  <c r="AM43" i="26"/>
  <c r="AM44" i="26"/>
  <c r="Y23" i="26"/>
  <c r="AI23" i="26"/>
  <c r="AO23" i="26"/>
  <c r="AS33" i="26"/>
  <c r="J33" i="26" s="1"/>
  <c r="AS29" i="26"/>
  <c r="J29" i="26" s="1"/>
  <c r="AS31" i="26"/>
  <c r="J31" i="26" s="1"/>
  <c r="AS27" i="26"/>
  <c r="J27" i="26" s="1"/>
  <c r="AS30" i="26"/>
  <c r="J30" i="26" s="1"/>
  <c r="AS28" i="26"/>
  <c r="J28" i="26" s="1"/>
  <c r="AS26" i="26"/>
  <c r="J26" i="26" s="1"/>
  <c r="AS25" i="26"/>
  <c r="AS34" i="26"/>
  <c r="J34" i="26" s="1"/>
  <c r="AS35" i="26"/>
  <c r="J35" i="26" s="1"/>
  <c r="AS32" i="26"/>
  <c r="J32" i="26" s="1"/>
  <c r="AI41" i="26"/>
  <c r="AI40" i="26"/>
  <c r="AI39" i="26"/>
  <c r="AI43" i="26"/>
  <c r="AI42" i="26"/>
  <c r="AI44" i="26"/>
  <c r="AG41" i="26"/>
  <c r="AG40" i="26"/>
  <c r="AG39" i="26"/>
  <c r="AG42" i="26"/>
  <c r="AG43" i="26"/>
  <c r="AE23" i="26"/>
  <c r="AM23" i="26"/>
  <c r="AE41" i="26"/>
  <c r="AE39" i="26"/>
  <c r="AE40" i="26"/>
  <c r="AE42" i="26"/>
  <c r="V37" i="26"/>
  <c r="V49" i="26" s="1"/>
  <c r="Y39" i="26"/>
  <c r="AH18" i="26"/>
  <c r="AI15" i="26"/>
  <c r="AI16" i="26"/>
  <c r="AI10" i="26"/>
  <c r="AJ14" i="26"/>
  <c r="AJ9" i="26"/>
  <c r="AI5" i="26"/>
  <c r="AI8" i="26"/>
  <c r="AJ7" i="26"/>
  <c r="AI9" i="26"/>
  <c r="AI13" i="26"/>
  <c r="AI7" i="26"/>
  <c r="AJ6" i="26"/>
  <c r="AI6" i="26"/>
  <c r="AJ12" i="26"/>
  <c r="AI12" i="26"/>
  <c r="AJ11" i="26"/>
  <c r="AI14" i="26"/>
  <c r="AI11" i="26"/>
  <c r="AJ8" i="26"/>
  <c r="AJ10" i="26"/>
  <c r="AJ5" i="26"/>
  <c r="AJ13" i="26"/>
  <c r="AO42" i="26"/>
  <c r="AO43" i="26"/>
  <c r="AO41" i="26"/>
  <c r="AO40" i="26"/>
  <c r="AO46" i="26"/>
  <c r="AO45" i="26"/>
  <c r="AO44" i="26"/>
  <c r="AO39" i="26"/>
  <c r="AO47" i="26"/>
  <c r="AB18" i="26"/>
  <c r="AC16" i="26"/>
  <c r="AD15" i="26"/>
  <c r="AC15" i="26"/>
  <c r="AC13" i="26"/>
  <c r="AD7" i="26"/>
  <c r="AC14" i="26"/>
  <c r="AD13" i="26"/>
  <c r="AD6" i="26"/>
  <c r="AD14" i="26"/>
  <c r="AD9" i="26"/>
  <c r="AC5" i="26"/>
  <c r="AC8" i="26"/>
  <c r="AC12" i="26"/>
  <c r="AD12" i="26"/>
  <c r="AC11" i="26"/>
  <c r="AC9" i="26"/>
  <c r="AD10" i="26"/>
  <c r="AD11" i="26"/>
  <c r="AC6" i="26"/>
  <c r="AD8" i="26"/>
  <c r="AD5" i="26"/>
  <c r="AC10" i="26"/>
  <c r="AC7" i="26"/>
  <c r="AK23" i="26"/>
  <c r="AC41" i="26"/>
  <c r="AC40" i="26"/>
  <c r="AC39" i="26"/>
  <c r="AK40" i="26"/>
  <c r="AK41" i="26"/>
  <c r="AK45" i="26"/>
  <c r="AK42" i="26"/>
  <c r="AK43" i="26"/>
  <c r="AK44" i="26"/>
  <c r="AK39" i="26"/>
  <c r="AC23" i="26"/>
  <c r="AA40" i="26"/>
  <c r="AA39" i="26"/>
  <c r="AQ42" i="26"/>
  <c r="AQ41" i="26"/>
  <c r="AQ48" i="26"/>
  <c r="AQ46" i="26"/>
  <c r="AQ40" i="26"/>
  <c r="AQ45" i="26"/>
  <c r="AQ39" i="26"/>
  <c r="AQ44" i="26"/>
  <c r="AQ47" i="26"/>
  <c r="AQ43" i="26"/>
  <c r="AE26" i="24"/>
  <c r="AE28" i="24"/>
  <c r="AE27" i="24"/>
  <c r="R37" i="24"/>
  <c r="V39" i="24"/>
  <c r="V45" i="24"/>
  <c r="V46" i="24"/>
  <c r="V44" i="24"/>
  <c r="V47" i="24"/>
  <c r="V48" i="24"/>
  <c r="V43" i="24"/>
  <c r="AK27" i="24"/>
  <c r="AK28" i="24"/>
  <c r="AK31" i="24"/>
  <c r="AK26" i="24"/>
  <c r="AK29" i="24"/>
  <c r="AK25" i="24"/>
  <c r="AK30" i="24"/>
  <c r="AO31" i="24"/>
  <c r="AO30" i="24"/>
  <c r="AO29" i="24"/>
  <c r="AO28" i="24"/>
  <c r="AO32" i="24"/>
  <c r="AO27" i="24"/>
  <c r="AO26" i="24"/>
  <c r="AO25" i="24"/>
  <c r="AO33" i="24"/>
  <c r="AB18" i="24"/>
  <c r="AC16" i="24"/>
  <c r="AD15" i="24"/>
  <c r="AD6" i="24"/>
  <c r="AD14" i="24"/>
  <c r="AD9" i="24"/>
  <c r="AD8" i="24"/>
  <c r="AD10" i="24"/>
  <c r="AD13" i="24"/>
  <c r="AD7" i="24"/>
  <c r="AC15" i="24"/>
  <c r="AC14" i="24"/>
  <c r="AD12" i="24"/>
  <c r="AC8" i="24"/>
  <c r="AC5" i="24"/>
  <c r="AC10" i="24"/>
  <c r="AD11" i="24"/>
  <c r="AC9" i="24"/>
  <c r="AC6" i="24"/>
  <c r="AD5" i="24"/>
  <c r="AC11" i="24"/>
  <c r="AC7" i="24"/>
  <c r="AC13" i="24"/>
  <c r="AC12" i="24"/>
  <c r="AM29" i="24"/>
  <c r="AM28" i="24"/>
  <c r="AM30" i="24"/>
  <c r="AM27" i="24"/>
  <c r="AM25" i="24"/>
  <c r="AM31" i="24"/>
  <c r="AM26" i="24"/>
  <c r="AM32" i="24"/>
  <c r="AC23" i="24"/>
  <c r="AH18" i="24"/>
  <c r="AI15" i="24"/>
  <c r="AI7" i="24"/>
  <c r="AI9" i="24"/>
  <c r="AI6" i="24"/>
  <c r="AJ7" i="24"/>
  <c r="AJ8" i="24"/>
  <c r="AJ9" i="24"/>
  <c r="AI8" i="24"/>
  <c r="AI12" i="24"/>
  <c r="AJ13" i="24"/>
  <c r="AI5" i="24"/>
  <c r="AI11" i="24"/>
  <c r="AI10" i="24"/>
  <c r="AJ6" i="24"/>
  <c r="AI16" i="24"/>
  <c r="AI13" i="24"/>
  <c r="AI14" i="24"/>
  <c r="AJ10" i="24"/>
  <c r="AJ14" i="24"/>
  <c r="AJ12" i="24"/>
  <c r="AJ5" i="24"/>
  <c r="AJ11" i="24"/>
  <c r="AI29" i="24"/>
  <c r="AI30" i="24"/>
  <c r="AI26" i="24"/>
  <c r="AI28" i="24"/>
  <c r="AI25" i="24"/>
  <c r="AI27" i="24"/>
  <c r="Y25" i="24"/>
  <c r="V23" i="24"/>
  <c r="V35" i="24" s="1"/>
  <c r="V22" i="24" s="1"/>
  <c r="V40" i="24"/>
  <c r="AQ30" i="24"/>
  <c r="AQ34" i="24"/>
  <c r="AQ27" i="24"/>
  <c r="AQ29" i="24"/>
  <c r="AQ28" i="24"/>
  <c r="AQ33" i="24"/>
  <c r="AQ26" i="24"/>
  <c r="AQ31" i="24"/>
  <c r="AQ25" i="24"/>
  <c r="AQ32" i="24"/>
  <c r="V41" i="24"/>
  <c r="V42" i="24"/>
  <c r="AG29" i="24"/>
  <c r="AG27" i="24"/>
  <c r="AG28" i="24"/>
  <c r="AG26" i="24"/>
  <c r="AG25" i="24"/>
  <c r="AA23" i="24"/>
  <c r="AC8" i="23"/>
  <c r="AC6" i="23"/>
  <c r="AD9" i="23"/>
  <c r="AC5" i="23"/>
  <c r="AC9" i="23"/>
  <c r="AC40" i="23"/>
  <c r="AA23" i="23"/>
  <c r="AC39" i="23"/>
  <c r="AO44" i="23"/>
  <c r="AO39" i="23"/>
  <c r="AO47" i="23"/>
  <c r="AO41" i="23"/>
  <c r="AO46" i="23"/>
  <c r="AO40" i="23"/>
  <c r="AO42" i="23"/>
  <c r="AO43" i="23"/>
  <c r="AO45" i="23"/>
  <c r="AS31" i="23"/>
  <c r="J31" i="23" s="1"/>
  <c r="AS29" i="23"/>
  <c r="J29" i="23" s="1"/>
  <c r="AS30" i="23"/>
  <c r="J30" i="23" s="1"/>
  <c r="AS28" i="23"/>
  <c r="J28" i="23" s="1"/>
  <c r="AS26" i="23"/>
  <c r="J26" i="23" s="1"/>
  <c r="AS27" i="23"/>
  <c r="J27" i="23" s="1"/>
  <c r="AS35" i="23"/>
  <c r="J35" i="23" s="1"/>
  <c r="AS34" i="23"/>
  <c r="J34" i="23" s="1"/>
  <c r="AS25" i="23"/>
  <c r="J25" i="23" s="1"/>
  <c r="AS32" i="23"/>
  <c r="J32" i="23" s="1"/>
  <c r="AS33" i="23"/>
  <c r="J33" i="23" s="1"/>
  <c r="AM43" i="23"/>
  <c r="AM44" i="23"/>
  <c r="AM40" i="23"/>
  <c r="AM42" i="23"/>
  <c r="AM41" i="23"/>
  <c r="AM45" i="23"/>
  <c r="AM39" i="23"/>
  <c r="AM46" i="23"/>
  <c r="AM23" i="23"/>
  <c r="AC12" i="23"/>
  <c r="AI23" i="23"/>
  <c r="AC23" i="23"/>
  <c r="AK23" i="23"/>
  <c r="AE40" i="23"/>
  <c r="AE42" i="23"/>
  <c r="AE41" i="23"/>
  <c r="AE39" i="23"/>
  <c r="AK45" i="23"/>
  <c r="AK41" i="23"/>
  <c r="AK43" i="23"/>
  <c r="AK44" i="23"/>
  <c r="AK42" i="23"/>
  <c r="AK40" i="23"/>
  <c r="AK39" i="23"/>
  <c r="AB18" i="23"/>
  <c r="AD15" i="23"/>
  <c r="AC16" i="23"/>
  <c r="AC15" i="23"/>
  <c r="AC14" i="23"/>
  <c r="AD14" i="23"/>
  <c r="AD7" i="23"/>
  <c r="AD6" i="23"/>
  <c r="AC13" i="23"/>
  <c r="AD11" i="23"/>
  <c r="AD5" i="23"/>
  <c r="AD13" i="23"/>
  <c r="AD8" i="23"/>
  <c r="AO23" i="23"/>
  <c r="AH18" i="23"/>
  <c r="AI15" i="23"/>
  <c r="AI16" i="23"/>
  <c r="AI14" i="23"/>
  <c r="AI7" i="23"/>
  <c r="AI9" i="23"/>
  <c r="AJ14" i="23"/>
  <c r="AI6" i="23"/>
  <c r="AI5" i="23"/>
  <c r="AJ7" i="23"/>
  <c r="AI13" i="23"/>
  <c r="AI11" i="23"/>
  <c r="AI10" i="23"/>
  <c r="AJ6" i="23"/>
  <c r="AJ5" i="23"/>
  <c r="AJ8" i="23"/>
  <c r="AI8" i="23"/>
  <c r="AI12" i="23"/>
  <c r="AJ13" i="23"/>
  <c r="AJ9" i="23"/>
  <c r="AD10" i="23"/>
  <c r="AQ44" i="23"/>
  <c r="AQ47" i="23"/>
  <c r="AQ43" i="23"/>
  <c r="AQ48" i="23"/>
  <c r="AQ42" i="23"/>
  <c r="AQ41" i="23"/>
  <c r="AQ40" i="23"/>
  <c r="AQ45" i="23"/>
  <c r="AQ46" i="23"/>
  <c r="AQ39" i="23"/>
  <c r="AA39" i="23"/>
  <c r="AA40" i="23"/>
  <c r="V37" i="23"/>
  <c r="V49" i="23" s="1"/>
  <c r="Y39" i="23"/>
  <c r="AJ12" i="23"/>
  <c r="Y23" i="23"/>
  <c r="AE23" i="23"/>
  <c r="AC10" i="23"/>
  <c r="AG23" i="23"/>
  <c r="AI43" i="23"/>
  <c r="AI42" i="23"/>
  <c r="AI44" i="23"/>
  <c r="AI41" i="23"/>
  <c r="AI40" i="23"/>
  <c r="AI39" i="23"/>
  <c r="AG42" i="23"/>
  <c r="AG43" i="23"/>
  <c r="AG41" i="23"/>
  <c r="AG40" i="23"/>
  <c r="AG39" i="23"/>
  <c r="AQ23" i="23"/>
  <c r="AC11" i="23"/>
  <c r="V22" i="23"/>
  <c r="AJ10" i="23"/>
  <c r="AE37" i="10"/>
  <c r="AC37" i="10"/>
  <c r="Y37" i="10"/>
  <c r="AQ37" i="10"/>
  <c r="AM23" i="10"/>
  <c r="AO23" i="10"/>
  <c r="AE23" i="10"/>
  <c r="AK23" i="10"/>
  <c r="AI37" i="10"/>
  <c r="AS46" i="10"/>
  <c r="J46" i="10" s="1"/>
  <c r="AS47" i="10"/>
  <c r="J47" i="10" s="1"/>
  <c r="AS45" i="10"/>
  <c r="J45" i="10" s="1"/>
  <c r="AS39" i="10"/>
  <c r="J39" i="10" s="1"/>
  <c r="AS48" i="10"/>
  <c r="J48" i="10" s="1"/>
  <c r="AS44" i="10"/>
  <c r="J44" i="10" s="1"/>
  <c r="AS49" i="10"/>
  <c r="J49" i="10" s="1"/>
  <c r="AS43" i="10"/>
  <c r="J43" i="10" s="1"/>
  <c r="AS42" i="10"/>
  <c r="J42" i="10" s="1"/>
  <c r="AS40" i="10"/>
  <c r="J40" i="10" s="1"/>
  <c r="AS41" i="10"/>
  <c r="J41" i="10" s="1"/>
  <c r="AM37" i="10"/>
  <c r="AQ23" i="10"/>
  <c r="AH18" i="10"/>
  <c r="AI15" i="10"/>
  <c r="AI16" i="10"/>
  <c r="AI14" i="10"/>
  <c r="AJ14" i="10"/>
  <c r="AI5" i="10"/>
  <c r="AJ13" i="10"/>
  <c r="AJ9" i="10"/>
  <c r="AI6" i="10"/>
  <c r="AJ10" i="10"/>
  <c r="AI13" i="10"/>
  <c r="AI7" i="10"/>
  <c r="AJ11" i="10"/>
  <c r="AI11" i="10"/>
  <c r="AI10" i="10"/>
  <c r="AJ6" i="10"/>
  <c r="AI9" i="10"/>
  <c r="AJ12" i="10"/>
  <c r="AI8" i="10"/>
  <c r="AJ7" i="10"/>
  <c r="AI12" i="10"/>
  <c r="AJ8" i="10"/>
  <c r="AJ5" i="10"/>
  <c r="Y23" i="10"/>
  <c r="AO37" i="10"/>
  <c r="AG23" i="10"/>
  <c r="AB18" i="10"/>
  <c r="AD15" i="10"/>
  <c r="AC16" i="10"/>
  <c r="AC14" i="10"/>
  <c r="AD14" i="10"/>
  <c r="AC15" i="10"/>
  <c r="AD13" i="10"/>
  <c r="AD6" i="10"/>
  <c r="AC13" i="10"/>
  <c r="AC9" i="10"/>
  <c r="AD7" i="10"/>
  <c r="AC7" i="10"/>
  <c r="AD8" i="10"/>
  <c r="AC10" i="10"/>
  <c r="AD10" i="10"/>
  <c r="AC6" i="10"/>
  <c r="AD11" i="10"/>
  <c r="AC12" i="10"/>
  <c r="AD9" i="10"/>
  <c r="AD5" i="10"/>
  <c r="AC8" i="10"/>
  <c r="AC5" i="10"/>
  <c r="AC11" i="10"/>
  <c r="AD12" i="10"/>
  <c r="AG37" i="10"/>
  <c r="AK37" i="10"/>
  <c r="AI23" i="10"/>
  <c r="AC23" i="10"/>
  <c r="AS35" i="10"/>
  <c r="J35" i="10" s="1"/>
  <c r="AS33" i="10"/>
  <c r="J33" i="10" s="1"/>
  <c r="AS29" i="10"/>
  <c r="J29" i="10" s="1"/>
  <c r="AS30" i="10"/>
  <c r="J30" i="10" s="1"/>
  <c r="AS34" i="10"/>
  <c r="J34" i="10" s="1"/>
  <c r="AS25" i="10"/>
  <c r="AS26" i="10"/>
  <c r="J26" i="10" s="1"/>
  <c r="AS27" i="10"/>
  <c r="J27" i="10" s="1"/>
  <c r="AS32" i="10"/>
  <c r="J32" i="10" s="1"/>
  <c r="AS28" i="10"/>
  <c r="J28" i="10" s="1"/>
  <c r="AS31" i="10"/>
  <c r="J31" i="10" s="1"/>
  <c r="AI18" i="30" l="1"/>
  <c r="L40" i="30" s="1"/>
  <c r="AJ18" i="30"/>
  <c r="L41" i="30" s="1"/>
  <c r="AC18" i="30"/>
  <c r="L26" i="30" s="1"/>
  <c r="AD18" i="30"/>
  <c r="L27" i="30" s="1"/>
  <c r="L39" i="30"/>
  <c r="AS23" i="30"/>
  <c r="AS22" i="30" s="1"/>
  <c r="AS37" i="30"/>
  <c r="AS36" i="30" s="1"/>
  <c r="J39" i="30"/>
  <c r="J37" i="30" s="1"/>
  <c r="J25" i="30"/>
  <c r="J23" i="30" s="1"/>
  <c r="L25" i="30"/>
  <c r="AE37" i="29"/>
  <c r="AC18" i="29"/>
  <c r="L26" i="29" s="1"/>
  <c r="AD18" i="29"/>
  <c r="L27" i="29" s="1"/>
  <c r="AJ18" i="29"/>
  <c r="L41" i="29" s="1"/>
  <c r="AI18" i="29"/>
  <c r="L40" i="29" s="1"/>
  <c r="J23" i="29"/>
  <c r="AO37" i="29"/>
  <c r="AK37" i="29"/>
  <c r="AM37" i="29"/>
  <c r="L25" i="29"/>
  <c r="AI37" i="29"/>
  <c r="AG37" i="29"/>
  <c r="Y37" i="29"/>
  <c r="AQ37" i="29"/>
  <c r="AS40" i="29"/>
  <c r="J40" i="29" s="1"/>
  <c r="AS42" i="29"/>
  <c r="J42" i="29" s="1"/>
  <c r="AS45" i="29"/>
  <c r="J45" i="29" s="1"/>
  <c r="AS47" i="29"/>
  <c r="J47" i="29" s="1"/>
  <c r="AS46" i="29"/>
  <c r="J46" i="29" s="1"/>
  <c r="AS49" i="29"/>
  <c r="J49" i="29" s="1"/>
  <c r="AS44" i="29"/>
  <c r="J44" i="29" s="1"/>
  <c r="AS43" i="29"/>
  <c r="J43" i="29" s="1"/>
  <c r="AS41" i="29"/>
  <c r="J41" i="29" s="1"/>
  <c r="AS48" i="29"/>
  <c r="J48" i="29" s="1"/>
  <c r="AS39" i="29"/>
  <c r="J39" i="29" s="1"/>
  <c r="L39" i="29"/>
  <c r="V36" i="29"/>
  <c r="AS23" i="29"/>
  <c r="AS22" i="29" s="1"/>
  <c r="AC37" i="29"/>
  <c r="AC37" i="26"/>
  <c r="AI18" i="26"/>
  <c r="L40" i="26" s="1"/>
  <c r="AJ18" i="26"/>
  <c r="L41" i="26" s="1"/>
  <c r="AS23" i="26"/>
  <c r="AS22" i="26" s="1"/>
  <c r="AC18" i="26"/>
  <c r="L26" i="26" s="1"/>
  <c r="AQ37" i="26"/>
  <c r="AD18" i="26"/>
  <c r="L27" i="26" s="1"/>
  <c r="AE37" i="26"/>
  <c r="AG37" i="26"/>
  <c r="L25" i="26"/>
  <c r="L39" i="26"/>
  <c r="AI37" i="26"/>
  <c r="AM37" i="26"/>
  <c r="AA37" i="26"/>
  <c r="AO37" i="26"/>
  <c r="Y37" i="26"/>
  <c r="AS42" i="26"/>
  <c r="J42" i="26" s="1"/>
  <c r="AS43" i="26"/>
  <c r="J43" i="26" s="1"/>
  <c r="AS48" i="26"/>
  <c r="J48" i="26" s="1"/>
  <c r="AS41" i="26"/>
  <c r="J41" i="26" s="1"/>
  <c r="AS40" i="26"/>
  <c r="J40" i="26" s="1"/>
  <c r="AS46" i="26"/>
  <c r="J46" i="26" s="1"/>
  <c r="AS47" i="26"/>
  <c r="J47" i="26" s="1"/>
  <c r="AS39" i="26"/>
  <c r="AS44" i="26"/>
  <c r="J44" i="26" s="1"/>
  <c r="AS49" i="26"/>
  <c r="J49" i="26" s="1"/>
  <c r="AS45" i="26"/>
  <c r="J45" i="26" s="1"/>
  <c r="V36" i="26"/>
  <c r="J25" i="26"/>
  <c r="J23" i="26" s="1"/>
  <c r="AK37" i="26"/>
  <c r="AD18" i="24"/>
  <c r="L27" i="24" s="1"/>
  <c r="AC18" i="24"/>
  <c r="L26" i="24" s="1"/>
  <c r="AE23" i="24"/>
  <c r="AJ18" i="24"/>
  <c r="L41" i="24" s="1"/>
  <c r="AI18" i="24"/>
  <c r="L40" i="24" s="1"/>
  <c r="AK23" i="24"/>
  <c r="Y23" i="24"/>
  <c r="L39" i="24"/>
  <c r="AO42" i="24"/>
  <c r="AO43" i="24"/>
  <c r="AO40" i="24"/>
  <c r="AO46" i="24"/>
  <c r="AO41" i="24"/>
  <c r="AO47" i="24"/>
  <c r="AO45" i="24"/>
  <c r="AO44" i="24"/>
  <c r="AO39" i="24"/>
  <c r="AI42" i="24"/>
  <c r="AI44" i="24"/>
  <c r="AI41" i="24"/>
  <c r="AI40" i="24"/>
  <c r="AI39" i="24"/>
  <c r="AI43" i="24"/>
  <c r="AE42" i="24"/>
  <c r="AE41" i="24"/>
  <c r="AE39" i="24"/>
  <c r="AE40" i="24"/>
  <c r="AC40" i="24"/>
  <c r="AC41" i="24"/>
  <c r="AC39" i="24"/>
  <c r="AI23" i="24"/>
  <c r="L25" i="24"/>
  <c r="AM42" i="24"/>
  <c r="AM39" i="24"/>
  <c r="AM41" i="24"/>
  <c r="AM43" i="24"/>
  <c r="AM44" i="24"/>
  <c r="AM40" i="24"/>
  <c r="AM45" i="24"/>
  <c r="AM46" i="24"/>
  <c r="AK44" i="24"/>
  <c r="AK39" i="24"/>
  <c r="AK42" i="24"/>
  <c r="AK43" i="24"/>
  <c r="AK40" i="24"/>
  <c r="AK41" i="24"/>
  <c r="AK45" i="24"/>
  <c r="AG23" i="24"/>
  <c r="AQ23" i="24"/>
  <c r="AO23" i="24"/>
  <c r="V37" i="24"/>
  <c r="V49" i="24" s="1"/>
  <c r="V36" i="24" s="1"/>
  <c r="Y39" i="24"/>
  <c r="AM23" i="24"/>
  <c r="AG42" i="24"/>
  <c r="AG43" i="24"/>
  <c r="AG41" i="24"/>
  <c r="AG40" i="24"/>
  <c r="AG39" i="24"/>
  <c r="AA39" i="24"/>
  <c r="AA40" i="24"/>
  <c r="AS31" i="24"/>
  <c r="J31" i="24" s="1"/>
  <c r="AS33" i="24"/>
  <c r="J33" i="24" s="1"/>
  <c r="AS29" i="24"/>
  <c r="J29" i="24" s="1"/>
  <c r="AS28" i="24"/>
  <c r="J28" i="24" s="1"/>
  <c r="AS27" i="24"/>
  <c r="J27" i="24" s="1"/>
  <c r="AS30" i="24"/>
  <c r="J30" i="24" s="1"/>
  <c r="AS32" i="24"/>
  <c r="J32" i="24" s="1"/>
  <c r="AS34" i="24"/>
  <c r="J34" i="24" s="1"/>
  <c r="AS35" i="24"/>
  <c r="J35" i="24" s="1"/>
  <c r="AS25" i="24"/>
  <c r="AS26" i="24"/>
  <c r="J26" i="24" s="1"/>
  <c r="AQ43" i="24"/>
  <c r="AQ40" i="24"/>
  <c r="AQ47" i="24"/>
  <c r="AQ42" i="24"/>
  <c r="AQ41" i="24"/>
  <c r="AQ48" i="24"/>
  <c r="AQ46" i="24"/>
  <c r="AQ45" i="24"/>
  <c r="AQ39" i="24"/>
  <c r="AQ44" i="24"/>
  <c r="AC18" i="23"/>
  <c r="L26" i="23" s="1"/>
  <c r="AC37" i="23"/>
  <c r="AI18" i="23"/>
  <c r="L40" i="23" s="1"/>
  <c r="AD18" i="23"/>
  <c r="L27" i="23" s="1"/>
  <c r="AJ18" i="23"/>
  <c r="L41" i="23" s="1"/>
  <c r="AE37" i="23"/>
  <c r="AI37" i="23"/>
  <c r="Y37" i="23"/>
  <c r="AS44" i="23"/>
  <c r="J44" i="23" s="1"/>
  <c r="AS49" i="23"/>
  <c r="J49" i="23" s="1"/>
  <c r="AS48" i="23"/>
  <c r="J48" i="23" s="1"/>
  <c r="AS39" i="23"/>
  <c r="J39" i="23" s="1"/>
  <c r="AS45" i="23"/>
  <c r="J45" i="23" s="1"/>
  <c r="AS42" i="23"/>
  <c r="J42" i="23" s="1"/>
  <c r="AS43" i="23"/>
  <c r="J43" i="23" s="1"/>
  <c r="AS41" i="23"/>
  <c r="J41" i="23" s="1"/>
  <c r="AS40" i="23"/>
  <c r="J40" i="23" s="1"/>
  <c r="AS47" i="23"/>
  <c r="J47" i="23" s="1"/>
  <c r="AS46" i="23"/>
  <c r="J46" i="23" s="1"/>
  <c r="J23" i="23"/>
  <c r="AG37" i="23"/>
  <c r="V36" i="23"/>
  <c r="L25" i="23"/>
  <c r="AK37" i="23"/>
  <c r="AM37" i="23"/>
  <c r="L39" i="23"/>
  <c r="AS23" i="23"/>
  <c r="AS22" i="23" s="1"/>
  <c r="AA37" i="23"/>
  <c r="AO37" i="23"/>
  <c r="AQ37" i="23"/>
  <c r="AC18" i="10"/>
  <c r="L26" i="10" s="1"/>
  <c r="AI18" i="10"/>
  <c r="L40" i="10" s="1"/>
  <c r="AJ18" i="10"/>
  <c r="L41" i="10" s="1"/>
  <c r="AD18" i="10"/>
  <c r="L27" i="10" s="1"/>
  <c r="L39" i="10"/>
  <c r="AS23" i="10"/>
  <c r="AS22" i="10" s="1"/>
  <c r="J25" i="10"/>
  <c r="J23" i="10" s="1"/>
  <c r="L25" i="10"/>
  <c r="J37" i="10"/>
  <c r="AS37" i="10"/>
  <c r="AS36" i="10" s="1"/>
  <c r="AE18" i="30" l="1"/>
  <c r="L28" i="30" s="1"/>
  <c r="H33" i="30" s="1"/>
  <c r="AK18" i="30"/>
  <c r="L42" i="30" s="1"/>
  <c r="H45" i="30" s="1"/>
  <c r="H41" i="30"/>
  <c r="H40" i="30"/>
  <c r="H39" i="30"/>
  <c r="H26" i="30"/>
  <c r="H27" i="30"/>
  <c r="H25" i="30"/>
  <c r="AE18" i="29"/>
  <c r="L28" i="29" s="1"/>
  <c r="H30" i="29" s="1"/>
  <c r="AK18" i="29"/>
  <c r="L42" i="29" s="1"/>
  <c r="H43" i="29" s="1"/>
  <c r="H40" i="29"/>
  <c r="H39" i="29"/>
  <c r="H41" i="29"/>
  <c r="AS37" i="29"/>
  <c r="AS36" i="29" s="1"/>
  <c r="H26" i="29"/>
  <c r="H25" i="29"/>
  <c r="H27" i="29"/>
  <c r="J37" i="29"/>
  <c r="AE18" i="26"/>
  <c r="L28" i="26" s="1"/>
  <c r="H35" i="26" s="1"/>
  <c r="AK18" i="26"/>
  <c r="L42" i="26" s="1"/>
  <c r="H44" i="26" s="1"/>
  <c r="AS37" i="26"/>
  <c r="AS36" i="26" s="1"/>
  <c r="J39" i="26"/>
  <c r="J37" i="26" s="1"/>
  <c r="H26" i="26"/>
  <c r="H27" i="26"/>
  <c r="H25" i="26"/>
  <c r="AE18" i="24"/>
  <c r="L28" i="24" s="1"/>
  <c r="H30" i="24" s="1"/>
  <c r="AK18" i="24"/>
  <c r="L42" i="24" s="1"/>
  <c r="L37" i="24" s="1"/>
  <c r="AC37" i="24"/>
  <c r="AE37" i="24"/>
  <c r="Y37" i="24"/>
  <c r="AK37" i="24"/>
  <c r="AI37" i="24"/>
  <c r="AQ37" i="24"/>
  <c r="AS23" i="24"/>
  <c r="AS22" i="24" s="1"/>
  <c r="AM37" i="24"/>
  <c r="J25" i="24"/>
  <c r="J23" i="24" s="1"/>
  <c r="AA37" i="24"/>
  <c r="AO37" i="24"/>
  <c r="AG37" i="24"/>
  <c r="AS45" i="24"/>
  <c r="J45" i="24" s="1"/>
  <c r="AS42" i="24"/>
  <c r="J42" i="24" s="1"/>
  <c r="AS43" i="24"/>
  <c r="J43" i="24" s="1"/>
  <c r="AS48" i="24"/>
  <c r="J48" i="24" s="1"/>
  <c r="AS41" i="24"/>
  <c r="J41" i="24" s="1"/>
  <c r="AS40" i="24"/>
  <c r="J40" i="24" s="1"/>
  <c r="AS46" i="24"/>
  <c r="J46" i="24" s="1"/>
  <c r="AS47" i="24"/>
  <c r="J47" i="24" s="1"/>
  <c r="AS49" i="24"/>
  <c r="J49" i="24" s="1"/>
  <c r="AS39" i="24"/>
  <c r="J39" i="24" s="1"/>
  <c r="AS44" i="24"/>
  <c r="J44" i="24" s="1"/>
  <c r="AE18" i="23"/>
  <c r="L28" i="23" s="1"/>
  <c r="H35" i="23" s="1"/>
  <c r="AK18" i="23"/>
  <c r="L42" i="23" s="1"/>
  <c r="H43" i="23" s="1"/>
  <c r="J37" i="23"/>
  <c r="H41" i="23"/>
  <c r="H40" i="23"/>
  <c r="H39" i="23"/>
  <c r="AS37" i="23"/>
  <c r="AS36" i="23" s="1"/>
  <c r="H26" i="23"/>
  <c r="H27" i="23"/>
  <c r="H25" i="23"/>
  <c r="AE18" i="10"/>
  <c r="L28" i="10" s="1"/>
  <c r="L23" i="10" s="1"/>
  <c r="AK18" i="10"/>
  <c r="L42" i="10" s="1"/>
  <c r="H49" i="10" s="1"/>
  <c r="H41" i="10"/>
  <c r="H39" i="10"/>
  <c r="H40" i="10"/>
  <c r="H26" i="10"/>
  <c r="H27" i="10"/>
  <c r="H25" i="10"/>
  <c r="H28" i="30" l="1"/>
  <c r="BS9" i="30" s="1"/>
  <c r="H31" i="30"/>
  <c r="BK49" i="30" s="1"/>
  <c r="BS33" i="30"/>
  <c r="H30" i="30"/>
  <c r="BS15" i="30" s="1"/>
  <c r="H29" i="30"/>
  <c r="BK39" i="30" s="1"/>
  <c r="H34" i="30"/>
  <c r="BS39" i="30" s="1"/>
  <c r="H35" i="30"/>
  <c r="L23" i="30"/>
  <c r="H32" i="30"/>
  <c r="BS24" i="30" s="1"/>
  <c r="L37" i="30"/>
  <c r="H43" i="30"/>
  <c r="H44" i="30"/>
  <c r="BK17" i="30" s="1"/>
  <c r="H49" i="30"/>
  <c r="BK13" i="30" s="1"/>
  <c r="H48" i="30"/>
  <c r="BS37" i="30"/>
  <c r="H47" i="30"/>
  <c r="BK11" i="30" s="1"/>
  <c r="H42" i="30"/>
  <c r="BK15" i="30" s="1"/>
  <c r="H46" i="30"/>
  <c r="BK9" i="30"/>
  <c r="BO4" i="30"/>
  <c r="BK4" i="30"/>
  <c r="BK5" i="30"/>
  <c r="BS31" i="30"/>
  <c r="BK26" i="30"/>
  <c r="BS6" i="30"/>
  <c r="BS5" i="30"/>
  <c r="BO6" i="30"/>
  <c r="BS32" i="30"/>
  <c r="BK18" i="30"/>
  <c r="BK14" i="30"/>
  <c r="BS4" i="30"/>
  <c r="BO5" i="30"/>
  <c r="H48" i="29"/>
  <c r="H45" i="29"/>
  <c r="BK18" i="29" s="1"/>
  <c r="H46" i="29"/>
  <c r="BK45" i="29" s="1"/>
  <c r="H33" i="29"/>
  <c r="BS32" i="29" s="1"/>
  <c r="H29" i="29"/>
  <c r="H35" i="29"/>
  <c r="H34" i="29"/>
  <c r="BS40" i="29" s="1"/>
  <c r="H32" i="29"/>
  <c r="BS15" i="29"/>
  <c r="H28" i="29"/>
  <c r="BS8" i="29" s="1"/>
  <c r="H31" i="29"/>
  <c r="BS19" i="29" s="1"/>
  <c r="BS16" i="29"/>
  <c r="BS18" i="29"/>
  <c r="L23" i="29"/>
  <c r="H49" i="29"/>
  <c r="BK48" i="29" s="1"/>
  <c r="H42" i="29"/>
  <c r="BS17" i="29" s="1"/>
  <c r="L37" i="29"/>
  <c r="H44" i="29"/>
  <c r="BO9" i="29" s="1"/>
  <c r="H47" i="29"/>
  <c r="BK46" i="29" s="1"/>
  <c r="BK24" i="29"/>
  <c r="BS6" i="29"/>
  <c r="BO6" i="29"/>
  <c r="BS5" i="29"/>
  <c r="BK16" i="29"/>
  <c r="BO5" i="29"/>
  <c r="BK14" i="29"/>
  <c r="BS4" i="29"/>
  <c r="BS31" i="29"/>
  <c r="BK4" i="29"/>
  <c r="BK5" i="29"/>
  <c r="BK7" i="29"/>
  <c r="BO4" i="29"/>
  <c r="BS14" i="29"/>
  <c r="H43" i="26"/>
  <c r="BK24" i="26" s="1"/>
  <c r="H29" i="26"/>
  <c r="BK38" i="26" s="1"/>
  <c r="H33" i="26"/>
  <c r="BS36" i="26" s="1"/>
  <c r="H31" i="26"/>
  <c r="BS23" i="26" s="1"/>
  <c r="H32" i="26"/>
  <c r="BS29" i="26" s="1"/>
  <c r="H30" i="26"/>
  <c r="L23" i="26"/>
  <c r="H34" i="26"/>
  <c r="H28" i="26"/>
  <c r="BK32" i="26" s="1"/>
  <c r="H49" i="26"/>
  <c r="BO14" i="26" s="1"/>
  <c r="H48" i="26"/>
  <c r="BK29" i="26" s="1"/>
  <c r="H47" i="26"/>
  <c r="BK28" i="26" s="1"/>
  <c r="L37" i="26"/>
  <c r="H41" i="26"/>
  <c r="H45" i="26"/>
  <c r="H46" i="26"/>
  <c r="H42" i="26"/>
  <c r="BK25" i="26"/>
  <c r="BK17" i="26"/>
  <c r="H39" i="26"/>
  <c r="BK8" i="26"/>
  <c r="H40" i="26"/>
  <c r="H31" i="24"/>
  <c r="H29" i="24"/>
  <c r="H34" i="24"/>
  <c r="H33" i="24"/>
  <c r="L23" i="24"/>
  <c r="H32" i="24"/>
  <c r="H35" i="24"/>
  <c r="H42" i="24"/>
  <c r="H27" i="24"/>
  <c r="H26" i="24"/>
  <c r="H44" i="24"/>
  <c r="H43" i="24"/>
  <c r="H45" i="24"/>
  <c r="H41" i="24"/>
  <c r="J37" i="24"/>
  <c r="H39" i="24"/>
  <c r="BS14" i="24" s="1"/>
  <c r="H40" i="24"/>
  <c r="H48" i="24"/>
  <c r="H47" i="24"/>
  <c r="H49" i="24"/>
  <c r="AS37" i="24"/>
  <c r="AS36" i="24" s="1"/>
  <c r="H46" i="24"/>
  <c r="H25" i="24"/>
  <c r="H28" i="24"/>
  <c r="H47" i="23"/>
  <c r="L37" i="23"/>
  <c r="H44" i="23"/>
  <c r="BK17" i="23" s="1"/>
  <c r="H49" i="23"/>
  <c r="BO14" i="23" s="1"/>
  <c r="H45" i="23"/>
  <c r="BK26" i="23" s="1"/>
  <c r="H46" i="23"/>
  <c r="BK10" i="23" s="1"/>
  <c r="H48" i="23"/>
  <c r="BK21" i="23" s="1"/>
  <c r="H42" i="23"/>
  <c r="BK23" i="23" s="1"/>
  <c r="H29" i="23"/>
  <c r="H31" i="23"/>
  <c r="H28" i="23"/>
  <c r="L23" i="23"/>
  <c r="H32" i="23"/>
  <c r="BS24" i="23" s="1"/>
  <c r="H34" i="23"/>
  <c r="H30" i="23"/>
  <c r="BS16" i="23" s="1"/>
  <c r="H33" i="23"/>
  <c r="BS31" i="23" s="1"/>
  <c r="BK14" i="23"/>
  <c r="BK16" i="23"/>
  <c r="BO5" i="23"/>
  <c r="BS4" i="23"/>
  <c r="BK4" i="23"/>
  <c r="BK7" i="23"/>
  <c r="BK5" i="23"/>
  <c r="BO4" i="23"/>
  <c r="BK24" i="23"/>
  <c r="BS5" i="23"/>
  <c r="BS6" i="23"/>
  <c r="BO6" i="23"/>
  <c r="H42" i="10"/>
  <c r="BK15" i="10" s="1"/>
  <c r="H48" i="10"/>
  <c r="BK12" i="10" s="1"/>
  <c r="H47" i="10"/>
  <c r="BK20" i="10" s="1"/>
  <c r="L37" i="10"/>
  <c r="H44" i="10"/>
  <c r="BK8" i="10" s="1"/>
  <c r="H43" i="10"/>
  <c r="BK24" i="10" s="1"/>
  <c r="H45" i="10"/>
  <c r="BK26" i="10" s="1"/>
  <c r="H30" i="10"/>
  <c r="BS16" i="10" s="1"/>
  <c r="H32" i="10"/>
  <c r="H34" i="10"/>
  <c r="BS41" i="10" s="1"/>
  <c r="H29" i="10"/>
  <c r="H35" i="10"/>
  <c r="BO14" i="10" s="1"/>
  <c r="H33" i="10"/>
  <c r="H31" i="10"/>
  <c r="BK49" i="10" s="1"/>
  <c r="H28" i="10"/>
  <c r="BS9" i="10" s="1"/>
  <c r="H46" i="10"/>
  <c r="BS6" i="10"/>
  <c r="BS5" i="10"/>
  <c r="BK30" i="10"/>
  <c r="BO6" i="10"/>
  <c r="BK14" i="10"/>
  <c r="BS4" i="10"/>
  <c r="BO5" i="10"/>
  <c r="BK22" i="10"/>
  <c r="BK13" i="10"/>
  <c r="BO4" i="10"/>
  <c r="BK4" i="10"/>
  <c r="BK5" i="10"/>
  <c r="BK8" i="30" l="1"/>
  <c r="BK47" i="30"/>
  <c r="BS16" i="30"/>
  <c r="BK33" i="30"/>
  <c r="BS14" i="30"/>
  <c r="BS7" i="30"/>
  <c r="BS10" i="30"/>
  <c r="BK44" i="30"/>
  <c r="BS8" i="30"/>
  <c r="BK59" i="30"/>
  <c r="BK37" i="30"/>
  <c r="BS12" i="30"/>
  <c r="BS11" i="30"/>
  <c r="BK50" i="30"/>
  <c r="BO10" i="30"/>
  <c r="BK22" i="30"/>
  <c r="BS41" i="30"/>
  <c r="BK43" i="30"/>
  <c r="BS19" i="30"/>
  <c r="BS40" i="30"/>
  <c r="BS20" i="30"/>
  <c r="BS46" i="30"/>
  <c r="BK21" i="30"/>
  <c r="BK27" i="30"/>
  <c r="BK10" i="30"/>
  <c r="BK19" i="30"/>
  <c r="BS45" i="30"/>
  <c r="BS23" i="30"/>
  <c r="BK45" i="30"/>
  <c r="BK34" i="30"/>
  <c r="BO8" i="30"/>
  <c r="BK7" i="30"/>
  <c r="BK42" i="30"/>
  <c r="BK31" i="30"/>
  <c r="BK36" i="30"/>
  <c r="BK30" i="30"/>
  <c r="BK28" i="30"/>
  <c r="BS25" i="30"/>
  <c r="BS26" i="30"/>
  <c r="H23" i="30"/>
  <c r="BS30" i="30"/>
  <c r="BK12" i="30"/>
  <c r="BO11" i="30"/>
  <c r="BS42" i="30"/>
  <c r="BK23" i="30"/>
  <c r="BO9" i="30"/>
  <c r="BS27" i="30"/>
  <c r="BS17" i="30"/>
  <c r="BK38" i="30"/>
  <c r="BK20" i="30"/>
  <c r="BK32" i="30"/>
  <c r="BS44" i="30"/>
  <c r="BK25" i="30"/>
  <c r="BS13" i="30"/>
  <c r="BK51" i="30"/>
  <c r="BK41" i="30"/>
  <c r="BK35" i="30"/>
  <c r="BK46" i="30"/>
  <c r="BS47" i="30"/>
  <c r="BS38" i="30"/>
  <c r="BK57" i="30"/>
  <c r="BK55" i="30"/>
  <c r="BK52" i="30"/>
  <c r="BS43" i="30"/>
  <c r="BS18" i="30"/>
  <c r="BS22" i="30"/>
  <c r="BK58" i="30"/>
  <c r="BK56" i="30"/>
  <c r="BO14" i="30"/>
  <c r="BK53" i="30"/>
  <c r="BK24" i="30"/>
  <c r="BS34" i="30"/>
  <c r="BS21" i="30"/>
  <c r="BS29" i="30"/>
  <c r="BS36" i="30"/>
  <c r="BS35" i="30"/>
  <c r="BS28" i="30"/>
  <c r="BO12" i="30"/>
  <c r="BK54" i="30"/>
  <c r="H37" i="30"/>
  <c r="BO7" i="30"/>
  <c r="BO13" i="30"/>
  <c r="BK16" i="30"/>
  <c r="BK29" i="30"/>
  <c r="BK6" i="30"/>
  <c r="BK48" i="30"/>
  <c r="BK40" i="30"/>
  <c r="BO11" i="29"/>
  <c r="BK9" i="29"/>
  <c r="BS38" i="29"/>
  <c r="BK10" i="29"/>
  <c r="BS43" i="29"/>
  <c r="BS45" i="29"/>
  <c r="BK44" i="29"/>
  <c r="BS37" i="29"/>
  <c r="BS33" i="29"/>
  <c r="BK19" i="29"/>
  <c r="BK26" i="29"/>
  <c r="BS35" i="29"/>
  <c r="BS46" i="29"/>
  <c r="BK57" i="29"/>
  <c r="BK29" i="29"/>
  <c r="BS26" i="29"/>
  <c r="BK21" i="29"/>
  <c r="BK39" i="29"/>
  <c r="BK55" i="29"/>
  <c r="BO13" i="29"/>
  <c r="BK47" i="29"/>
  <c r="BK12" i="29"/>
  <c r="BS28" i="29"/>
  <c r="BS24" i="29"/>
  <c r="BK40" i="29"/>
  <c r="BK27" i="29"/>
  <c r="BK42" i="29"/>
  <c r="BS30" i="29"/>
  <c r="BK13" i="29"/>
  <c r="BK56" i="29"/>
  <c r="BS9" i="29"/>
  <c r="BS41" i="29"/>
  <c r="BK33" i="29"/>
  <c r="BK15" i="29"/>
  <c r="BS20" i="29"/>
  <c r="BS25" i="29"/>
  <c r="BS39" i="29"/>
  <c r="BO10" i="29"/>
  <c r="BO8" i="29"/>
  <c r="BS7" i="29"/>
  <c r="BS22" i="29"/>
  <c r="BS10" i="29"/>
  <c r="BK31" i="29"/>
  <c r="BK49" i="29"/>
  <c r="BS11" i="29"/>
  <c r="BK34" i="29"/>
  <c r="BK53" i="29"/>
  <c r="BK52" i="29"/>
  <c r="BS12" i="29"/>
  <c r="BK36" i="29"/>
  <c r="BK50" i="29"/>
  <c r="H23" i="29"/>
  <c r="BS34" i="29"/>
  <c r="BS44" i="29"/>
  <c r="BS13" i="29"/>
  <c r="BK59" i="29"/>
  <c r="BK25" i="29"/>
  <c r="BS36" i="29"/>
  <c r="BK8" i="29"/>
  <c r="BK38" i="29"/>
  <c r="BS21" i="29"/>
  <c r="BK30" i="29"/>
  <c r="BS42" i="29"/>
  <c r="BS29" i="29"/>
  <c r="BK6" i="29"/>
  <c r="BK32" i="29"/>
  <c r="BK37" i="29"/>
  <c r="BK22" i="29"/>
  <c r="BK23" i="29"/>
  <c r="BO14" i="29"/>
  <c r="BK17" i="29"/>
  <c r="BS23" i="29"/>
  <c r="BS27" i="29"/>
  <c r="BK58" i="29"/>
  <c r="BK43" i="29"/>
  <c r="BO7" i="29"/>
  <c r="BK54" i="29"/>
  <c r="BK51" i="29"/>
  <c r="H37" i="29"/>
  <c r="BK41" i="29"/>
  <c r="BS47" i="29"/>
  <c r="BK11" i="29"/>
  <c r="BK28" i="29"/>
  <c r="BK35" i="29"/>
  <c r="BO12" i="29"/>
  <c r="BK20" i="29"/>
  <c r="BS19" i="26"/>
  <c r="BS18" i="26"/>
  <c r="BK7" i="26"/>
  <c r="BK16" i="26"/>
  <c r="BK12" i="26"/>
  <c r="BK21" i="26"/>
  <c r="BK13" i="26"/>
  <c r="BK52" i="26"/>
  <c r="BS41" i="26"/>
  <c r="BS20" i="26"/>
  <c r="BK20" i="26"/>
  <c r="BS22" i="26"/>
  <c r="BK11" i="26"/>
  <c r="BS31" i="26"/>
  <c r="BK55" i="26"/>
  <c r="BS28" i="26"/>
  <c r="BO13" i="26"/>
  <c r="BS44" i="26"/>
  <c r="BK51" i="26"/>
  <c r="BO9" i="26"/>
  <c r="BO12" i="26"/>
  <c r="BK31" i="26"/>
  <c r="BK37" i="26"/>
  <c r="BS47" i="26"/>
  <c r="BS35" i="26"/>
  <c r="BS43" i="26"/>
  <c r="BS34" i="26"/>
  <c r="H23" i="26"/>
  <c r="BK57" i="26"/>
  <c r="BK48" i="26"/>
  <c r="BK47" i="26"/>
  <c r="BK39" i="26"/>
  <c r="BS9" i="26"/>
  <c r="BS12" i="26"/>
  <c r="BO8" i="26"/>
  <c r="BK36" i="26"/>
  <c r="BK35" i="26"/>
  <c r="BK34" i="26"/>
  <c r="BK42" i="26"/>
  <c r="BK5" i="26"/>
  <c r="BK54" i="26"/>
  <c r="BK9" i="26"/>
  <c r="BK44" i="26"/>
  <c r="BS37" i="26"/>
  <c r="BS30" i="26"/>
  <c r="BK22" i="26"/>
  <c r="BK30" i="26"/>
  <c r="BS33" i="26"/>
  <c r="BS45" i="26"/>
  <c r="BK26" i="26"/>
  <c r="BS26" i="26"/>
  <c r="BK53" i="26"/>
  <c r="BK59" i="26"/>
  <c r="BK58" i="26"/>
  <c r="BO6" i="26"/>
  <c r="BK41" i="26"/>
  <c r="BK56" i="26"/>
  <c r="BK43" i="26"/>
  <c r="BK18" i="26"/>
  <c r="BO10" i="26"/>
  <c r="BK33" i="26"/>
  <c r="BS16" i="26"/>
  <c r="BK49" i="26"/>
  <c r="BS42" i="26"/>
  <c r="BK14" i="26"/>
  <c r="BK46" i="26"/>
  <c r="BO4" i="26"/>
  <c r="BK50" i="26"/>
  <c r="BS6" i="26"/>
  <c r="BS46" i="26"/>
  <c r="BS15" i="26"/>
  <c r="BK27" i="26"/>
  <c r="BS25" i="26"/>
  <c r="BK19" i="26"/>
  <c r="BK40" i="26"/>
  <c r="BK10" i="26"/>
  <c r="BS24" i="26"/>
  <c r="BS5" i="26"/>
  <c r="BS4" i="26"/>
  <c r="BO5" i="26"/>
  <c r="BK6" i="26"/>
  <c r="BS39" i="26"/>
  <c r="BS38" i="26"/>
  <c r="BO11" i="26"/>
  <c r="BK45" i="26"/>
  <c r="BS21" i="26"/>
  <c r="BS27" i="26"/>
  <c r="BS14" i="26"/>
  <c r="BS17" i="26"/>
  <c r="BS8" i="26"/>
  <c r="BS11" i="26"/>
  <c r="BS40" i="26"/>
  <c r="BO7" i="26"/>
  <c r="BS13" i="26"/>
  <c r="BK4" i="26"/>
  <c r="H37" i="26"/>
  <c r="BS7" i="26"/>
  <c r="BS10" i="26"/>
  <c r="BK15" i="26"/>
  <c r="BK23" i="26"/>
  <c r="BS32" i="26"/>
  <c r="BO11" i="24"/>
  <c r="BK9" i="23"/>
  <c r="BS35" i="24"/>
  <c r="BS18" i="24"/>
  <c r="BS44" i="24"/>
  <c r="BS42" i="24"/>
  <c r="BO9" i="24"/>
  <c r="BK39" i="24"/>
  <c r="BS25" i="24"/>
  <c r="BK38" i="24"/>
  <c r="BS34" i="24"/>
  <c r="BS23" i="24"/>
  <c r="BK56" i="24"/>
  <c r="BS20" i="24"/>
  <c r="BK20" i="24"/>
  <c r="BS36" i="24"/>
  <c r="BK42" i="24"/>
  <c r="BS19" i="24"/>
  <c r="BK15" i="24"/>
  <c r="BS17" i="24"/>
  <c r="BS13" i="24"/>
  <c r="BS27" i="24"/>
  <c r="BS21" i="24"/>
  <c r="BS28" i="24"/>
  <c r="BS29" i="24"/>
  <c r="BS26" i="24"/>
  <c r="BS11" i="24"/>
  <c r="BO8" i="24"/>
  <c r="BO10" i="24"/>
  <c r="BS22" i="24"/>
  <c r="BS12" i="24"/>
  <c r="BK50" i="24"/>
  <c r="BK48" i="24"/>
  <c r="BK43" i="24"/>
  <c r="BK44" i="24"/>
  <c r="BK52" i="24"/>
  <c r="BS4" i="24"/>
  <c r="BK40" i="24"/>
  <c r="BK45" i="24"/>
  <c r="BO5" i="24"/>
  <c r="BS43" i="24"/>
  <c r="BS30" i="24"/>
  <c r="BS15" i="24"/>
  <c r="BK49" i="24"/>
  <c r="BK14" i="24"/>
  <c r="BK17" i="24"/>
  <c r="BK27" i="24"/>
  <c r="BS5" i="24"/>
  <c r="BS10" i="24"/>
  <c r="BK55" i="24"/>
  <c r="BK25" i="24"/>
  <c r="BK18" i="24"/>
  <c r="BK23" i="24"/>
  <c r="BO6" i="24"/>
  <c r="BS24" i="24"/>
  <c r="BS6" i="24"/>
  <c r="BK16" i="24"/>
  <c r="BK41" i="24"/>
  <c r="BK19" i="24"/>
  <c r="BK26" i="24"/>
  <c r="BK24" i="24"/>
  <c r="BK46" i="24"/>
  <c r="BK9" i="24"/>
  <c r="BK8" i="24"/>
  <c r="BK7" i="24"/>
  <c r="BK11" i="24"/>
  <c r="BK4" i="24"/>
  <c r="H23" i="24"/>
  <c r="BK10" i="24"/>
  <c r="BK5" i="24"/>
  <c r="BO4" i="24"/>
  <c r="BK13" i="24"/>
  <c r="BK12" i="24"/>
  <c r="BK6" i="24"/>
  <c r="BK58" i="24"/>
  <c r="BK59" i="24"/>
  <c r="BK32" i="24"/>
  <c r="BK31" i="24"/>
  <c r="BK35" i="24"/>
  <c r="BK33" i="24"/>
  <c r="BK37" i="24"/>
  <c r="BK36" i="24"/>
  <c r="BK34" i="24"/>
  <c r="BO7" i="24"/>
  <c r="BS9" i="24"/>
  <c r="BS8" i="24"/>
  <c r="BS7" i="24"/>
  <c r="BO14" i="24"/>
  <c r="BO12" i="24"/>
  <c r="BS47" i="24"/>
  <c r="BK51" i="24"/>
  <c r="BK28" i="24"/>
  <c r="BK22" i="24"/>
  <c r="BK57" i="24"/>
  <c r="BO13" i="24"/>
  <c r="BS41" i="24"/>
  <c r="BS33" i="24"/>
  <c r="BS16" i="24"/>
  <c r="BK47" i="24"/>
  <c r="BK29" i="24"/>
  <c r="BS32" i="24"/>
  <c r="BS40" i="24"/>
  <c r="BS37" i="24"/>
  <c r="BS45" i="24"/>
  <c r="BK54" i="24"/>
  <c r="BS46" i="24"/>
  <c r="BS38" i="24"/>
  <c r="BK53" i="24"/>
  <c r="BK30" i="24"/>
  <c r="BK21" i="24"/>
  <c r="H37" i="24"/>
  <c r="BS31" i="24"/>
  <c r="BS39" i="24"/>
  <c r="BS46" i="23"/>
  <c r="BK13" i="23"/>
  <c r="BK33" i="23"/>
  <c r="BK30" i="23"/>
  <c r="BK22" i="23"/>
  <c r="BK29" i="23"/>
  <c r="BK18" i="23"/>
  <c r="BK25" i="23"/>
  <c r="BS8" i="23"/>
  <c r="BK8" i="23"/>
  <c r="BK12" i="23"/>
  <c r="BS9" i="23"/>
  <c r="BK19" i="23"/>
  <c r="BK36" i="23"/>
  <c r="BK27" i="23"/>
  <c r="BK31" i="23"/>
  <c r="BO10" i="23"/>
  <c r="BK6" i="23"/>
  <c r="BK39" i="23"/>
  <c r="BK35" i="23"/>
  <c r="BO7" i="23"/>
  <c r="BK28" i="23"/>
  <c r="BK34" i="23"/>
  <c r="BK11" i="23"/>
  <c r="BK20" i="23"/>
  <c r="BK15" i="23"/>
  <c r="H37" i="23"/>
  <c r="BS25" i="23"/>
  <c r="BK32" i="23"/>
  <c r="BS7" i="23"/>
  <c r="BK37" i="23"/>
  <c r="BK48" i="23"/>
  <c r="BK47" i="23"/>
  <c r="BK44" i="23"/>
  <c r="BS17" i="23"/>
  <c r="BS15" i="23"/>
  <c r="BK45" i="23"/>
  <c r="BS14" i="23"/>
  <c r="BS18" i="23"/>
  <c r="BO9" i="23"/>
  <c r="BK57" i="23"/>
  <c r="BK46" i="23"/>
  <c r="BK38" i="23"/>
  <c r="BS13" i="23"/>
  <c r="BO8" i="23"/>
  <c r="BS11" i="23"/>
  <c r="BO12" i="23"/>
  <c r="BS32" i="23"/>
  <c r="BS26" i="23"/>
  <c r="BS10" i="23"/>
  <c r="BS36" i="23"/>
  <c r="BK56" i="23"/>
  <c r="BK55" i="23"/>
  <c r="BS34" i="23"/>
  <c r="BK58" i="23"/>
  <c r="BK51" i="23"/>
  <c r="BS45" i="23"/>
  <c r="BS27" i="23"/>
  <c r="BS42" i="23"/>
  <c r="BK49" i="23"/>
  <c r="BK41" i="23"/>
  <c r="BS28" i="23"/>
  <c r="BS41" i="23"/>
  <c r="BS47" i="23"/>
  <c r="BS19" i="23"/>
  <c r="BS23" i="23"/>
  <c r="BS29" i="23"/>
  <c r="H23" i="23"/>
  <c r="BO13" i="23"/>
  <c r="BS20" i="23"/>
  <c r="BS44" i="23"/>
  <c r="BK42" i="23"/>
  <c r="BK50" i="23"/>
  <c r="BS35" i="23"/>
  <c r="BS12" i="23"/>
  <c r="BK52" i="23"/>
  <c r="BK40" i="23"/>
  <c r="BS40" i="23"/>
  <c r="BS22" i="23"/>
  <c r="BS37" i="23"/>
  <c r="BK43" i="23"/>
  <c r="BS30" i="23"/>
  <c r="BO11" i="23"/>
  <c r="BK54" i="23"/>
  <c r="BK53" i="23"/>
  <c r="BS39" i="23"/>
  <c r="BK59" i="23"/>
  <c r="BS43" i="23"/>
  <c r="BS21" i="23"/>
  <c r="BS33" i="23"/>
  <c r="BS38" i="23"/>
  <c r="BS27" i="10"/>
  <c r="BK25" i="10"/>
  <c r="BK23" i="10"/>
  <c r="BK6" i="10"/>
  <c r="BS13" i="10"/>
  <c r="BK41" i="10"/>
  <c r="BK29" i="10"/>
  <c r="BK11" i="10"/>
  <c r="BK28" i="10"/>
  <c r="BK21" i="10"/>
  <c r="BO12" i="10"/>
  <c r="BS11" i="10"/>
  <c r="BK42" i="10"/>
  <c r="BS47" i="10"/>
  <c r="BK38" i="10"/>
  <c r="BO13" i="10"/>
  <c r="BK17" i="10"/>
  <c r="BK7" i="10"/>
  <c r="BK16" i="10"/>
  <c r="BK18" i="10"/>
  <c r="BK59" i="10"/>
  <c r="BS40" i="10"/>
  <c r="BS43" i="10"/>
  <c r="BK9" i="10"/>
  <c r="BK36" i="10"/>
  <c r="BS12" i="10"/>
  <c r="BS21" i="10"/>
  <c r="BS28" i="10"/>
  <c r="BK39" i="10"/>
  <c r="BK43" i="10"/>
  <c r="BS45" i="10"/>
  <c r="H23" i="10"/>
  <c r="BS10" i="10"/>
  <c r="BS42" i="10"/>
  <c r="BS33" i="10"/>
  <c r="BO8" i="10"/>
  <c r="BS44" i="10"/>
  <c r="BS39" i="10"/>
  <c r="BS19" i="10"/>
  <c r="BS18" i="10"/>
  <c r="BK46" i="10"/>
  <c r="BS31" i="10"/>
  <c r="BS29" i="10"/>
  <c r="BK32" i="10"/>
  <c r="BK57" i="10"/>
  <c r="BK35" i="10"/>
  <c r="BK51" i="10"/>
  <c r="BS25" i="10"/>
  <c r="BS15" i="10"/>
  <c r="BK33" i="10"/>
  <c r="BS22" i="10"/>
  <c r="BK56" i="10"/>
  <c r="BO9" i="10"/>
  <c r="BS17" i="10"/>
  <c r="BS37" i="10"/>
  <c r="BS8" i="10"/>
  <c r="BK37" i="10"/>
  <c r="BO10" i="10"/>
  <c r="BS30" i="10"/>
  <c r="BS14" i="10"/>
  <c r="BO7" i="10"/>
  <c r="BK52" i="10"/>
  <c r="BS23" i="10"/>
  <c r="BS26" i="10"/>
  <c r="BK54" i="10"/>
  <c r="BK44" i="10"/>
  <c r="BS35" i="10"/>
  <c r="BS34" i="10"/>
  <c r="BS20" i="10"/>
  <c r="BK55" i="10"/>
  <c r="BK58" i="10"/>
  <c r="BS7" i="10"/>
  <c r="BK53" i="10"/>
  <c r="BS24" i="10"/>
  <c r="BK48" i="10"/>
  <c r="BK47" i="10"/>
  <c r="BS32" i="10"/>
  <c r="BK31" i="10"/>
  <c r="BS38" i="10"/>
  <c r="BS36" i="10"/>
  <c r="BK19" i="10"/>
  <c r="BK34" i="10"/>
  <c r="BK50" i="10"/>
  <c r="BK27" i="10"/>
  <c r="H37" i="10"/>
  <c r="BO11" i="10"/>
  <c r="BK40" i="10"/>
  <c r="BK45" i="10"/>
  <c r="BK10" i="10"/>
  <c r="BS46" i="10"/>
  <c r="B38" i="30" l="1"/>
  <c r="B36" i="30"/>
  <c r="B37" i="30"/>
  <c r="B36" i="29"/>
  <c r="B38" i="29"/>
  <c r="B37" i="29"/>
  <c r="B36" i="26"/>
  <c r="B38" i="26"/>
  <c r="B37" i="26"/>
  <c r="B38" i="24"/>
  <c r="B37" i="24"/>
  <c r="B36" i="24"/>
  <c r="B37" i="23"/>
  <c r="B36" i="23"/>
  <c r="B38" i="23"/>
  <c r="B38" i="10"/>
  <c r="B37" i="10"/>
  <c r="B36" i="10"/>
  <c r="N1" i="2" l="1"/>
  <c r="N4" i="2" s="1"/>
  <c r="P1" i="2"/>
  <c r="Q1" i="2"/>
  <c r="D3" i="2"/>
  <c r="P4" i="2"/>
  <c r="Q4" i="2"/>
  <c r="V4" i="2"/>
  <c r="W4" i="2"/>
  <c r="N5" i="2"/>
  <c r="P5" i="2"/>
  <c r="R5" i="2" s="1"/>
  <c r="Q5" i="2"/>
  <c r="V5" i="2"/>
  <c r="W5" i="2"/>
  <c r="BQ5" i="2"/>
  <c r="N6" i="2"/>
  <c r="P6" i="2"/>
  <c r="R6" i="2" s="1"/>
  <c r="Q6" i="2"/>
  <c r="V6" i="2"/>
  <c r="W6" i="2"/>
  <c r="BM6" i="2"/>
  <c r="BQ9" i="2" s="1"/>
  <c r="BQ12" i="2" s="1"/>
  <c r="BQ6" i="2"/>
  <c r="N7" i="2"/>
  <c r="P7" i="2"/>
  <c r="R7" i="2" s="1"/>
  <c r="Q7" i="2"/>
  <c r="V7" i="2"/>
  <c r="W7" i="2"/>
  <c r="BQ7" i="2"/>
  <c r="N8" i="2"/>
  <c r="P8" i="2"/>
  <c r="R8" i="2" s="1"/>
  <c r="Q8" i="2"/>
  <c r="V8" i="2"/>
  <c r="W8" i="2"/>
  <c r="BQ8" i="2"/>
  <c r="N9" i="2"/>
  <c r="P9" i="2"/>
  <c r="R9" i="2" s="1"/>
  <c r="Q9" i="2"/>
  <c r="V9" i="2"/>
  <c r="W9" i="2"/>
  <c r="N10" i="2"/>
  <c r="R10" i="2"/>
  <c r="V10" i="2"/>
  <c r="W10" i="2"/>
  <c r="BQ10" i="2"/>
  <c r="N11" i="2"/>
  <c r="P11" i="2"/>
  <c r="V11" i="2" s="1"/>
  <c r="Q11" i="2"/>
  <c r="BQ11" i="2"/>
  <c r="N12" i="2"/>
  <c r="P12" i="2"/>
  <c r="R12" i="2" s="1"/>
  <c r="Q12" i="2"/>
  <c r="V12" i="2"/>
  <c r="W12" i="2"/>
  <c r="N13" i="2"/>
  <c r="P13" i="2"/>
  <c r="Q13" i="2"/>
  <c r="N14" i="2"/>
  <c r="P14" i="2"/>
  <c r="R14" i="2" s="1"/>
  <c r="Q14" i="2"/>
  <c r="V14" i="2"/>
  <c r="W14" i="2"/>
  <c r="BQ14" i="2"/>
  <c r="N15" i="2"/>
  <c r="P15" i="2"/>
  <c r="Q15" i="2"/>
  <c r="U15" i="2" s="1"/>
  <c r="Y15" i="2" s="1"/>
  <c r="AG15" i="2" s="1"/>
  <c r="V15" i="2"/>
  <c r="W15" i="2"/>
  <c r="BQ15" i="2"/>
  <c r="BQ19" i="2" s="1"/>
  <c r="BQ25" i="2" s="1"/>
  <c r="BQ32" i="2" s="1"/>
  <c r="BQ40" i="2" s="1"/>
  <c r="P16" i="2"/>
  <c r="Q16" i="2"/>
  <c r="R16" i="2"/>
  <c r="V16" i="2"/>
  <c r="W16" i="2"/>
  <c r="BQ16" i="2"/>
  <c r="BQ20" i="2" s="1"/>
  <c r="BQ26" i="2" s="1"/>
  <c r="B20" i="2"/>
  <c r="B21" i="2" s="1"/>
  <c r="B22" i="2"/>
  <c r="BI23" i="2"/>
  <c r="BM7" i="2" s="1"/>
  <c r="BQ13" i="2" s="1"/>
  <c r="BQ17" i="2" s="1"/>
  <c r="BQ21" i="2" s="1"/>
  <c r="BQ27" i="2" s="1"/>
  <c r="BQ34" i="2" s="1"/>
  <c r="BQ42" i="2" s="1"/>
  <c r="BI24" i="2"/>
  <c r="BQ24" i="2"/>
  <c r="BQ31" i="2" s="1"/>
  <c r="BQ39" i="2" s="1"/>
  <c r="BM14" i="2" s="1"/>
  <c r="B25" i="2"/>
  <c r="C25" i="2"/>
  <c r="D25" i="2"/>
  <c r="E25" i="2"/>
  <c r="BC25" i="2"/>
  <c r="BI25" i="2"/>
  <c r="B26" i="2"/>
  <c r="B31" i="2" s="1"/>
  <c r="W25" i="2" s="1"/>
  <c r="C26" i="2"/>
  <c r="D26" i="2"/>
  <c r="D27" i="2" s="1"/>
  <c r="E26" i="2"/>
  <c r="E27" i="2" s="1"/>
  <c r="BC26" i="2"/>
  <c r="BD26" i="2"/>
  <c r="BE26" i="2"/>
  <c r="BF26" i="2"/>
  <c r="BI26" i="2"/>
  <c r="BI33" i="2" s="1"/>
  <c r="BI39" i="2" s="1"/>
  <c r="BI44" i="2" s="1"/>
  <c r="BM10" i="2" s="1"/>
  <c r="BQ30" i="2" s="1"/>
  <c r="BQ37" i="2" s="1"/>
  <c r="BQ45" i="2" s="1"/>
  <c r="B27" i="2"/>
  <c r="C27" i="2"/>
  <c r="BC27" i="2"/>
  <c r="BD27" i="2"/>
  <c r="BE27" i="2"/>
  <c r="BF27" i="2"/>
  <c r="BI27" i="2"/>
  <c r="BC28" i="2"/>
  <c r="BD28" i="2"/>
  <c r="BE28" i="2"/>
  <c r="BF28" i="2"/>
  <c r="BI28" i="2"/>
  <c r="B29" i="2"/>
  <c r="C29" i="2"/>
  <c r="BC29" i="2"/>
  <c r="BD29" i="2"/>
  <c r="BE29" i="2"/>
  <c r="BF29" i="2"/>
  <c r="BI29" i="2"/>
  <c r="B30" i="2"/>
  <c r="C30" i="2"/>
  <c r="D30" i="2"/>
  <c r="E30" i="2"/>
  <c r="BD30" i="2"/>
  <c r="BE30" i="2"/>
  <c r="BF30" i="2"/>
  <c r="BI30" i="2"/>
  <c r="BE31" i="2"/>
  <c r="BF31" i="2"/>
  <c r="BI31" i="2"/>
  <c r="BM8" i="2" s="1"/>
  <c r="BQ18" i="2" s="1"/>
  <c r="BQ22" i="2" s="1"/>
  <c r="BQ28" i="2" s="1"/>
  <c r="BQ35" i="2" s="1"/>
  <c r="BQ43" i="2" s="1"/>
  <c r="B32" i="2"/>
  <c r="C32" i="2"/>
  <c r="BF32" i="2"/>
  <c r="BI32" i="2"/>
  <c r="BI38" i="2" s="1"/>
  <c r="BM9" i="2" s="1"/>
  <c r="BQ23" i="2" s="1"/>
  <c r="BQ29" i="2" s="1"/>
  <c r="BQ36" i="2" s="1"/>
  <c r="BQ44" i="2" s="1"/>
  <c r="B33" i="2"/>
  <c r="C33" i="2"/>
  <c r="BF33" i="2"/>
  <c r="BQ33" i="2"/>
  <c r="BF34" i="2"/>
  <c r="BI34" i="2"/>
  <c r="BI35" i="2"/>
  <c r="BI41" i="2" s="1"/>
  <c r="BI36" i="2"/>
  <c r="BI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C39" i="2"/>
  <c r="BC40" i="2"/>
  <c r="BD40" i="2"/>
  <c r="BE40" i="2"/>
  <c r="BF40" i="2"/>
  <c r="BI40" i="2"/>
  <c r="BC41" i="2"/>
  <c r="BD41" i="2"/>
  <c r="BE41" i="2"/>
  <c r="BF41" i="2"/>
  <c r="BQ41" i="2"/>
  <c r="BC42" i="2"/>
  <c r="BD42" i="2"/>
  <c r="BE42" i="2"/>
  <c r="BF42" i="2" s="1"/>
  <c r="BI42" i="2"/>
  <c r="BC43" i="2"/>
  <c r="BD43" i="2"/>
  <c r="BE43" i="2"/>
  <c r="BI43" i="2"/>
  <c r="BD44" i="2"/>
  <c r="BE44" i="2"/>
  <c r="BF44" i="2"/>
  <c r="BE45" i="2"/>
  <c r="BF46" i="2" s="1"/>
  <c r="BF45" i="2"/>
  <c r="BI45" i="2"/>
  <c r="BI46" i="2"/>
  <c r="BF47" i="2"/>
  <c r="BI47" i="2"/>
  <c r="BI52" i="2" s="1"/>
  <c r="BI55" i="2" s="1"/>
  <c r="BI57" i="2" s="1"/>
  <c r="BM13" i="2" s="1"/>
  <c r="BF48" i="2"/>
  <c r="BI48" i="2"/>
  <c r="BI49" i="2"/>
  <c r="BI50" i="2"/>
  <c r="BM11" i="2" s="1"/>
  <c r="BQ38" i="2" s="1"/>
  <c r="BQ46" i="2" s="1"/>
  <c r="BI51" i="2"/>
  <c r="BI53" i="2"/>
  <c r="BI56" i="2" s="1"/>
  <c r="BI58" i="2" s="1"/>
  <c r="BI59" i="2" s="1"/>
  <c r="BI54" i="2"/>
  <c r="BM12" i="2" s="1"/>
  <c r="BQ47" i="2" s="1"/>
  <c r="R13" i="2" l="1"/>
  <c r="AJ15" i="2"/>
  <c r="AH15" i="2"/>
  <c r="R4" i="2"/>
  <c r="C31" i="2"/>
  <c r="W39" i="2" s="1"/>
  <c r="E23" i="2"/>
  <c r="D23" i="2"/>
  <c r="C22" i="2"/>
  <c r="G13" i="2"/>
  <c r="R11" i="2"/>
  <c r="BF43" i="2"/>
  <c r="R15" i="2"/>
  <c r="T15" i="2"/>
  <c r="X15" i="2" s="1"/>
  <c r="AA15" i="2" s="1"/>
  <c r="N2" i="2"/>
  <c r="W11" i="2"/>
  <c r="S16" i="2" l="1"/>
  <c r="S14" i="2"/>
  <c r="B23" i="2"/>
  <c r="G14" i="2"/>
  <c r="R2" i="2"/>
  <c r="S5" i="2" s="1"/>
  <c r="AB15" i="2"/>
  <c r="S11" i="2"/>
  <c r="S8" i="2"/>
  <c r="S4" i="2" l="1"/>
  <c r="T5" i="2"/>
  <c r="X5" i="2" s="1"/>
  <c r="AA5" i="2" s="1"/>
  <c r="U5" i="2"/>
  <c r="Y5" i="2" s="1"/>
  <c r="AG5" i="2" s="1"/>
  <c r="T11" i="2"/>
  <c r="X11" i="2" s="1"/>
  <c r="AA11" i="2" s="1"/>
  <c r="U11" i="2"/>
  <c r="Y11" i="2" s="1"/>
  <c r="AG11" i="2" s="1"/>
  <c r="B34" i="2"/>
  <c r="T16" i="2" s="1"/>
  <c r="X16" i="2" s="1"/>
  <c r="AA16" i="2" s="1"/>
  <c r="B24" i="2"/>
  <c r="T41" i="2"/>
  <c r="T48" i="2"/>
  <c r="T45" i="2"/>
  <c r="T49" i="2"/>
  <c r="T42" i="2"/>
  <c r="T47" i="2"/>
  <c r="T46" i="2"/>
  <c r="T44" i="2"/>
  <c r="C23" i="2"/>
  <c r="T40" i="2"/>
  <c r="T43" i="2"/>
  <c r="T39" i="2"/>
  <c r="U8" i="2"/>
  <c r="Y8" i="2" s="1"/>
  <c r="AG8" i="2" s="1"/>
  <c r="T8" i="2"/>
  <c r="X8" i="2" s="1"/>
  <c r="AA8" i="2" s="1"/>
  <c r="T4" i="2"/>
  <c r="U4" i="2"/>
  <c r="S12" i="2"/>
  <c r="S13" i="2"/>
  <c r="S6" i="2"/>
  <c r="S9" i="2"/>
  <c r="S10" i="2"/>
  <c r="S7" i="2"/>
  <c r="T14" i="2"/>
  <c r="X14" i="2" s="1"/>
  <c r="AA14" i="2" s="1"/>
  <c r="U14" i="2"/>
  <c r="Y14" i="2" s="1"/>
  <c r="AG14" i="2" s="1"/>
  <c r="S15" i="2"/>
  <c r="S2" i="2" l="1"/>
  <c r="AB14" i="2"/>
  <c r="C34" i="2"/>
  <c r="U16" i="2" s="1"/>
  <c r="Y16" i="2" s="1"/>
  <c r="AG16" i="2" s="1"/>
  <c r="T35" i="2"/>
  <c r="T27" i="2"/>
  <c r="T32" i="2"/>
  <c r="T28" i="2"/>
  <c r="T31" i="2"/>
  <c r="C24" i="2"/>
  <c r="T26" i="2"/>
  <c r="T33" i="2"/>
  <c r="T34" i="2"/>
  <c r="T29" i="2"/>
  <c r="T30" i="2"/>
  <c r="T25" i="2"/>
  <c r="X4" i="2"/>
  <c r="AD16" i="2"/>
  <c r="AB16" i="2"/>
  <c r="AH14" i="2"/>
  <c r="N27" i="2"/>
  <c r="P27" i="2" s="1"/>
  <c r="N26" i="2"/>
  <c r="N29" i="2"/>
  <c r="P29" i="2" s="1"/>
  <c r="N28" i="2"/>
  <c r="P28" i="2" s="1"/>
  <c r="N30" i="2"/>
  <c r="P30" i="2" s="1"/>
  <c r="R35" i="2" s="1"/>
  <c r="N25" i="2"/>
  <c r="T10" i="2"/>
  <c r="X10" i="2" s="1"/>
  <c r="AA10" i="2" s="1"/>
  <c r="U10" i="2"/>
  <c r="Y10" i="2" s="1"/>
  <c r="AG10" i="2" s="1"/>
  <c r="AB8" i="2"/>
  <c r="AH11" i="2"/>
  <c r="U7" i="2"/>
  <c r="Y7" i="2" s="1"/>
  <c r="AG7" i="2" s="1"/>
  <c r="T7" i="2"/>
  <c r="X7" i="2" s="1"/>
  <c r="AA7" i="2" s="1"/>
  <c r="U9" i="2"/>
  <c r="Y9" i="2" s="1"/>
  <c r="AG9" i="2" s="1"/>
  <c r="T9" i="2"/>
  <c r="X9" i="2" s="1"/>
  <c r="AA9" i="2" s="1"/>
  <c r="AH8" i="2"/>
  <c r="AB11" i="2"/>
  <c r="Y4" i="2"/>
  <c r="U6" i="2"/>
  <c r="Y6" i="2" s="1"/>
  <c r="AG6" i="2" s="1"/>
  <c r="T6" i="2"/>
  <c r="X6" i="2" s="1"/>
  <c r="AA6" i="2" s="1"/>
  <c r="T37" i="2"/>
  <c r="AH5" i="2"/>
  <c r="T12" i="2"/>
  <c r="X12" i="2" s="1"/>
  <c r="AA12" i="2" s="1"/>
  <c r="U12" i="2"/>
  <c r="Y12" i="2" s="1"/>
  <c r="AG12" i="2" s="1"/>
  <c r="U13" i="2"/>
  <c r="Y13" i="2" s="1"/>
  <c r="AG13" i="2" s="1"/>
  <c r="T13" i="2"/>
  <c r="X13" i="2" s="1"/>
  <c r="AA13" i="2" s="1"/>
  <c r="AB5" i="2"/>
  <c r="T23" i="2" l="1"/>
  <c r="AB13" i="2"/>
  <c r="R33" i="2"/>
  <c r="AB6" i="2"/>
  <c r="AH12" i="2"/>
  <c r="AH6" i="2"/>
  <c r="AB9" i="2"/>
  <c r="P26" i="2"/>
  <c r="R31" i="2" s="1"/>
  <c r="AB12" i="2"/>
  <c r="U2" i="2"/>
  <c r="AH9" i="2"/>
  <c r="R32" i="2"/>
  <c r="AH16" i="2"/>
  <c r="AJ16" i="2"/>
  <c r="R34" i="2"/>
  <c r="Y2" i="2"/>
  <c r="AG4" i="2"/>
  <c r="AB7" i="2"/>
  <c r="AH10" i="2"/>
  <c r="X2" i="2"/>
  <c r="AA4" i="2"/>
  <c r="AH7" i="2"/>
  <c r="AB10" i="2"/>
  <c r="T2" i="2"/>
  <c r="N41" i="2"/>
  <c r="P41" i="2" s="1"/>
  <c r="N42" i="2"/>
  <c r="P42" i="2" s="1"/>
  <c r="N39" i="2"/>
  <c r="N40" i="2"/>
  <c r="P40" i="2" s="1"/>
  <c r="N44" i="2"/>
  <c r="P44" i="2" s="1"/>
  <c r="N43" i="2"/>
  <c r="P43" i="2" s="1"/>
  <c r="AH13" i="2"/>
  <c r="N23" i="2"/>
  <c r="P25" i="2"/>
  <c r="AD4" i="2" l="1"/>
  <c r="AB4" i="2"/>
  <c r="R45" i="2"/>
  <c r="R48" i="2"/>
  <c r="R49" i="2"/>
  <c r="R47" i="2"/>
  <c r="R46" i="2"/>
  <c r="AC9" i="2"/>
  <c r="R25" i="2"/>
  <c r="R27" i="2"/>
  <c r="P23" i="2"/>
  <c r="R28" i="2"/>
  <c r="R30" i="2"/>
  <c r="R29" i="2"/>
  <c r="AD5" i="2"/>
  <c r="R26" i="2"/>
  <c r="V26" i="2" s="1"/>
  <c r="AC4" i="2"/>
  <c r="AC6" i="2"/>
  <c r="AC8" i="2"/>
  <c r="AC5" i="2"/>
  <c r="N37" i="2"/>
  <c r="P39" i="2"/>
  <c r="R43" i="2" s="1"/>
  <c r="AH4" i="2"/>
  <c r="AI4" i="2"/>
  <c r="AJ4" i="2"/>
  <c r="AC11" i="2"/>
  <c r="V27" i="2" l="1"/>
  <c r="AH18" i="2"/>
  <c r="AI15" i="2"/>
  <c r="AJ14" i="2"/>
  <c r="AI11" i="2"/>
  <c r="AI5" i="2"/>
  <c r="AI14" i="2"/>
  <c r="AJ8" i="2"/>
  <c r="AI8" i="2"/>
  <c r="AJ11" i="2"/>
  <c r="AJ6" i="2"/>
  <c r="AI13" i="2"/>
  <c r="AI12" i="2"/>
  <c r="AI7" i="2"/>
  <c r="AJ13" i="2"/>
  <c r="AI10" i="2"/>
  <c r="AI16" i="2"/>
  <c r="AI9" i="2"/>
  <c r="AI6" i="2"/>
  <c r="AJ12" i="2"/>
  <c r="AJ10" i="2"/>
  <c r="AJ9" i="2"/>
  <c r="AJ7" i="2"/>
  <c r="R41" i="2"/>
  <c r="V25" i="2"/>
  <c r="R23" i="2"/>
  <c r="V32" i="2"/>
  <c r="V33" i="2"/>
  <c r="V29" i="2"/>
  <c r="V34" i="2"/>
  <c r="V31" i="2"/>
  <c r="V30" i="2"/>
  <c r="R42" i="2"/>
  <c r="AB18" i="2"/>
  <c r="AD14" i="2"/>
  <c r="AC16" i="2"/>
  <c r="AD15" i="2"/>
  <c r="AC13" i="2"/>
  <c r="AD10" i="2"/>
  <c r="AD12" i="2"/>
  <c r="AC15" i="2"/>
  <c r="AD6" i="2"/>
  <c r="AD9" i="2"/>
  <c r="AD7" i="2"/>
  <c r="AD13" i="2"/>
  <c r="AD8" i="2"/>
  <c r="AD11" i="2"/>
  <c r="AC10" i="2"/>
  <c r="AC14" i="2"/>
  <c r="AA26" i="2"/>
  <c r="AA25" i="2"/>
  <c r="R40" i="2"/>
  <c r="V40" i="2" s="1"/>
  <c r="R44" i="2"/>
  <c r="R39" i="2"/>
  <c r="P37" i="2"/>
  <c r="V28" i="2"/>
  <c r="AJ5" i="2"/>
  <c r="AC12" i="2"/>
  <c r="AC7" i="2"/>
  <c r="AI18" i="2" l="1"/>
  <c r="L40" i="2" s="1"/>
  <c r="AJ18" i="2"/>
  <c r="L41" i="2" s="1"/>
  <c r="AC18" i="2"/>
  <c r="L26" i="2" s="1"/>
  <c r="AD18" i="2"/>
  <c r="L27" i="2" s="1"/>
  <c r="AA23" i="2"/>
  <c r="AE18" i="2"/>
  <c r="L28" i="2" s="1"/>
  <c r="L25" i="2"/>
  <c r="AM28" i="2"/>
  <c r="AM32" i="2"/>
  <c r="AM29" i="2"/>
  <c r="AM26" i="2"/>
  <c r="AM25" i="2"/>
  <c r="AM30" i="2"/>
  <c r="AM31" i="2"/>
  <c r="AM27" i="2"/>
  <c r="AA39" i="2"/>
  <c r="AA40" i="2"/>
  <c r="AE25" i="2"/>
  <c r="AE26" i="2"/>
  <c r="AE27" i="2"/>
  <c r="AE28" i="2"/>
  <c r="V42" i="2"/>
  <c r="AK18" i="2"/>
  <c r="L42" i="2" s="1"/>
  <c r="L39" i="2"/>
  <c r="AI28" i="2"/>
  <c r="AI29" i="2"/>
  <c r="AI26" i="2"/>
  <c r="AI30" i="2"/>
  <c r="AI25" i="2"/>
  <c r="AI27" i="2"/>
  <c r="V23" i="2"/>
  <c r="V35" i="2" s="1"/>
  <c r="Y25" i="2"/>
  <c r="AC27" i="2"/>
  <c r="AC25" i="2"/>
  <c r="AC23" i="2" s="1"/>
  <c r="AC26" i="2"/>
  <c r="AO31" i="2"/>
  <c r="AO26" i="2"/>
  <c r="AO27" i="2"/>
  <c r="AO28" i="2"/>
  <c r="AO33" i="2"/>
  <c r="AO30" i="2"/>
  <c r="AO32" i="2"/>
  <c r="AO29" i="2"/>
  <c r="AO25" i="2"/>
  <c r="R37" i="2"/>
  <c r="V39" i="2"/>
  <c r="V48" i="2"/>
  <c r="V44" i="2"/>
  <c r="V45" i="2"/>
  <c r="V43" i="2"/>
  <c r="V46" i="2"/>
  <c r="V47" i="2"/>
  <c r="AK30" i="2"/>
  <c r="AK28" i="2"/>
  <c r="AK27" i="2"/>
  <c r="AK29" i="2"/>
  <c r="AK31" i="2"/>
  <c r="AK25" i="2"/>
  <c r="AK26" i="2"/>
  <c r="V41" i="2"/>
  <c r="AG25" i="2"/>
  <c r="AG27" i="2"/>
  <c r="AG28" i="2"/>
  <c r="AG26" i="2"/>
  <c r="AG29" i="2"/>
  <c r="AQ30" i="2"/>
  <c r="AQ25" i="2"/>
  <c r="AQ32" i="2"/>
  <c r="AQ34" i="2"/>
  <c r="AQ27" i="2"/>
  <c r="AQ31" i="2"/>
  <c r="AQ26" i="2"/>
  <c r="AQ33" i="2"/>
  <c r="AQ29" i="2"/>
  <c r="AQ28" i="2"/>
  <c r="AG39" i="2" l="1"/>
  <c r="AG43" i="2"/>
  <c r="AG41" i="2"/>
  <c r="AG40" i="2"/>
  <c r="AG42" i="2"/>
  <c r="AM23" i="2"/>
  <c r="AK43" i="2"/>
  <c r="AK39" i="2"/>
  <c r="AK42" i="2"/>
  <c r="AK45" i="2"/>
  <c r="AK44" i="2"/>
  <c r="AK41" i="2"/>
  <c r="AK40" i="2"/>
  <c r="J27" i="2"/>
  <c r="H27" i="2" s="1"/>
  <c r="AE23" i="2"/>
  <c r="AI41" i="2"/>
  <c r="AI42" i="2"/>
  <c r="AI40" i="2"/>
  <c r="AI44" i="2"/>
  <c r="AI43" i="2"/>
  <c r="AI39" i="2"/>
  <c r="AS30" i="2"/>
  <c r="AS27" i="2"/>
  <c r="AS34" i="2"/>
  <c r="AS32" i="2"/>
  <c r="AS31" i="2"/>
  <c r="J31" i="2" s="1"/>
  <c r="AS33" i="2"/>
  <c r="AS35" i="2"/>
  <c r="J35" i="2" s="1"/>
  <c r="AS25" i="2"/>
  <c r="AS26" i="2"/>
  <c r="J26" i="2" s="1"/>
  <c r="H26" i="2" s="1"/>
  <c r="AS28" i="2"/>
  <c r="AS29" i="2"/>
  <c r="J29" i="2" s="1"/>
  <c r="H29" i="2" s="1"/>
  <c r="L37" i="2"/>
  <c r="J34" i="2"/>
  <c r="AG23" i="2"/>
  <c r="Y39" i="2"/>
  <c r="V37" i="2"/>
  <c r="V49" i="2" s="1"/>
  <c r="V22" i="2"/>
  <c r="AA37" i="2"/>
  <c r="AQ47" i="2"/>
  <c r="AQ48" i="2"/>
  <c r="AQ44" i="2"/>
  <c r="AQ42" i="2"/>
  <c r="AQ41" i="2"/>
  <c r="AQ40" i="2"/>
  <c r="AQ39" i="2"/>
  <c r="AQ43" i="2"/>
  <c r="AQ45" i="2"/>
  <c r="AQ46" i="2"/>
  <c r="J32" i="2"/>
  <c r="AC39" i="2"/>
  <c r="AC41" i="2"/>
  <c r="AC40" i="2"/>
  <c r="AO45" i="2"/>
  <c r="AO40" i="2"/>
  <c r="AO41" i="2"/>
  <c r="AO47" i="2"/>
  <c r="AO46" i="2"/>
  <c r="AO39" i="2"/>
  <c r="AO43" i="2"/>
  <c r="AO44" i="2"/>
  <c r="AO42" i="2"/>
  <c r="AE40" i="2"/>
  <c r="AE41" i="2"/>
  <c r="AE39" i="2"/>
  <c r="AE42" i="2"/>
  <c r="L23" i="2"/>
  <c r="J33" i="2"/>
  <c r="Y23" i="2"/>
  <c r="J25" i="2"/>
  <c r="AQ23" i="2"/>
  <c r="AO23" i="2"/>
  <c r="AI23" i="2"/>
  <c r="J28" i="2"/>
  <c r="AK23" i="2"/>
  <c r="AM46" i="2"/>
  <c r="AM39" i="2"/>
  <c r="AM42" i="2"/>
  <c r="AM43" i="2"/>
  <c r="AM45" i="2"/>
  <c r="AM41" i="2"/>
  <c r="AM40" i="2"/>
  <c r="AM44" i="2"/>
  <c r="J30" i="2"/>
  <c r="H31" i="2" l="1"/>
  <c r="AM37" i="2"/>
  <c r="J23" i="2"/>
  <c r="AE37" i="2"/>
  <c r="J47" i="2"/>
  <c r="H34" i="2"/>
  <c r="AS23" i="2"/>
  <c r="AI37" i="2"/>
  <c r="H32" i="2"/>
  <c r="H33" i="2"/>
  <c r="H30" i="2"/>
  <c r="H28" i="2"/>
  <c r="AQ37" i="2"/>
  <c r="AS46" i="2"/>
  <c r="AS48" i="2"/>
  <c r="J48" i="2" s="1"/>
  <c r="H48" i="2" s="1"/>
  <c r="AS44" i="2"/>
  <c r="J44" i="2" s="1"/>
  <c r="H44" i="2" s="1"/>
  <c r="AS41" i="2"/>
  <c r="J41" i="2" s="1"/>
  <c r="H41" i="2" s="1"/>
  <c r="AS43" i="2"/>
  <c r="J43" i="2" s="1"/>
  <c r="H43" i="2" s="1"/>
  <c r="AS40" i="2"/>
  <c r="J40" i="2" s="1"/>
  <c r="H40" i="2" s="1"/>
  <c r="BS6" i="2" s="1"/>
  <c r="AS49" i="2"/>
  <c r="J49" i="2" s="1"/>
  <c r="AS45" i="2"/>
  <c r="J45" i="2" s="1"/>
  <c r="AS47" i="2"/>
  <c r="AS42" i="2"/>
  <c r="AS39" i="2"/>
  <c r="AG37" i="2"/>
  <c r="AS22" i="2"/>
  <c r="H35" i="2"/>
  <c r="H25" i="2"/>
  <c r="Y37" i="2"/>
  <c r="J39" i="2"/>
  <c r="AK37" i="2"/>
  <c r="J42" i="2"/>
  <c r="J46" i="2"/>
  <c r="AO37" i="2"/>
  <c r="AC37" i="2"/>
  <c r="V36" i="2"/>
  <c r="BK38" i="2" l="1"/>
  <c r="BK25" i="2"/>
  <c r="BK17" i="2"/>
  <c r="H45" i="2"/>
  <c r="BO8" i="2"/>
  <c r="BK24" i="2"/>
  <c r="BK16" i="2"/>
  <c r="BK29" i="2"/>
  <c r="BK42" i="2"/>
  <c r="BK21" i="2"/>
  <c r="BO6" i="2"/>
  <c r="BS12" i="2"/>
  <c r="BK14" i="2"/>
  <c r="BO13" i="2"/>
  <c r="BS44" i="2"/>
  <c r="BS39" i="2"/>
  <c r="BS43" i="2"/>
  <c r="BS40" i="2"/>
  <c r="BS41" i="2"/>
  <c r="H46" i="2"/>
  <c r="BK45" i="2" s="1"/>
  <c r="BK34" i="2"/>
  <c r="BK33" i="2"/>
  <c r="BK35" i="2"/>
  <c r="BK31" i="2"/>
  <c r="BS8" i="2"/>
  <c r="BS9" i="2"/>
  <c r="BK32" i="2"/>
  <c r="BK36" i="2"/>
  <c r="H47" i="2"/>
  <c r="BK11" i="2" s="1"/>
  <c r="AS37" i="2"/>
  <c r="AS36" i="2" s="1"/>
  <c r="BS11" i="2"/>
  <c r="H42" i="2"/>
  <c r="BS16" i="2"/>
  <c r="BS15" i="2"/>
  <c r="BS18" i="2"/>
  <c r="BK44" i="2"/>
  <c r="BK47" i="2"/>
  <c r="BO9" i="2"/>
  <c r="BK46" i="2"/>
  <c r="BO5" i="2"/>
  <c r="J37" i="2"/>
  <c r="H39" i="2"/>
  <c r="BS24" i="2" s="1"/>
  <c r="BS31" i="2"/>
  <c r="BS32" i="2"/>
  <c r="BS36" i="2"/>
  <c r="BS37" i="2"/>
  <c r="BS33" i="2"/>
  <c r="BS35" i="2"/>
  <c r="BS34" i="2"/>
  <c r="BK57" i="2"/>
  <c r="BO11" i="2"/>
  <c r="BS26" i="2"/>
  <c r="BS25" i="2"/>
  <c r="BS30" i="2"/>
  <c r="BS28" i="2"/>
  <c r="BK55" i="2"/>
  <c r="BS29" i="2"/>
  <c r="BS22" i="2"/>
  <c r="BO10" i="2"/>
  <c r="BS23" i="2"/>
  <c r="BK52" i="2"/>
  <c r="BS19" i="2"/>
  <c r="BK49" i="2"/>
  <c r="BS20" i="2"/>
  <c r="BK10" i="2"/>
  <c r="BK12" i="2"/>
  <c r="BK7" i="2"/>
  <c r="BK8" i="2"/>
  <c r="BK9" i="2"/>
  <c r="BK5" i="2"/>
  <c r="BK4" i="2"/>
  <c r="H23" i="2"/>
  <c r="H49" i="2"/>
  <c r="BK53" i="2" s="1"/>
  <c r="BK54" i="2" l="1"/>
  <c r="BK50" i="2"/>
  <c r="BS46" i="2"/>
  <c r="BS38" i="2"/>
  <c r="BK15" i="2"/>
  <c r="BS13" i="2"/>
  <c r="BK23" i="2"/>
  <c r="BO12" i="2"/>
  <c r="BS47" i="2"/>
  <c r="BK30" i="2"/>
  <c r="BK22" i="2"/>
  <c r="BK43" i="2"/>
  <c r="H37" i="2"/>
  <c r="BS10" i="2"/>
  <c r="BS5" i="2"/>
  <c r="BS4" i="2"/>
  <c r="BO4" i="2"/>
  <c r="BK56" i="2"/>
  <c r="BK58" i="2"/>
  <c r="BO7" i="2"/>
  <c r="BK59" i="2"/>
  <c r="BK39" i="2"/>
  <c r="BK18" i="2"/>
  <c r="BK26" i="2"/>
  <c r="BK28" i="2"/>
  <c r="BK41" i="2"/>
  <c r="BK20" i="2"/>
  <c r="BK51" i="2"/>
  <c r="BS17" i="2"/>
  <c r="BK37" i="2"/>
  <c r="BS7" i="2"/>
  <c r="BK6" i="2"/>
  <c r="BK13" i="2"/>
  <c r="BS21" i="2"/>
  <c r="BK48" i="2"/>
  <c r="BS42" i="2"/>
  <c r="BS27" i="2"/>
  <c r="BO14" i="2"/>
  <c r="BS14" i="2"/>
  <c r="BK19" i="2"/>
  <c r="BK27" i="2"/>
  <c r="BK40" i="2"/>
  <c r="BS45" i="2"/>
  <c r="B37" i="2" l="1"/>
  <c r="B36" i="2"/>
  <c r="B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3329D3A-1802-4780-9C46-84B2741B3E6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11BEAAB-648B-46BA-8C04-D0B88D263EF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55B64FE9-5C46-4E59-802B-C533AC4EA2C5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B9A5916D-380E-4BE3-B70E-7C92226B25C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ACB0562B-7D5B-4356-B6A1-0E6F3809AA6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913F649-DE11-4B2B-98E1-21F912228287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D60218E-9C8C-4091-B58B-05846F0C280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A776C2E-7656-417C-B580-9F2D3BF56D3F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7E66C22C-D43B-440E-9E51-14B243B806E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C37AC4A-85DD-4BA5-9C85-141EC3E4F86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7B9F7463-7EF6-4FD9-8997-584D61E155E0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9FF7E1E-C89F-4D79-92CD-B13F5106DC9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0FCC815-FAA7-4199-99FE-73C14DEE2B0A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B3366C3-8247-49C3-9B79-6E08C721A82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D4F89FA-85D1-4A77-B151-F07F2400DD0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D60D197B-1F11-4221-9F07-1D46F2CA25E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D88C888-7CB7-4E68-B086-D7C4902987E5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46C7C6C-FDBE-477E-A1D1-E370202BC75B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51FBBEA6-22A8-4757-8244-5B4D13FBA16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E108810-FB2B-433D-8E33-3F398B4C2A6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CFB8A003-CCB2-4063-960E-DE485CDDD1A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44601BF-EE9B-4617-BA30-75D6E6DEA85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EFDAF18-4EE0-47B6-A181-B520A2D071C4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BB059E3-C498-4885-AB1F-DBAC3E78FFC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8D9DA82-301C-493A-9ED1-9D4B416EA5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E64FC9F8-A984-4E23-9456-A2A49B25D8C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627E2E9-640A-4F54-A14E-D8D4622F8BFC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A35ECD4-53E9-428A-83BC-CFB6B0780B5F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ADADB09-33EB-41B9-B450-942413E4B871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E5CDBCD1-88B1-43AA-B85A-A0420B0AD86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768CC0CD-E897-4DA0-B734-9B3F3297EAA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04E6CC0-E30C-4A52-8E1D-0281139076A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6B1A6A23-5131-41A0-B048-2330AFB5AA2A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63AE7906-C136-475F-A7BC-21EDA1C3C4D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62FD3EC-9D4D-4BCD-A4C4-2A6A3105359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F8815-9463-4EAF-9541-F2967A762DE0}" keepAlive="1" name="Consulta - players_1_8_2022, 10 00 33" description="Conexión a la consulta 'players_1_8_2022, 10 00 33' en el libro." type="5" refreshedVersion="8" background="1" saveData="1">
    <dbPr connection="Provider=Microsoft.Mashup.OleDb.1;Data Source=$Workbook$;Location=&quot;players_1_8_2022, 10 00 33&quot;;Extended Properties=&quot;&quot;" command="SELECT * FROM [players_1_8_2022, 10 00 33]"/>
  </connection>
  <connection id="2" xr16:uid="{B144561E-7DAB-478C-893A-6AB0E2DFB66E}" keepAlive="1" name="Consulta - players_1_8_2022, 10 08 04" description="Conexión a la consulta 'players_1_8_2022, 10 08 04' en el libro." type="5" refreshedVersion="8" background="1" saveData="1">
    <dbPr connection="Provider=Microsoft.Mashup.OleDb.1;Data Source=$Workbook$;Location=&quot;players_1_8_2022, 10 08 04&quot;;Extended Properties=&quot;&quot;" command="SELECT * FROM [players_1_8_2022, 10 08 04]"/>
  </connection>
  <connection id="3" xr16:uid="{8EEE3BD1-A2CA-4C11-8648-177E55FBEEF2}" keepAlive="1" name="Consulta - players_10_8_2022, 11 50 08" description="Conexión a la consulta 'players_10_8_2022, 11 50 08' en el libro." type="5" refreshedVersion="0" background="1">
    <dbPr connection="Provider=Microsoft.Mashup.OleDb.1;Data Source=$Workbook$;Location=&quot;players_10_8_2022, 11 50 08&quot;;Extended Properties=&quot;&quot;" command="SELECT * FROM [players_10_8_2022, 11 50 08]"/>
  </connection>
  <connection id="4" xr16:uid="{E62906FD-7732-40FB-9351-785400D3A29B}" name="Consulta - players_10_8_2022, 11 50 08 (2)" description="Conexión a la consulta 'players_10_8_2022, 11 50 08 (2)' en el libro." type="100" refreshedVersion="8" minRefreshableVersion="5">
    <extLst>
      <ext xmlns:x15="http://schemas.microsoft.com/office/spreadsheetml/2010/11/main" uri="{DE250136-89BD-433C-8126-D09CA5730AF9}">
        <x15:connection id="fa317171-3623-40d7-b7b0-518d104e8de5"/>
      </ext>
    </extLst>
  </connection>
  <connection id="5" xr16:uid="{E1BB0071-35E6-46AA-BE0C-C15EB5BA42E3}" keepAlive="1" name="Consulta - players_10_8_2022, 11 50 08 (3)" description="Conexión a la consulta 'players_10_8_2022, 11 50 08 (3)' en el libro." type="5" refreshedVersion="8" background="1" saveData="1">
    <dbPr connection="Provider=Microsoft.Mashup.OleDb.1;Data Source=$Workbook$;Location=&quot;players_10_8_2022, 11 50 08 (3)&quot;;Extended Properties=&quot;&quot;" command="SELECT * FROM [players_10_8_2022, 11 50 08 (3)]"/>
  </connection>
  <connection id="6" xr16:uid="{EC43FAB9-95C2-406F-AC20-71D55519BE4D}" keepAlive="1" name="Consulta - players_10_8_2022, 12 05 25" description="Conexión a la consulta 'players_10_8_2022, 12 05 25' en el libro." type="5" refreshedVersion="8" background="1" saveData="1">
    <dbPr connection="Provider=Microsoft.Mashup.OleDb.1;Data Source=$Workbook$;Location=&quot;players_10_8_2022, 12 05 25&quot;;Extended Properties=&quot;&quot;" command="SELECT * FROM [players_10_8_2022, 12 05 25]"/>
  </connection>
  <connection id="7" xr16:uid="{12DDC445-DD76-4B3C-8F95-59EB1EE79002}" keepAlive="1" name="Consulta - players_11_8_2022, 14 28 13" description="Conexión a la consulta 'players_11_8_2022, 14 28 13' en el libro." type="5" refreshedVersion="8" background="1" saveData="1">
    <dbPr connection="Provider=Microsoft.Mashup.OleDb.1;Data Source=$Workbook$;Location=&quot;players_11_8_2022, 14 28 13&quot;;Extended Properties=&quot;&quot;" command="SELECT * FROM [players_11_8_2022, 14 28 13]"/>
  </connection>
  <connection id="8" xr16:uid="{6CE0DC48-8623-42D4-9111-3C6742F1B78C}" keepAlive="1" name="Consulta - players_11_8_2022, 14 29 42" description="Conexión a la consulta 'players_11_8_2022, 14 29 42' en el libro." type="5" refreshedVersion="8" background="1" saveData="1">
    <dbPr connection="Provider=Microsoft.Mashup.OleDb.1;Data Source=$Workbook$;Location=&quot;players_11_8_2022, 14 29 42&quot;;Extended Properties=&quot;&quot;" command="SELECT * FROM [players_11_8_2022, 14 29 42]"/>
  </connection>
  <connection id="9" xr16:uid="{686E8DC7-0428-4DED-A786-FC9A43CB4B45}" keepAlive="1" name="Consulta - players_11_8_2022, 14 30 49" description="Conexión a la consulta 'players_11_8_2022, 14 30 49' en el libro." type="5" refreshedVersion="8" background="1" saveData="1">
    <dbPr connection="Provider=Microsoft.Mashup.OleDb.1;Data Source=$Workbook$;Location=&quot;players_11_8_2022, 14 30 49&quot;;Extended Properties=&quot;&quot;" command="SELECT * FROM [players_11_8_2022, 14 30 49]"/>
  </connection>
  <connection id="10" xr16:uid="{A075E34B-1E43-4CB7-B377-2995409D567B}" keepAlive="1" name="Consulta - players_12_8_2022, 9 32 01" description="Conexión a la consulta 'players_12_8_2022, 9 32 01' en el libro." type="5" refreshedVersion="8" background="1" saveData="1">
    <dbPr connection="Provider=Microsoft.Mashup.OleDb.1;Data Source=$Workbook$;Location=&quot;players_12_8_2022, 9 32 01&quot;;Extended Properties=&quot;&quot;" command="SELECT * FROM [players_12_8_2022, 9 32 01]"/>
  </connection>
  <connection id="11" xr16:uid="{321B3585-0B16-48DE-89E6-04580EF2483A}" keepAlive="1" name="Consulta - players_12_9_2022, 16 09 48" description="Conexión a la consulta 'players_12_9_2022, 16 09 48' en el libro." type="5" refreshedVersion="8" background="1" saveData="1">
    <dbPr connection="Provider=Microsoft.Mashup.OleDb.1;Data Source=$Workbook$;Location=&quot;players_12_9_2022, 16 09 48&quot;;Extended Properties=&quot;&quot;" command="SELECT * FROM [players_12_9_2022, 16 09 48]"/>
  </connection>
  <connection id="12" xr16:uid="{26843AC2-6A3F-4307-A632-4B21211BADE7}" keepAlive="1" name="Consulta - players_12_9_2022, 16 11 29" description="Conexión a la consulta 'players_12_9_2022, 16 11 29' en el libro." type="5" refreshedVersion="8" background="1" saveData="1">
    <dbPr connection="Provider=Microsoft.Mashup.OleDb.1;Data Source=$Workbook$;Location=&quot;players_12_9_2022, 16 11 29&quot;;Extended Properties=&quot;&quot;" command="SELECT * FROM [players_12_9_2022, 16 11 29]"/>
  </connection>
  <connection id="13" xr16:uid="{23DAB587-D461-44BD-84E5-6C741322B00E}" keepAlive="1" name="Consulta - players_12_9_2022, 16 12 13" description="Conexión a la consulta 'players_12_9_2022, 16 12 13' en el libro." type="5" refreshedVersion="8" background="1" saveData="1">
    <dbPr connection="Provider=Microsoft.Mashup.OleDb.1;Data Source=$Workbook$;Location=&quot;players_12_9_2022, 16 12 13&quot;;Extended Properties=&quot;&quot;" command="SELECT * FROM [players_12_9_2022, 16 12 13]"/>
  </connection>
  <connection id="14" xr16:uid="{88652BA4-FACA-4FDD-8B7A-2B48A7500A54}" keepAlive="1" name="Consulta - players_16_9_2022, 11 36 01" description="Conexión a la consulta 'players_16_9_2022, 11 36 01' en el libro." type="5" refreshedVersion="8" background="1" saveData="1">
    <dbPr connection="Provider=Microsoft.Mashup.OleDb.1;Data Source=$Workbook$;Location=&quot;players_16_9_2022, 11 36 01&quot;;Extended Properties=&quot;&quot;" command="SELECT * FROM [players_16_9_2022, 11 36 01]"/>
  </connection>
  <connection id="15" xr16:uid="{E22012B7-9705-4829-A077-F9ECC2A8FB3F}" keepAlive="1" name="Consulta - players_21_9_2022, 14 33 00" description="Conexión a la consulta 'players_21_9_2022, 14 33 00' en el libro." type="5" refreshedVersion="8" background="1" saveData="1">
    <dbPr connection="Provider=Microsoft.Mashup.OleDb.1;Data Source=$Workbook$;Location=&quot;players_21_9_2022, 14 33 00&quot;;Extended Properties=&quot;&quot;" command="SELECT * FROM [players_21_9_2022, 14 33 00]"/>
  </connection>
  <connection id="16" xr16:uid="{F90315A2-9B33-4597-BD46-7DAB1BE5A042}" keepAlive="1" name="Consulta - players_29_7_2022, 16 34 44" description="Conexión a la consulta 'players_29_7_2022, 16 34 44' en el libro." type="5" refreshedVersion="8" background="1" saveData="1">
    <dbPr connection="Provider=Microsoft.Mashup.OleDb.1;Data Source=$Workbook$;Location=&quot;players_29_7_2022, 16 34 44&quot;;Extended Properties=&quot;&quot;" command="SELECT * FROM [players_29_7_2022, 16 34 44]"/>
  </connection>
  <connection id="17" xr16:uid="{A3787B32-C432-4E38-9F66-910B33AFB987}" keepAlive="1" name="Consulta - players_29_7_2022, 17 38 32" description="Conexión a la consulta 'players_29_7_2022, 17 38 32' en el libro." type="5" refreshedVersion="8" background="1" saveData="1">
    <dbPr connection="Provider=Microsoft.Mashup.OleDb.1;Data Source=$Workbook$;Location=&quot;players_29_7_2022, 17 38 32&quot;;Extended Properties=&quot;&quot;" command="SELECT * FROM [players_29_7_2022, 17 38 32]"/>
  </connection>
  <connection id="18" xr16:uid="{86C9541A-5FD9-4C1E-8C97-120EED1A8B22}" keepAlive="1" name="Consulta - players_29_7_2022, 17 49 51" description="Conexión a la consulta 'players_29_7_2022, 17 49 51' en el libro." type="5" refreshedVersion="8" background="1" saveData="1">
    <dbPr connection="Provider=Microsoft.Mashup.OleDb.1;Data Source=$Workbook$;Location=&quot;players_29_7_2022, 17 49 51&quot;;Extended Properties=&quot;&quot;" command="SELECT * FROM [players_29_7_2022, 17 49 51]"/>
  </connection>
  <connection id="19" xr16:uid="{F661ADBA-0FBF-4BF6-8666-C18939FCB550}" keepAlive="1" name="Consulta - players_29_7_2022, 17 55 47" description="Conexión a la consulta 'players_29_7_2022, 17 55 47' en el libro." type="5" refreshedVersion="8" background="1" saveData="1">
    <dbPr connection="Provider=Microsoft.Mashup.OleDb.1;Data Source=$Workbook$;Location=&quot;players_29_7_2022, 17 55 47&quot;;Extended Properties=&quot;&quot;" command="SELECT * FROM [players_29_7_2022, 17 55 47]"/>
  </connection>
  <connection id="20" xr16:uid="{87248A52-271F-4D70-A6E9-B3488BFA5018}" keepAlive="1" name="Consulta - players_29_7_2022, 18 02 31" description="Conexión a la consulta 'players_29_7_2022, 18 02 31' en el libro." type="5" refreshedVersion="8" background="1" saveData="1">
    <dbPr connection="Provider=Microsoft.Mashup.OleDb.1;Data Source=$Workbook$;Location=&quot;players_29_7_2022, 18 02 31&quot;;Extended Properties=&quot;&quot;" command="SELECT * FROM [players_29_7_2022, 18 02 31]"/>
  </connection>
  <connection id="21" xr16:uid="{8DB02D75-BDA2-47A3-9B43-6B8DCE814712}" keepAlive="1" name="Consulta - players_5_8_2022, 10 27 02" description="Conexión a la consulta 'players_5_8_2022, 10 27 02' en el libro." type="5" refreshedVersion="8" background="1" saveData="1">
    <dbPr connection="Provider=Microsoft.Mashup.OleDb.1;Data Source=$Workbook$;Location=&quot;players_5_8_2022, 10 27 02&quot;;Extended Properties=&quot;&quot;" command="SELECT * FROM [players_5_8_2022, 10 27 02]"/>
  </connection>
  <connection id="22" xr16:uid="{C6B8966A-AF80-4A5F-B53E-885FB55CC625}" keepAlive="1" name="Consulta - players_8_8_2022, 11 49 37" description="Conexión a la consulta 'players_8_8_2022, 11 49 37' en el libro." type="5" refreshedVersion="0" background="1">
    <dbPr connection="Provider=Microsoft.Mashup.OleDb.1;Data Source=$Workbook$;Location=&quot;players_8_8_2022, 11 49 37&quot;;Extended Properties=&quot;&quot;" command="SELECT * FROM [players_8_8_2022, 11 49 37]"/>
  </connection>
  <connection id="23" xr16:uid="{E9619DDB-1CD9-4360-B0BD-7A7837E1961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<sst xmlns="http://schemas.openxmlformats.org/spreadsheetml/2006/main" count="4711" uniqueCount="510">
  <si>
    <t>2º</t>
  </si>
  <si>
    <t>-DEF</t>
  </si>
  <si>
    <t>-</t>
  </si>
  <si>
    <t>RAP</t>
  </si>
  <si>
    <t>Sol</t>
  </si>
  <si>
    <t>1º+2º</t>
  </si>
  <si>
    <t>-DEF-ANO</t>
  </si>
  <si>
    <t>Lluvia</t>
  </si>
  <si>
    <t>-ANO-RES</t>
  </si>
  <si>
    <t xml:space="preserve">POT </t>
  </si>
  <si>
    <t>+DF+JG+AN</t>
  </si>
  <si>
    <t>+</t>
  </si>
  <si>
    <t>+JUG+ANO</t>
  </si>
  <si>
    <t>TEC</t>
  </si>
  <si>
    <t>-JUG-ANO</t>
  </si>
  <si>
    <t>Tiempo</t>
  </si>
  <si>
    <t>Hab</t>
  </si>
  <si>
    <t>+/-</t>
  </si>
  <si>
    <t>Esp</t>
  </si>
  <si>
    <t>Clima</t>
  </si>
  <si>
    <t>LOCAL</t>
  </si>
  <si>
    <t>VISITANT</t>
  </si>
  <si>
    <t>EMPATE</t>
  </si>
  <si>
    <t>Ocasiones Total Gol</t>
  </si>
  <si>
    <t>Probabilidad de CA</t>
  </si>
  <si>
    <t>Probabilidad de TL</t>
  </si>
  <si>
    <t>Efectividad</t>
  </si>
  <si>
    <t>Tiro Lejano</t>
  </si>
  <si>
    <t>at-bp-i</t>
  </si>
  <si>
    <t>at-bp-d</t>
  </si>
  <si>
    <t>at-izquierda</t>
  </si>
  <si>
    <t>at-derecha</t>
  </si>
  <si>
    <t>at-central</t>
  </si>
  <si>
    <t>p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</si>
  <si>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</si>
  <si>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</si>
  <si>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</si>
  <si>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</si>
  <si>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</si>
  <si>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</si>
  <si>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</si>
  <si>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</si>
  <si>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</si>
  <si>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</si>
  <si>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G0</t>
  </si>
  <si>
    <t>E(x)</t>
  </si>
  <si>
    <t>P</t>
  </si>
  <si>
    <t>Total</t>
  </si>
  <si>
    <t>OcaCA</t>
  </si>
  <si>
    <t>TotalN</t>
  </si>
  <si>
    <t>O_CA</t>
  </si>
  <si>
    <t>OcaS</t>
  </si>
  <si>
    <t>EE(x)</t>
  </si>
  <si>
    <t>p(x)</t>
  </si>
  <si>
    <t>GT</t>
  </si>
  <si>
    <t>G</t>
  </si>
  <si>
    <t>Visitante</t>
  </si>
  <si>
    <t>Local</t>
  </si>
  <si>
    <t>Posesión Real</t>
  </si>
  <si>
    <t>Ocasiones Gol</t>
  </si>
  <si>
    <t>Posesión HT</t>
  </si>
  <si>
    <t>Ocasiones Compartidas</t>
  </si>
  <si>
    <t>Oca Destruidas Pression</t>
  </si>
  <si>
    <t>All</t>
  </si>
  <si>
    <t>Nivel Tactica</t>
  </si>
  <si>
    <t>E+D</t>
  </si>
  <si>
    <t>Normal</t>
  </si>
  <si>
    <t>Tactica</t>
  </si>
  <si>
    <t>Del POT</t>
  </si>
  <si>
    <t>Del</t>
  </si>
  <si>
    <t xml:space="preserve">Nivel medio HabPri </t>
  </si>
  <si>
    <t>TEC vs CAB</t>
  </si>
  <si>
    <t>Experiencia Equipo</t>
  </si>
  <si>
    <t>Lat+ANO</t>
  </si>
  <si>
    <t>Pos2</t>
  </si>
  <si>
    <t>Faltas indirectas At</t>
  </si>
  <si>
    <t>Lat+CAB</t>
  </si>
  <si>
    <t>Pos1</t>
  </si>
  <si>
    <t>Faltas indirectas Def</t>
  </si>
  <si>
    <t>IMP Propia</t>
  </si>
  <si>
    <t>Ataque izquierdo</t>
  </si>
  <si>
    <t>Corner + CAB</t>
  </si>
  <si>
    <t>Ataque central</t>
  </si>
  <si>
    <t>Corner + Ano</t>
  </si>
  <si>
    <t>pos</t>
  </si>
  <si>
    <t>Ataque derecho</t>
  </si>
  <si>
    <t>RAP+Pase</t>
  </si>
  <si>
    <t>No</t>
  </si>
  <si>
    <t>Defensa izquierda</t>
  </si>
  <si>
    <t>RAP+Ano</t>
  </si>
  <si>
    <t>Defensa central</t>
  </si>
  <si>
    <t>IMP Fallo</t>
  </si>
  <si>
    <t>Defensa derecha</t>
  </si>
  <si>
    <t>IMP</t>
  </si>
  <si>
    <t>CAB</t>
  </si>
  <si>
    <t>Mediocampo</t>
  </si>
  <si>
    <t>IMP+Ano</t>
  </si>
  <si>
    <t>FORMACION</t>
  </si>
  <si>
    <t>IMP+Pase</t>
  </si>
  <si>
    <t>VIS</t>
  </si>
  <si>
    <t>LOC</t>
  </si>
  <si>
    <t>g2</t>
  </si>
  <si>
    <t>g1</t>
  </si>
  <si>
    <t>pConv2</t>
  </si>
  <si>
    <t>pConv1</t>
  </si>
  <si>
    <t>a2</t>
  </si>
  <si>
    <t>a1</t>
  </si>
  <si>
    <t>pOK</t>
  </si>
  <si>
    <t>pbase</t>
  </si>
  <si>
    <t>Slots2</t>
  </si>
  <si>
    <t>Slots1</t>
  </si>
  <si>
    <t>Descripcion</t>
  </si>
  <si>
    <t>Slots</t>
  </si>
  <si>
    <t>Evento</t>
  </si>
  <si>
    <t>p(2)</t>
  </si>
  <si>
    <t>p(1)</t>
  </si>
  <si>
    <t>p(0)</t>
  </si>
  <si>
    <t>pVis</t>
  </si>
  <si>
    <t>pLoc</t>
  </si>
  <si>
    <t>NEU</t>
  </si>
  <si>
    <t>Obiwan</t>
  </si>
  <si>
    <t>Vader</t>
  </si>
  <si>
    <t>III.12</t>
  </si>
  <si>
    <t>Desde</t>
  </si>
  <si>
    <t>Region</t>
  </si>
  <si>
    <t>MejorLiga</t>
  </si>
  <si>
    <t>Compres</t>
  </si>
  <si>
    <t>Vendes</t>
  </si>
  <si>
    <t>Trans</t>
  </si>
  <si>
    <t>TSI</t>
  </si>
  <si>
    <t>Sueldos</t>
  </si>
  <si>
    <t>POT</t>
  </si>
  <si>
    <t>Tot</t>
  </si>
  <si>
    <t>Entrenador</t>
  </si>
  <si>
    <t>Tacticas</t>
  </si>
  <si>
    <t>III (4)</t>
  </si>
  <si>
    <t>Catalunya</t>
  </si>
  <si>
    <t>Club Atlético Gaditano</t>
  </si>
  <si>
    <t>Andalucia</t>
  </si>
  <si>
    <t>TL</t>
  </si>
  <si>
    <t>III (2)</t>
  </si>
  <si>
    <t>V@der SC</t>
  </si>
  <si>
    <t>Pamboli</t>
  </si>
  <si>
    <t>II (1)</t>
  </si>
  <si>
    <t>Fecha Actualizacion</t>
  </si>
  <si>
    <t>Edad</t>
  </si>
  <si>
    <t>DC</t>
  </si>
  <si>
    <t>MC</t>
  </si>
  <si>
    <t>DEL</t>
  </si>
  <si>
    <t>Nacionalidad</t>
  </si>
  <si>
    <t>Dorsal</t>
  </si>
  <si>
    <t>Nombre</t>
  </si>
  <si>
    <t>ID del jugador</t>
  </si>
  <si>
    <t>Especialidad</t>
  </si>
  <si>
    <t>Bonificación por club de origen</t>
  </si>
  <si>
    <t>Lesiones</t>
  </si>
  <si>
    <t>Amonestaciones</t>
  </si>
  <si>
    <t>En la lista de transferencias</t>
  </si>
  <si>
    <t>Días</t>
  </si>
  <si>
    <t>Salario</t>
  </si>
  <si>
    <t>Semanas en el club</t>
  </si>
  <si>
    <t>Experiencia</t>
  </si>
  <si>
    <t>Liderazgo</t>
  </si>
  <si>
    <t>Fidelidad</t>
  </si>
  <si>
    <t>Forma</t>
  </si>
  <si>
    <t>Resistencia</t>
  </si>
  <si>
    <t>Fecha último partido</t>
  </si>
  <si>
    <t>Rendimiento último partido</t>
  </si>
  <si>
    <t>Demarcación último partido</t>
  </si>
  <si>
    <t>Comoras</t>
  </si>
  <si>
    <t>John Oluoch</t>
  </si>
  <si>
    <t>Imprevisible</t>
  </si>
  <si>
    <t/>
  </si>
  <si>
    <t>POR</t>
  </si>
  <si>
    <t>España</t>
  </si>
  <si>
    <t>Iker Bidagille</t>
  </si>
  <si>
    <t>Potente</t>
  </si>
  <si>
    <t>LI</t>
  </si>
  <si>
    <t>Hungría</t>
  </si>
  <si>
    <t>Zoltán Tarlós</t>
  </si>
  <si>
    <t>Rápido</t>
  </si>
  <si>
    <t>ED</t>
  </si>
  <si>
    <t>José David Pastor</t>
  </si>
  <si>
    <t>Cabeceador</t>
  </si>
  <si>
    <t>Chile</t>
  </si>
  <si>
    <t>Alvaro Melo</t>
  </si>
  <si>
    <t>Alemania</t>
  </si>
  <si>
    <t>Nils Steinbeißer</t>
  </si>
  <si>
    <t>Liechtenstein</t>
  </si>
  <si>
    <t>Gert Mayer</t>
  </si>
  <si>
    <t>Polonia</t>
  </si>
  <si>
    <t>Bartosz Bucior</t>
  </si>
  <si>
    <t>Hanning Fietze</t>
  </si>
  <si>
    <t>Mozambique</t>
  </si>
  <si>
    <t>António Eurico Gonçalves Fonseca</t>
  </si>
  <si>
    <t>Bulgaria</t>
  </si>
  <si>
    <t>Sadri Ziyat</t>
  </si>
  <si>
    <t>Taiwán</t>
  </si>
  <si>
    <t>楊 (Yang) 海博 (Haibo)</t>
  </si>
  <si>
    <t>Italia</t>
  </si>
  <si>
    <t>Eligio Giorgetta</t>
  </si>
  <si>
    <t>EI</t>
  </si>
  <si>
    <t>Portugal</t>
  </si>
  <si>
    <t>Alexandrino Sola de Sá Pato</t>
  </si>
  <si>
    <t>Grecia</t>
  </si>
  <si>
    <t>Lakis Meletiou</t>
  </si>
  <si>
    <t>Mário Dionísio Mega</t>
  </si>
  <si>
    <t>LD</t>
  </si>
  <si>
    <t>Israel</t>
  </si>
  <si>
    <t>Nehorai Dollberg</t>
  </si>
  <si>
    <t>Francia</t>
  </si>
  <si>
    <t>Guillaume Mondésir</t>
  </si>
  <si>
    <t>Panamá</t>
  </si>
  <si>
    <t>Samuel Mendoza</t>
  </si>
  <si>
    <t>Félix Idígoras</t>
  </si>
  <si>
    <t>Rafael Hinojosa</t>
  </si>
  <si>
    <t>Alberto Ciaurriz</t>
  </si>
  <si>
    <t>Jug IMP</t>
  </si>
  <si>
    <t>TSIi</t>
  </si>
  <si>
    <t>Sueldoi</t>
  </si>
  <si>
    <t>Formai</t>
  </si>
  <si>
    <t>Resi</t>
  </si>
  <si>
    <t>Xpi</t>
  </si>
  <si>
    <t>Edadi</t>
  </si>
  <si>
    <t>Importante</t>
  </si>
  <si>
    <t>Semana</t>
  </si>
  <si>
    <t>Suma de TSI</t>
  </si>
  <si>
    <t>Suma de Salario</t>
  </si>
  <si>
    <t>Etiquetas de fila</t>
  </si>
  <si>
    <t>Total general</t>
  </si>
  <si>
    <t>Promedio de Forma</t>
  </si>
  <si>
    <t>Promedio de Experiencia</t>
  </si>
  <si>
    <t>Promedio de Resistencia</t>
  </si>
  <si>
    <t>Cuenta de Nombre</t>
  </si>
  <si>
    <t>Promedio de Edad</t>
  </si>
  <si>
    <t>Promedio de Días</t>
  </si>
  <si>
    <t>30(47)</t>
  </si>
  <si>
    <t>Potencial</t>
  </si>
  <si>
    <t>352 (451-253)</t>
  </si>
  <si>
    <t>Etiquetas de columna</t>
  </si>
  <si>
    <t>POS</t>
  </si>
  <si>
    <t>EXT</t>
  </si>
  <si>
    <t>INN</t>
  </si>
  <si>
    <t>DEF</t>
  </si>
  <si>
    <t>LAT</t>
  </si>
  <si>
    <t>VADER</t>
  </si>
  <si>
    <t>CA</t>
  </si>
  <si>
    <t>352 Medio</t>
  </si>
  <si>
    <t>III (8)</t>
  </si>
  <si>
    <t>32(81)</t>
  </si>
  <si>
    <t>Excelent - Neutro - Acep</t>
  </si>
  <si>
    <t>532/352</t>
  </si>
  <si>
    <t>Serbia</t>
  </si>
  <si>
    <t>Nemanja Vidaković</t>
  </si>
  <si>
    <t>Caetano Ousa</t>
  </si>
  <si>
    <t>Felipe García</t>
  </si>
  <si>
    <t>Volodymyr Reznichenko</t>
  </si>
  <si>
    <t>Nihat Paksu</t>
  </si>
  <si>
    <t>Bosnia y Herzegovina</t>
  </si>
  <si>
    <t>Relja Bogunović</t>
  </si>
  <si>
    <t>Iskander Baris</t>
  </si>
  <si>
    <t>Eslovenia</t>
  </si>
  <si>
    <t>Oto Rejc</t>
  </si>
  <si>
    <t>Brasil</t>
  </si>
  <si>
    <t>Jeanzinho Pequeno</t>
  </si>
  <si>
    <t>Azerbaiyán</t>
  </si>
  <si>
    <t>Fuad Acalov</t>
  </si>
  <si>
    <t>Paulo Achinger</t>
  </si>
  <si>
    <t>Suiza</t>
  </si>
  <si>
    <t>Ludger Vonach</t>
  </si>
  <si>
    <t>Irán</t>
  </si>
  <si>
    <t>Gnel Saginyan</t>
  </si>
  <si>
    <t>Paskoal Oñaberri</t>
  </si>
  <si>
    <t>Crispin Deans</t>
  </si>
  <si>
    <t>Alexander Dzhurov</t>
  </si>
  <si>
    <t>Honduras</t>
  </si>
  <si>
    <t>Francisco Miguel Andrea</t>
  </si>
  <si>
    <t>Josep Maria Altarriba</t>
  </si>
  <si>
    <t>Marcus Oldershausen</t>
  </si>
  <si>
    <t>Žan Luka Škrbina</t>
  </si>
  <si>
    <t>31(66)</t>
  </si>
  <si>
    <t>Bueno - Neu - Acep</t>
  </si>
  <si>
    <t>Bueno - Def - Bueno</t>
  </si>
  <si>
    <t>Habasit</t>
  </si>
  <si>
    <t>III (1)</t>
  </si>
  <si>
    <t>Rupert Penke</t>
  </si>
  <si>
    <t>Rumanía</t>
  </si>
  <si>
    <t>Cătălin Şandor</t>
  </si>
  <si>
    <t>Juan Pablo Pan Álvarez</t>
  </si>
  <si>
    <t>Antonio Llorente</t>
  </si>
  <si>
    <t>Rövşən Mehdiyev</t>
  </si>
  <si>
    <t>Argentina</t>
  </si>
  <si>
    <t>Federico Abitante</t>
  </si>
  <si>
    <t>Alessio Mastantuoni</t>
  </si>
  <si>
    <t>David Venet</t>
  </si>
  <si>
    <t>Dominik Pigulski</t>
  </si>
  <si>
    <t>Franciszek Gaweł</t>
  </si>
  <si>
    <t>Gregor Meissner</t>
  </si>
  <si>
    <t>Letonia</t>
  </si>
  <si>
    <t>Gudmunds Romanovskis</t>
  </si>
  <si>
    <t>Arabia Saudí</t>
  </si>
  <si>
    <t>Hamdi Hamed Al-Samy</t>
  </si>
  <si>
    <t>Henryk Osipowicz</t>
  </si>
  <si>
    <t>Holanda</t>
  </si>
  <si>
    <t>Mart Gerdez</t>
  </si>
  <si>
    <t>República Checa</t>
  </si>
  <si>
    <t>Pavel Ministr</t>
  </si>
  <si>
    <t>Rafael Molleja</t>
  </si>
  <si>
    <t>Islandia</t>
  </si>
  <si>
    <t>Valdimar Egilsson</t>
  </si>
  <si>
    <t>Vicente del Jarama</t>
  </si>
  <si>
    <t>29(43)</t>
  </si>
  <si>
    <t>Bueno - Def - Insuf</t>
  </si>
  <si>
    <t>Las Ánimas</t>
  </si>
  <si>
    <t>Valencia</t>
  </si>
  <si>
    <t>Javier Manuel Vázquez</t>
  </si>
  <si>
    <t>Pablo Berástegui</t>
  </si>
  <si>
    <t>Juan Raúl González Bárcena</t>
  </si>
  <si>
    <t>Lauro Barandela</t>
  </si>
  <si>
    <t>Jorge Durandio</t>
  </si>
  <si>
    <t>Alejandro del Pino García</t>
  </si>
  <si>
    <t>Andrea Mazziotta</t>
  </si>
  <si>
    <t>Daniel Labayen Aranzabe</t>
  </si>
  <si>
    <t>Eilo Enderika</t>
  </si>
  <si>
    <t>Fortunat Kauth</t>
  </si>
  <si>
    <t>Gonzalo Porcuna</t>
  </si>
  <si>
    <t>Gonzalo Vázquez</t>
  </si>
  <si>
    <t>Hugo Figueras</t>
  </si>
  <si>
    <t>James Ancelot</t>
  </si>
  <si>
    <t>Joaquín Olazábal Solís</t>
  </si>
  <si>
    <t>José Porcel</t>
  </si>
  <si>
    <t>Juan Jesús de Oro</t>
  </si>
  <si>
    <t>Liviu Bran</t>
  </si>
  <si>
    <t>Marcial Briz</t>
  </si>
  <si>
    <t>Maximiliano Veber</t>
  </si>
  <si>
    <t>Raúl Galquio</t>
  </si>
  <si>
    <t>Salvador Monllau</t>
  </si>
  <si>
    <t>Tomás Triana</t>
  </si>
  <si>
    <t>Víctor Vasa</t>
  </si>
  <si>
    <t>Xesc Ferriols</t>
  </si>
  <si>
    <t>31(47)</t>
  </si>
  <si>
    <t>Excelente - Neu - Insuf</t>
  </si>
  <si>
    <t>253/352</t>
  </si>
  <si>
    <t>La Barrilla</t>
  </si>
  <si>
    <t>Ariel Szramkowski</t>
  </si>
  <si>
    <t>Aurelio Bochini</t>
  </si>
  <si>
    <t>Técnico</t>
  </si>
  <si>
    <t>Bélgica</t>
  </si>
  <si>
    <t>Cecil Debackere</t>
  </si>
  <si>
    <t>Cristi Răducă</t>
  </si>
  <si>
    <t>Gerard Xiol</t>
  </si>
  <si>
    <t>Grégory Sénéchal</t>
  </si>
  <si>
    <t>Jaume Vilatobà</t>
  </si>
  <si>
    <t>Joaquín Vuelta</t>
  </si>
  <si>
    <t>José Alaminos</t>
  </si>
  <si>
    <t>José Ramón Espés</t>
  </si>
  <si>
    <t>Juan Alarcón</t>
  </si>
  <si>
    <t>Juan Mayor</t>
  </si>
  <si>
    <t>Juan Ochotorena</t>
  </si>
  <si>
    <t>Jurrie Wezeman</t>
  </si>
  <si>
    <t>Kenneth Ooms</t>
  </si>
  <si>
    <t>Jamaica</t>
  </si>
  <si>
    <t>Leon Dowe</t>
  </si>
  <si>
    <t>Marc Santander</t>
  </si>
  <si>
    <t>Marcos Serbia</t>
  </si>
  <si>
    <t>Piotr Stawirej</t>
  </si>
  <si>
    <t>Pol Jover</t>
  </si>
  <si>
    <t>Raúl Eduardo Sisalli</t>
  </si>
  <si>
    <t>Robin Jupa</t>
  </si>
  <si>
    <t>Ulf Kelberger</t>
  </si>
  <si>
    <t>Valentín Vuelta</t>
  </si>
  <si>
    <t>Japón</t>
  </si>
  <si>
    <t>賢士 (Kenji) 岩崎 (Iwasaki)</t>
  </si>
  <si>
    <t>31(55)</t>
  </si>
  <si>
    <t>Excelente - Neu - Debil</t>
  </si>
  <si>
    <t>Galicia</t>
  </si>
  <si>
    <t>III (9)</t>
  </si>
  <si>
    <t>Stefano Blotto</t>
  </si>
  <si>
    <t>Angola</t>
  </si>
  <si>
    <t>Fernando Nogueira</t>
  </si>
  <si>
    <t>El Salvador</t>
  </si>
  <si>
    <t>Filiberto Poleo</t>
  </si>
  <si>
    <t>Ucrania</t>
  </si>
  <si>
    <t>Mstyslav Mikhailenko</t>
  </si>
  <si>
    <t>Palestina</t>
  </si>
  <si>
    <t>Saad Kawood</t>
  </si>
  <si>
    <t>Costa de Marfil</t>
  </si>
  <si>
    <t>Gaoussou Gali</t>
  </si>
  <si>
    <t>Perú</t>
  </si>
  <si>
    <t>Fabián Olveira</t>
  </si>
  <si>
    <t>Uzbekistán</t>
  </si>
  <si>
    <t>Abduqahor Dadajonov</t>
  </si>
  <si>
    <t>Dinamarca</t>
  </si>
  <si>
    <t>Walther Kaae</t>
  </si>
  <si>
    <t>Narciso Matos</t>
  </si>
  <si>
    <t>Artemio Seccarecci</t>
  </si>
  <si>
    <t>Dariusz Druszcz</t>
  </si>
  <si>
    <t>Alberto Macedo</t>
  </si>
  <si>
    <t>Suecia</t>
  </si>
  <si>
    <t>Stig Alexandersson</t>
  </si>
  <si>
    <t>Edwin Roche</t>
  </si>
  <si>
    <t>Rafał Wolter</t>
  </si>
  <si>
    <t>Naeim Ansarifard</t>
  </si>
  <si>
    <t>Niels Schwimmbeck</t>
  </si>
  <si>
    <t>Pedro Ruiz de Viana</t>
  </si>
  <si>
    <t>David Alberti</t>
  </si>
  <si>
    <t>Diego Camasobras</t>
  </si>
  <si>
    <t>Dragoş Căprescu</t>
  </si>
  <si>
    <t>Abdeladle Quernin</t>
  </si>
  <si>
    <t>Mundial Rodríguez</t>
  </si>
  <si>
    <t>Àlex Font</t>
  </si>
  <si>
    <t>Bernat Novich</t>
  </si>
  <si>
    <t>Carlos Abenoza</t>
  </si>
  <si>
    <t>Chahid Fryadi</t>
  </si>
  <si>
    <t>Cibrán do Cubo</t>
  </si>
  <si>
    <t>Daniel Osorio</t>
  </si>
  <si>
    <t>Emiliano Molina Blanco</t>
  </si>
  <si>
    <t>José Horachita</t>
  </si>
  <si>
    <t>Luis Vicente Fernández</t>
  </si>
  <si>
    <t>Marcos Galleguillos</t>
  </si>
  <si>
    <t>Mauricio Calasanz</t>
  </si>
  <si>
    <t>Mauro Fuenlabrada</t>
  </si>
  <si>
    <t>Samuel Arias</t>
  </si>
  <si>
    <t>Paso que arraso</t>
  </si>
  <si>
    <t>Madrid</t>
  </si>
  <si>
    <t>Federico Bada</t>
  </si>
  <si>
    <t>Jochen Brinker</t>
  </si>
  <si>
    <t>José Enrique Agud</t>
  </si>
  <si>
    <t>Ignacio Botos</t>
  </si>
  <si>
    <t>Xinés Ousinde</t>
  </si>
  <si>
    <t>Lucio Abbruscato</t>
  </si>
  <si>
    <t>Antonio 'La bala' Folgado</t>
  </si>
  <si>
    <t>Gianluca Linzalone</t>
  </si>
  <si>
    <t>Licínio Melo Correia</t>
  </si>
  <si>
    <t>Gonzalo Maestre Zapata</t>
  </si>
  <si>
    <t>Josep Vicenç Masamunt</t>
  </si>
  <si>
    <t>Maciej Lejk</t>
  </si>
  <si>
    <t>Natalio Urcola</t>
  </si>
  <si>
    <t>Àngel Pol</t>
  </si>
  <si>
    <t>Finlandia</t>
  </si>
  <si>
    <t>Otto Turula</t>
  </si>
  <si>
    <t>30(48)</t>
  </si>
  <si>
    <t>Spartak de Santiago</t>
  </si>
  <si>
    <t>Comentario</t>
  </si>
  <si>
    <t>Jornada</t>
  </si>
  <si>
    <t>Partido</t>
  </si>
  <si>
    <t>Tactica Local</t>
  </si>
  <si>
    <t>Tactica Visitante</t>
  </si>
  <si>
    <t xml:space="preserve">Lo que espero </t>
  </si>
  <si>
    <t>Lo que paso</t>
  </si>
  <si>
    <t>Resultado</t>
  </si>
  <si>
    <t>3-1</t>
  </si>
  <si>
    <t>343 Normal</t>
  </si>
  <si>
    <t>Fuertes At/Def Laterales con medio entre Brillante y Magnifico. Con Brillante se podia jugar 352 con opciones igualadas. Con Magnifico mejor CA pero siempre a 50/50. Salgo CA por si acaso</t>
  </si>
  <si>
    <t>Sale 343 en lugar de 352. Y medio Brillante alto. Justo limite CA/352. El evento cae de su lado y algo de mala suerte en las conversiones. Partido para empate que pierdo</t>
  </si>
  <si>
    <t>532 CA</t>
  </si>
  <si>
    <t>EXT/INN</t>
  </si>
  <si>
    <t xml:space="preserve">EXT </t>
  </si>
  <si>
    <t>INN(CEN)</t>
  </si>
  <si>
    <t>EXT/LAT</t>
  </si>
  <si>
    <t>DEL/INN</t>
  </si>
  <si>
    <t xml:space="preserve">DEL </t>
  </si>
  <si>
    <t>Suma de Forma</t>
  </si>
  <si>
    <t>Spartak</t>
  </si>
  <si>
    <t>Racing Zaragozano</t>
  </si>
  <si>
    <t>550 TL</t>
  </si>
  <si>
    <t>(+1,25)</t>
  </si>
  <si>
    <t>Vs previsto</t>
  </si>
  <si>
    <t>ok</t>
  </si>
  <si>
    <t>(+3,5)</t>
  </si>
  <si>
    <t>VADER - Spartak de Santiago</t>
  </si>
  <si>
    <t>Pamboli - VADER</t>
  </si>
  <si>
    <t>2-0</t>
  </si>
  <si>
    <t>352 Normal</t>
  </si>
  <si>
    <t>Equipo Compenado con Magnifico pelado mediocampo. En casa salir 352 sale bastante mejor que a la CA. 65/35 para mi</t>
  </si>
  <si>
    <t xml:space="preserve">MedioCampo como esperado. Saca un banda mucho mas fuerte de lo esperado pero las opciones no cambian mucho. </t>
  </si>
  <si>
    <t>DEF/INN</t>
  </si>
  <si>
    <t>AOW</t>
  </si>
  <si>
    <t>INN/EXT</t>
  </si>
  <si>
    <t>CEN</t>
  </si>
  <si>
    <t>CEN/INN</t>
  </si>
  <si>
    <t>Suma de Rendimiento último partido</t>
  </si>
  <si>
    <t>(en blanco)</t>
  </si>
  <si>
    <t>JC</t>
  </si>
  <si>
    <t>Valerio Olevano</t>
  </si>
  <si>
    <t>Joakim Ørum</t>
  </si>
  <si>
    <t>Augusto Castrovido</t>
  </si>
  <si>
    <t>Alberto Bailo</t>
  </si>
  <si>
    <t>(Todas)</t>
  </si>
  <si>
    <t>Res</t>
  </si>
  <si>
    <t>Form</t>
  </si>
  <si>
    <t>Estrellas</t>
  </si>
  <si>
    <t>Habasit - VADER</t>
  </si>
  <si>
    <t>352 - Creativo con Marcaje a Inner</t>
  </si>
  <si>
    <t>550 TL ?</t>
  </si>
  <si>
    <t>Clave es bajar a menos de TT su mediocampo con el marcaje. A ver que tal el Creativo</t>
  </si>
  <si>
    <t>Animas</t>
  </si>
  <si>
    <t>NO</t>
  </si>
  <si>
    <t>Jesús Aranzábal</t>
  </si>
  <si>
    <t>Víctor Julio Mossos</t>
  </si>
  <si>
    <t>Alberto Guazo</t>
  </si>
  <si>
    <t>Estevo da Seara</t>
  </si>
  <si>
    <t>Francesco Davide Buta</t>
  </si>
  <si>
    <t>Francisco Jesús Guim</t>
  </si>
  <si>
    <t>Juan Luis Trevijano</t>
  </si>
  <si>
    <t>Miguel Ureta</t>
  </si>
  <si>
    <t>DC/INN</t>
  </si>
  <si>
    <t>Total Suma de Forma</t>
  </si>
  <si>
    <t>Total Suma de TSI</t>
  </si>
  <si>
    <t>Total Suma de Rendimiento último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</si>
</sst>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_€_-;\-* #,##0.00\ _€_-;_-* &quot;-&quot;??\ _€_-;_-@_-"/>
    <numFmt numFmtId="166" formatCode="_-* #,##0.000\ _€_-;\-* #,##0.000\ _€_-;_-* &quot;-&quot;??\ _€_-;_-@_-"/>
    <numFmt numFmtId="167" formatCode="0.000"/>
    <numFmt numFmtId="168" formatCode="0.0000"/>
    <numFmt numFmtId="169" formatCode="m/d/yyyy"/>
    <numFmt numFmtId="170" formatCode="_-* #,##0\ &quot;€&quot;_-;\-* #,##0\ &quot;€&quot;_-;_-* &quot;-&quot;??\ &quot;€&quot;_-;_-@_-"/>
    <numFmt numFmtId="171" formatCode="_-* #,##0_-;\-* #,##0_-;_-* &quot;-&quot;??_-;_-@_-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4BD9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3"/>
    <xf numFmtId="164" fontId="3" fillId="0" borderId="0" xfId="3" applyNumberFormat="1"/>
    <xf numFmtId="0" fontId="4" fillId="2" borderId="1" xfId="3" applyFont="1" applyFill="1" applyBorder="1" applyAlignment="1">
      <alignment horizontal="left" vertical="top" wrapText="1"/>
    </xf>
    <xf numFmtId="0" fontId="3" fillId="0" borderId="0" xfId="3" applyAlignment="1">
      <alignment horizontal="center"/>
    </xf>
    <xf numFmtId="0" fontId="5" fillId="0" borderId="0" xfId="3" applyFont="1" applyAlignment="1">
      <alignment horizontal="center"/>
    </xf>
    <xf numFmtId="9" fontId="3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164" fontId="0" fillId="0" borderId="0" xfId="4" applyNumberFormat="1" applyFont="1"/>
    <xf numFmtId="165" fontId="0" fillId="0" borderId="2" xfId="5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164" fontId="0" fillId="0" borderId="2" xfId="4" applyNumberFormat="1" applyFont="1" applyBorder="1" applyAlignment="1">
      <alignment horizontal="center"/>
    </xf>
    <xf numFmtId="164" fontId="0" fillId="0" borderId="3" xfId="4" applyNumberFormat="1" applyFont="1" applyBorder="1" applyAlignment="1">
      <alignment horizontal="center"/>
    </xf>
    <xf numFmtId="164" fontId="5" fillId="0" borderId="4" xfId="4" applyNumberFormat="1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166" fontId="0" fillId="0" borderId="6" xfId="5" applyNumberFormat="1" applyFont="1" applyBorder="1" applyAlignment="1">
      <alignment horizontal="center"/>
    </xf>
    <xf numFmtId="0" fontId="3" fillId="0" borderId="2" xfId="3" applyBorder="1" applyAlignment="1">
      <alignment horizontal="center"/>
    </xf>
    <xf numFmtId="0" fontId="3" fillId="0" borderId="3" xfId="3" applyBorder="1" applyAlignment="1">
      <alignment horizontal="center"/>
    </xf>
    <xf numFmtId="0" fontId="5" fillId="0" borderId="7" xfId="3" applyFont="1" applyBorder="1" applyAlignment="1">
      <alignment horizontal="center"/>
    </xf>
    <xf numFmtId="164" fontId="6" fillId="0" borderId="4" xfId="4" applyNumberFormat="1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4" fillId="3" borderId="1" xfId="3" applyFont="1" applyFill="1" applyBorder="1" applyAlignment="1">
      <alignment horizontal="left" vertical="top" wrapText="1"/>
    </xf>
    <xf numFmtId="0" fontId="5" fillId="0" borderId="0" xfId="3" applyFont="1"/>
    <xf numFmtId="164" fontId="5" fillId="0" borderId="8" xfId="4" applyNumberFormat="1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164" fontId="6" fillId="0" borderId="8" xfId="4" applyNumberFormat="1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49" fontId="4" fillId="3" borderId="1" xfId="3" applyNumberFormat="1" applyFont="1" applyFill="1" applyBorder="1" applyAlignment="1">
      <alignment horizontal="left" vertical="top" wrapText="1"/>
    </xf>
    <xf numFmtId="1" fontId="5" fillId="0" borderId="0" xfId="3" applyNumberFormat="1" applyFont="1"/>
    <xf numFmtId="0" fontId="4" fillId="4" borderId="1" xfId="3" applyFont="1" applyFill="1" applyBorder="1" applyAlignment="1">
      <alignment horizontal="left" vertical="top" wrapText="1"/>
    </xf>
    <xf numFmtId="0" fontId="4" fillId="5" borderId="1" xfId="3" applyFont="1" applyFill="1" applyBorder="1" applyAlignment="1">
      <alignment horizontal="left" vertical="top" wrapText="1"/>
    </xf>
    <xf numFmtId="166" fontId="0" fillId="0" borderId="2" xfId="5" applyNumberFormat="1" applyFont="1" applyBorder="1" applyAlignment="1">
      <alignment horizontal="center"/>
    </xf>
    <xf numFmtId="164" fontId="5" fillId="6" borderId="3" xfId="4" applyNumberFormat="1" applyFont="1" applyFill="1" applyBorder="1" applyAlignment="1">
      <alignment horizontal="center"/>
    </xf>
    <xf numFmtId="164" fontId="5" fillId="0" borderId="10" xfId="4" applyNumberFormat="1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164" fontId="6" fillId="0" borderId="13" xfId="4" applyNumberFormat="1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5" fillId="7" borderId="2" xfId="3" applyFont="1" applyFill="1" applyBorder="1" applyAlignment="1">
      <alignment horizontal="center"/>
    </xf>
    <xf numFmtId="0" fontId="5" fillId="7" borderId="3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  <xf numFmtId="0" fontId="5" fillId="7" borderId="6" xfId="3" applyFont="1" applyFill="1" applyBorder="1" applyAlignment="1">
      <alignment horizontal="center"/>
    </xf>
    <xf numFmtId="0" fontId="5" fillId="7" borderId="15" xfId="3" applyFont="1" applyFill="1" applyBorder="1" applyAlignment="1">
      <alignment horizontal="center"/>
    </xf>
    <xf numFmtId="0" fontId="5" fillId="7" borderId="16" xfId="3" applyFont="1" applyFill="1" applyBorder="1" applyAlignment="1">
      <alignment horizontal="center"/>
    </xf>
    <xf numFmtId="0" fontId="5" fillId="7" borderId="17" xfId="3" applyFont="1" applyFill="1" applyBorder="1" applyAlignment="1">
      <alignment horizontal="center"/>
    </xf>
    <xf numFmtId="0" fontId="5" fillId="7" borderId="18" xfId="3" applyFont="1" applyFill="1" applyBorder="1" applyAlignment="1">
      <alignment horizontal="center"/>
    </xf>
    <xf numFmtId="164" fontId="7" fillId="0" borderId="0" xfId="3" applyNumberFormat="1" applyFont="1"/>
    <xf numFmtId="0" fontId="3" fillId="8" borderId="0" xfId="3" applyFill="1" applyAlignment="1">
      <alignment horizontal="right"/>
    </xf>
    <xf numFmtId="165" fontId="0" fillId="0" borderId="0" xfId="5" applyFont="1"/>
    <xf numFmtId="165" fontId="3" fillId="0" borderId="0" xfId="3" applyNumberFormat="1"/>
    <xf numFmtId="166" fontId="0" fillId="0" borderId="0" xfId="5" applyNumberFormat="1" applyFont="1"/>
    <xf numFmtId="165" fontId="3" fillId="0" borderId="0" xfId="3" applyNumberFormat="1" applyAlignment="1">
      <alignment horizontal="center"/>
    </xf>
    <xf numFmtId="165" fontId="0" fillId="0" borderId="0" xfId="5" applyFont="1" applyAlignment="1">
      <alignment horizontal="center"/>
    </xf>
    <xf numFmtId="0" fontId="3" fillId="9" borderId="0" xfId="3" applyFill="1" applyAlignment="1">
      <alignment horizontal="right"/>
    </xf>
    <xf numFmtId="166" fontId="3" fillId="0" borderId="0" xfId="3" applyNumberFormat="1"/>
    <xf numFmtId="0" fontId="3" fillId="0" borderId="0" xfId="3" applyAlignment="1">
      <alignment horizontal="right"/>
    </xf>
    <xf numFmtId="0" fontId="3" fillId="10" borderId="0" xfId="3" applyFill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164" fontId="8" fillId="0" borderId="8" xfId="4" applyNumberFormat="1" applyFont="1" applyBorder="1" applyAlignment="1">
      <alignment horizontal="center"/>
    </xf>
    <xf numFmtId="0" fontId="8" fillId="0" borderId="9" xfId="3" applyFont="1" applyBorder="1" applyAlignment="1">
      <alignment horizontal="center"/>
    </xf>
    <xf numFmtId="167" fontId="5" fillId="9" borderId="2" xfId="3" applyNumberFormat="1" applyFont="1" applyFill="1" applyBorder="1"/>
    <xf numFmtId="167" fontId="5" fillId="8" borderId="2" xfId="3" applyNumberFormat="1" applyFont="1" applyFill="1" applyBorder="1"/>
    <xf numFmtId="0" fontId="5" fillId="0" borderId="2" xfId="3" applyFont="1" applyBorder="1" applyAlignment="1">
      <alignment horizontal="right"/>
    </xf>
    <xf numFmtId="166" fontId="0" fillId="6" borderId="2" xfId="5" applyNumberFormat="1" applyFont="1" applyFill="1" applyBorder="1"/>
    <xf numFmtId="0" fontId="5" fillId="0" borderId="2" xfId="3" applyFont="1" applyBorder="1" applyAlignment="1">
      <alignment horizontal="right" wrapText="1"/>
    </xf>
    <xf numFmtId="164" fontId="5" fillId="9" borderId="2" xfId="4" applyNumberFormat="1" applyFont="1" applyFill="1" applyBorder="1"/>
    <xf numFmtId="164" fontId="5" fillId="8" borderId="2" xfId="4" applyNumberFormat="1" applyFont="1" applyFill="1" applyBorder="1"/>
    <xf numFmtId="0" fontId="5" fillId="11" borderId="2" xfId="3" applyFont="1" applyFill="1" applyBorder="1" applyAlignment="1">
      <alignment horizontal="right" wrapText="1"/>
    </xf>
    <xf numFmtId="9" fontId="6" fillId="6" borderId="2" xfId="4" applyFont="1" applyFill="1" applyBorder="1"/>
    <xf numFmtId="9" fontId="8" fillId="6" borderId="2" xfId="4" applyFont="1" applyFill="1" applyBorder="1"/>
    <xf numFmtId="9" fontId="0" fillId="9" borderId="2" xfId="4" applyFont="1" applyFill="1" applyBorder="1"/>
    <xf numFmtId="9" fontId="0" fillId="8" borderId="2" xfId="4" applyFont="1" applyFill="1" applyBorder="1"/>
    <xf numFmtId="164" fontId="8" fillId="0" borderId="13" xfId="4" applyNumberFormat="1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9" fontId="0" fillId="8" borderId="19" xfId="4" applyFont="1" applyFill="1" applyBorder="1"/>
    <xf numFmtId="0" fontId="5" fillId="8" borderId="2" xfId="3" applyFont="1" applyFill="1" applyBorder="1" applyAlignment="1">
      <alignment horizontal="center"/>
    </xf>
    <xf numFmtId="0" fontId="5" fillId="8" borderId="3" xfId="3" applyFont="1" applyFill="1" applyBorder="1" applyAlignment="1">
      <alignment horizontal="center"/>
    </xf>
    <xf numFmtId="0" fontId="5" fillId="8" borderId="13" xfId="3" applyFont="1" applyFill="1" applyBorder="1" applyAlignment="1">
      <alignment horizontal="center"/>
    </xf>
    <xf numFmtId="0" fontId="5" fillId="8" borderId="14" xfId="3" applyFont="1" applyFill="1" applyBorder="1" applyAlignment="1">
      <alignment horizontal="center"/>
    </xf>
    <xf numFmtId="0" fontId="5" fillId="8" borderId="6" xfId="3" applyFont="1" applyFill="1" applyBorder="1" applyAlignment="1">
      <alignment horizontal="center"/>
    </xf>
    <xf numFmtId="0" fontId="5" fillId="8" borderId="15" xfId="3" applyFont="1" applyFill="1" applyBorder="1" applyAlignment="1">
      <alignment horizontal="center"/>
    </xf>
    <xf numFmtId="0" fontId="5" fillId="8" borderId="17" xfId="3" applyFont="1" applyFill="1" applyBorder="1" applyAlignment="1">
      <alignment horizontal="center"/>
    </xf>
    <xf numFmtId="0" fontId="5" fillId="8" borderId="18" xfId="3" applyFont="1" applyFill="1" applyBorder="1" applyAlignment="1">
      <alignment horizontal="center"/>
    </xf>
    <xf numFmtId="9" fontId="5" fillId="9" borderId="19" xfId="4" applyFont="1" applyFill="1" applyBorder="1"/>
    <xf numFmtId="9" fontId="5" fillId="8" borderId="2" xfId="4" applyFont="1" applyFill="1" applyBorder="1"/>
    <xf numFmtId="166" fontId="3" fillId="0" borderId="0" xfId="3" applyNumberFormat="1" applyAlignment="1">
      <alignment horizontal="right"/>
    </xf>
    <xf numFmtId="49" fontId="3" fillId="0" borderId="0" xfId="3" applyNumberFormat="1"/>
    <xf numFmtId="2" fontId="3" fillId="0" borderId="0" xfId="3" applyNumberFormat="1"/>
    <xf numFmtId="0" fontId="3" fillId="11" borderId="19" xfId="3" applyFill="1" applyBorder="1" applyAlignment="1">
      <alignment horizontal="right"/>
    </xf>
    <xf numFmtId="0" fontId="5" fillId="11" borderId="19" xfId="3" applyFont="1" applyFill="1" applyBorder="1" applyAlignment="1">
      <alignment horizontal="right"/>
    </xf>
    <xf numFmtId="164" fontId="5" fillId="0" borderId="0" xfId="4" applyNumberFormat="1" applyFont="1" applyFill="1" applyBorder="1"/>
    <xf numFmtId="164" fontId="6" fillId="0" borderId="0" xfId="4" applyNumberFormat="1" applyFont="1" applyFill="1" applyBorder="1"/>
    <xf numFmtId="164" fontId="8" fillId="0" borderId="0" xfId="4" applyNumberFormat="1" applyFont="1" applyFill="1" applyBorder="1"/>
    <xf numFmtId="167" fontId="3" fillId="0" borderId="0" xfId="3" applyNumberFormat="1"/>
    <xf numFmtId="168" fontId="3" fillId="0" borderId="0" xfId="3" applyNumberFormat="1" applyAlignment="1">
      <alignment horizontal="center"/>
    </xf>
    <xf numFmtId="167" fontId="3" fillId="0" borderId="0" xfId="3" applyNumberFormat="1" applyAlignment="1">
      <alignment horizontal="center"/>
    </xf>
    <xf numFmtId="167" fontId="5" fillId="0" borderId="0" xfId="3" applyNumberFormat="1" applyFont="1" applyAlignment="1">
      <alignment horizontal="center"/>
    </xf>
    <xf numFmtId="168" fontId="3" fillId="0" borderId="0" xfId="3" applyNumberFormat="1"/>
    <xf numFmtId="164" fontId="0" fillId="0" borderId="0" xfId="4" applyNumberFormat="1" applyFont="1" applyFill="1" applyBorder="1" applyAlignment="1">
      <alignment horizontal="center"/>
    </xf>
    <xf numFmtId="167" fontId="6" fillId="0" borderId="0" xfId="3" applyNumberFormat="1" applyFont="1" applyAlignment="1">
      <alignment horizontal="center"/>
    </xf>
    <xf numFmtId="49" fontId="3" fillId="0" borderId="0" xfId="3" applyNumberFormat="1" applyAlignment="1">
      <alignment horizontal="center"/>
    </xf>
    <xf numFmtId="168" fontId="8" fillId="0" borderId="0" xfId="3" applyNumberFormat="1" applyFont="1" applyAlignment="1">
      <alignment horizontal="center"/>
    </xf>
    <xf numFmtId="167" fontId="8" fillId="0" borderId="0" xfId="5" applyNumberFormat="1" applyFont="1" applyFill="1" applyBorder="1" applyAlignment="1">
      <alignment horizontal="center"/>
    </xf>
    <xf numFmtId="167" fontId="8" fillId="0" borderId="0" xfId="3" applyNumberFormat="1" applyFont="1" applyAlignment="1">
      <alignment horizontal="center"/>
    </xf>
    <xf numFmtId="164" fontId="5" fillId="0" borderId="2" xfId="4" applyNumberFormat="1" applyFont="1" applyBorder="1"/>
    <xf numFmtId="164" fontId="6" fillId="0" borderId="2" xfId="4" applyNumberFormat="1" applyFont="1" applyBorder="1"/>
    <xf numFmtId="164" fontId="8" fillId="0" borderId="2" xfId="4" applyNumberFormat="1" applyFont="1" applyBorder="1"/>
    <xf numFmtId="164" fontId="0" fillId="0" borderId="0" xfId="4" applyNumberFormat="1" applyFont="1" applyBorder="1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2" fontId="9" fillId="12" borderId="0" xfId="3" applyNumberFormat="1" applyFont="1" applyFill="1" applyAlignment="1">
      <alignment horizontal="center"/>
    </xf>
    <xf numFmtId="2" fontId="10" fillId="12" borderId="0" xfId="3" applyNumberFormat="1" applyFont="1" applyFill="1" applyAlignment="1">
      <alignment horizontal="center"/>
    </xf>
    <xf numFmtId="0" fontId="9" fillId="6" borderId="2" xfId="3" applyFont="1" applyFill="1" applyBorder="1" applyAlignment="1">
      <alignment horizontal="right"/>
    </xf>
    <xf numFmtId="0" fontId="10" fillId="6" borderId="2" xfId="3" applyFont="1" applyFill="1" applyBorder="1" applyAlignment="1">
      <alignment horizontal="right"/>
    </xf>
    <xf numFmtId="0" fontId="5" fillId="11" borderId="2" xfId="3" applyFont="1" applyFill="1" applyBorder="1" applyAlignment="1">
      <alignment horizontal="right"/>
    </xf>
    <xf numFmtId="2" fontId="9" fillId="0" borderId="0" xfId="3" applyNumberFormat="1" applyFont="1" applyAlignment="1">
      <alignment horizontal="center"/>
    </xf>
    <xf numFmtId="164" fontId="9" fillId="0" borderId="0" xfId="4" applyNumberFormat="1" applyFont="1" applyFill="1" applyBorder="1" applyAlignment="1">
      <alignment horizontal="center"/>
    </xf>
    <xf numFmtId="2" fontId="10" fillId="0" borderId="0" xfId="3" applyNumberFormat="1" applyFont="1"/>
    <xf numFmtId="164" fontId="10" fillId="0" borderId="0" xfId="4" applyNumberFormat="1" applyFont="1" applyFill="1" applyBorder="1" applyAlignment="1">
      <alignment horizontal="center"/>
    </xf>
    <xf numFmtId="164" fontId="11" fillId="0" borderId="0" xfId="4" applyNumberFormat="1" applyFont="1" applyBorder="1" applyAlignment="1">
      <alignment horizontal="center"/>
    </xf>
    <xf numFmtId="164" fontId="12" fillId="0" borderId="0" xfId="4" applyNumberFormat="1" applyFont="1" applyBorder="1" applyAlignment="1">
      <alignment horizontal="center"/>
    </xf>
    <xf numFmtId="2" fontId="10" fillId="0" borderId="0" xfId="3" applyNumberFormat="1" applyFont="1" applyAlignment="1">
      <alignment horizontal="center"/>
    </xf>
    <xf numFmtId="164" fontId="9" fillId="0" borderId="0" xfId="4" applyNumberFormat="1" applyFont="1" applyBorder="1" applyAlignment="1">
      <alignment horizontal="center"/>
    </xf>
    <xf numFmtId="164" fontId="10" fillId="0" borderId="0" xfId="4" applyNumberFormat="1" applyFont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67" fontId="3" fillId="0" borderId="0" xfId="3" applyNumberFormat="1" applyAlignment="1">
      <alignment horizontal="center" vertical="center" wrapText="1"/>
    </xf>
    <xf numFmtId="2" fontId="6" fillId="0" borderId="2" xfId="3" applyNumberFormat="1" applyFont="1" applyBorder="1" applyAlignment="1">
      <alignment wrapText="1"/>
    </xf>
    <xf numFmtId="2" fontId="8" fillId="0" borderId="2" xfId="3" applyNumberFormat="1" applyFont="1" applyBorder="1" applyAlignment="1">
      <alignment wrapText="1"/>
    </xf>
    <xf numFmtId="2" fontId="6" fillId="6" borderId="2" xfId="3" applyNumberFormat="1" applyFont="1" applyFill="1" applyBorder="1" applyAlignment="1">
      <alignment wrapText="1"/>
    </xf>
    <xf numFmtId="2" fontId="8" fillId="6" borderId="2" xfId="3" applyNumberFormat="1" applyFont="1" applyFill="1" applyBorder="1" applyAlignment="1">
      <alignment wrapText="1"/>
    </xf>
    <xf numFmtId="9" fontId="9" fillId="0" borderId="0" xfId="3" applyNumberFormat="1" applyFont="1" applyAlignment="1">
      <alignment horizontal="center"/>
    </xf>
    <xf numFmtId="2" fontId="6" fillId="6" borderId="2" xfId="3" applyNumberFormat="1" applyFont="1" applyFill="1" applyBorder="1"/>
    <xf numFmtId="2" fontId="8" fillId="6" borderId="2" xfId="3" applyNumberFormat="1" applyFont="1" applyFill="1" applyBorder="1"/>
    <xf numFmtId="0" fontId="13" fillId="8" borderId="2" xfId="3" applyFont="1" applyFill="1" applyBorder="1" applyAlignment="1">
      <alignment horizontal="right"/>
    </xf>
    <xf numFmtId="9" fontId="10" fillId="0" borderId="0" xfId="3" applyNumberFormat="1" applyFont="1" applyAlignment="1">
      <alignment horizontal="center"/>
    </xf>
    <xf numFmtId="0" fontId="13" fillId="7" borderId="2" xfId="3" applyFont="1" applyFill="1" applyBorder="1" applyAlignment="1">
      <alignment horizontal="right"/>
    </xf>
    <xf numFmtId="0" fontId="9" fillId="0" borderId="0" xfId="3" applyFont="1" applyAlignment="1">
      <alignment horizontal="center"/>
    </xf>
    <xf numFmtId="0" fontId="9" fillId="12" borderId="0" xfId="3" applyFont="1" applyFill="1" applyAlignment="1">
      <alignment horizontal="center"/>
    </xf>
    <xf numFmtId="0" fontId="13" fillId="4" borderId="2" xfId="3" applyFont="1" applyFill="1" applyBorder="1" applyAlignment="1">
      <alignment horizontal="right"/>
    </xf>
    <xf numFmtId="0" fontId="10" fillId="0" borderId="0" xfId="3" applyFont="1" applyAlignment="1">
      <alignment horizontal="center"/>
    </xf>
    <xf numFmtId="0" fontId="10" fillId="12" borderId="0" xfId="3" applyFont="1" applyFill="1" applyAlignment="1">
      <alignment horizontal="center"/>
    </xf>
    <xf numFmtId="0" fontId="13" fillId="13" borderId="2" xfId="3" applyFont="1" applyFill="1" applyBorder="1" applyAlignment="1">
      <alignment horizontal="right"/>
    </xf>
    <xf numFmtId="0" fontId="14" fillId="0" borderId="2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9" borderId="2" xfId="3" applyFont="1" applyFill="1" applyBorder="1" applyAlignment="1">
      <alignment horizontal="center"/>
    </xf>
    <xf numFmtId="0" fontId="8" fillId="8" borderId="2" xfId="3" applyFont="1" applyFill="1" applyBorder="1" applyAlignment="1">
      <alignment horizontal="center"/>
    </xf>
    <xf numFmtId="0" fontId="7" fillId="0" borderId="20" xfId="3" applyFont="1" applyBorder="1" applyAlignment="1">
      <alignment horizontal="right"/>
    </xf>
    <xf numFmtId="0" fontId="15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8" fillId="0" borderId="0" xfId="3" applyFont="1" applyAlignment="1">
      <alignment horizontal="center"/>
    </xf>
    <xf numFmtId="165" fontId="11" fillId="0" borderId="0" xfId="5" applyFont="1" applyAlignment="1">
      <alignment horizontal="center"/>
    </xf>
    <xf numFmtId="165" fontId="12" fillId="0" borderId="0" xfId="5" applyFont="1" applyAlignment="1">
      <alignment horizontal="center"/>
    </xf>
    <xf numFmtId="2" fontId="3" fillId="0" borderId="0" xfId="3" applyNumberFormat="1" applyAlignment="1">
      <alignment horizontal="center"/>
    </xf>
    <xf numFmtId="164" fontId="0" fillId="0" borderId="0" xfId="4" applyNumberFormat="1" applyFont="1" applyFill="1" applyBorder="1"/>
    <xf numFmtId="0" fontId="19" fillId="0" borderId="0" xfId="3" applyFont="1" applyAlignment="1">
      <alignment horizontal="center"/>
    </xf>
    <xf numFmtId="0" fontId="5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171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3" fillId="16" borderId="0" xfId="3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1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14" borderId="21" xfId="3" applyFill="1" applyBorder="1" applyAlignment="1">
      <alignment horizontal="center"/>
    </xf>
  </cellXfs>
  <cellStyles count="6">
    <cellStyle name="Millares" xfId="1" builtinId="3"/>
    <cellStyle name="Millares 2" xfId="5" xr:uid="{2F272434-ED96-4C39-B29D-3191258261EE}"/>
    <cellStyle name="Moneda" xfId="2" builtinId="4"/>
    <cellStyle name="Normal" xfId="0" builtinId="0"/>
    <cellStyle name="Normal 2" xfId="3" xr:uid="{B3B311AF-46BE-4236-8E27-408EB71AF0E7}"/>
    <cellStyle name="Porcentaje 2" xfId="4" xr:uid="{39536680-3720-4FBD-B10D-A5463E1D1C5C}"/>
  </cellStyles>
  <dxfs count="151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0.15032339872587089</c:v>
                </c:pt>
                <c:pt idx="1">
                  <c:v>0.30470345278520006</c:v>
                </c:pt>
                <c:pt idx="2">
                  <c:v>0.2842702538671803</c:v>
                </c:pt>
                <c:pt idx="3">
                  <c:v>0.1649114003492643</c:v>
                </c:pt>
                <c:pt idx="4">
                  <c:v>6.7890949516746527E-2</c:v>
                </c:pt>
                <c:pt idx="5">
                  <c:v>2.1349701356867933E-2</c:v>
                </c:pt>
                <c:pt idx="6">
                  <c:v>5.3149843528814394E-3</c:v>
                </c:pt>
                <c:pt idx="7">
                  <c:v>1.0522749961918785E-3</c:v>
                </c:pt>
                <c:pt idx="8">
                  <c:v>1.6278854723537919E-4</c:v>
                </c:pt>
                <c:pt idx="9">
                  <c:v>1.9075690675715208E-5</c:v>
                </c:pt>
                <c:pt idx="10">
                  <c:v>1.6224133987675806E-6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5-4B2F-8C3F-99DDE9B52B39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6.4842796228607013E-3</c:v>
                </c:pt>
                <c:pt idx="1">
                  <c:v>4.0193078919869105E-2</c:v>
                </c:pt>
                <c:pt idx="2">
                  <c:v>0.11460220752813041</c:v>
                </c:pt>
                <c:pt idx="3">
                  <c:v>0.19896024336639459</c:v>
                </c:pt>
                <c:pt idx="4">
                  <c:v>0.23456829398544174</c:v>
                </c:pt>
                <c:pt idx="5">
                  <c:v>0.19824280573192227</c:v>
                </c:pt>
                <c:pt idx="6">
                  <c:v>0.12350932661159988</c:v>
                </c:pt>
                <c:pt idx="7">
                  <c:v>5.7408808110797953E-2</c:v>
                </c:pt>
                <c:pt idx="8">
                  <c:v>1.9900012005855634E-2</c:v>
                </c:pt>
                <c:pt idx="9">
                  <c:v>5.0792744817017002E-3</c:v>
                </c:pt>
                <c:pt idx="10">
                  <c:v>9.278375908715182E-4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5-4B2F-8C3F-99DDE9B5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'J1-Pamboli-VADER'!$G$25:$G$35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'J1-Pamboli-VADER'!$H$25:$H$35</c:f>
              <c:numCache>
                <c:formatCode>0.0%</c:formatCode>
                <c:ptCount val="11"/>
                <c:pt idx="0">
                  <c:v>4.2178591719282267E-2</c:v>
                </c:pt>
                <c:pt idx="1">
                  <c:v>0.15236531512503418</c:v>
                </c:pt>
                <c:pt idx="2">
                  <c:v>0.25234353680575622</c:v>
                </c:pt>
                <c:pt idx="3">
                  <c:v>0.25381684592224402</c:v>
                </c:pt>
                <c:pt idx="4">
                  <c:v>0.17317836445564908</c:v>
                </c:pt>
                <c:pt idx="5">
                  <c:v>8.4817923378771087E-2</c:v>
                </c:pt>
                <c:pt idx="6">
                  <c:v>3.0789783081653456E-2</c:v>
                </c:pt>
                <c:pt idx="7">
                  <c:v>8.4359501812414223E-3</c:v>
                </c:pt>
                <c:pt idx="8">
                  <c:v>1.7590607564065314E-3</c:v>
                </c:pt>
                <c:pt idx="9">
                  <c:v>2.7869007575271405E-4</c:v>
                </c:pt>
                <c:pt idx="10">
                  <c:v>3.2992351773851312E-5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4FE6-A4AF-A081E7682B2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'J1-Pamboli-VADER'!$G$25:$G$35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'J1-Pamboli-VADER'!$H$39:$H$49</c:f>
              <c:numCache>
                <c:formatCode>0.0%</c:formatCode>
                <c:ptCount val="11"/>
                <c:pt idx="0">
                  <c:v>0.10550489969264396</c:v>
                </c:pt>
                <c:pt idx="1">
                  <c:v>0.24981883223705151</c:v>
                </c:pt>
                <c:pt idx="2">
                  <c:v>0.26998703901233012</c:v>
                </c:pt>
                <c:pt idx="3">
                  <c:v>0.19426311111257025</c:v>
                </c:pt>
                <c:pt idx="4">
                  <c:v>0.10933563532265919</c:v>
                </c:pt>
                <c:pt idx="5">
                  <c:v>4.9083959964534407E-2</c:v>
                </c:pt>
                <c:pt idx="6">
                  <c:v>1.6840288078148014E-2</c:v>
                </c:pt>
                <c:pt idx="7">
                  <c:v>4.264187571615622E-3</c:v>
                </c:pt>
                <c:pt idx="8">
                  <c:v>7.8580212630425183E-4</c:v>
                </c:pt>
                <c:pt idx="9">
                  <c:v>1.0521139190122686E-4</c:v>
                </c:pt>
                <c:pt idx="10">
                  <c:v>1.0267294397118122E-5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4FE6-A4AF-A081E768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'J2-VADER-Spartak'!$G$25:$G$35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'J2-VADER-Spartak'!$H$25:$H$35</c:f>
              <c:numCache>
                <c:formatCode>0.0%</c:formatCode>
                <c:ptCount val="11"/>
                <c:pt idx="0">
                  <c:v>1.8422993347980206E-2</c:v>
                </c:pt>
                <c:pt idx="1">
                  <c:v>8.6180511358814951E-2</c:v>
                </c:pt>
                <c:pt idx="2">
                  <c:v>0.1848054837171941</c:v>
                </c:pt>
                <c:pt idx="3">
                  <c:v>0.24166674510034522</c:v>
                </c:pt>
                <c:pt idx="4">
                  <c:v>0.21660674634873142</c:v>
                </c:pt>
                <c:pt idx="5">
                  <c:v>0.14204723745804837</c:v>
                </c:pt>
                <c:pt idx="6">
                  <c:v>7.1101615995634943E-2</c:v>
                </c:pt>
                <c:pt idx="7">
                  <c:v>2.7911692934820025E-2</c:v>
                </c:pt>
                <c:pt idx="8">
                  <c:v>8.6866123071668803E-3</c:v>
                </c:pt>
                <c:pt idx="9">
                  <c:v>2.1217880441171564E-3</c:v>
                </c:pt>
                <c:pt idx="10">
                  <c:v>3.9266262290807321E-4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1-4A95-96CF-869F293CFA8C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'J2-VADER-Spartak'!$G$25:$G$35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'J2-VADER-Spartak'!$H$39:$H$49</c:f>
              <c:numCache>
                <c:formatCode>0.0%</c:formatCode>
                <c:ptCount val="11"/>
                <c:pt idx="0">
                  <c:v>9.0464031549678234E-2</c:v>
                </c:pt>
                <c:pt idx="1">
                  <c:v>0.23632035409750859</c:v>
                </c:pt>
                <c:pt idx="2">
                  <c:v>0.28407736064651889</c:v>
                </c:pt>
                <c:pt idx="3">
                  <c:v>0.21225328620854339</c:v>
                </c:pt>
                <c:pt idx="4">
                  <c:v>0.11242946184631103</c:v>
                </c:pt>
                <c:pt idx="5">
                  <c:v>4.5419011723550645E-2</c:v>
                </c:pt>
                <c:pt idx="6">
                  <c:v>1.4502698276076569E-2</c:v>
                </c:pt>
                <c:pt idx="7">
                  <c:v>3.680359386456806E-3</c:v>
                </c:pt>
                <c:pt idx="8">
                  <c:v>7.3035151499031305E-4</c:v>
                </c:pt>
                <c:pt idx="9">
                  <c:v>1.1004267151324513E-4</c:v>
                </c:pt>
                <c:pt idx="10">
                  <c:v>1.2086781455492214E-5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1-4A95-96CF-869F293C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'C2-Racing-VADER'!$G$25:$G$35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'C2-Racing-VADER'!$H$25:$H$35</c:f>
              <c:numCache>
                <c:formatCode>0.0%</c:formatCode>
                <c:ptCount val="11"/>
                <c:pt idx="0">
                  <c:v>0.5181026773958548</c:v>
                </c:pt>
                <c:pt idx="1">
                  <c:v>0.34837403417187685</c:v>
                </c:pt>
                <c:pt idx="2">
                  <c:v>0.10518557995405131</c:v>
                </c:pt>
                <c:pt idx="3">
                  <c:v>2.3820223216389606E-2</c:v>
                </c:pt>
                <c:pt idx="4">
                  <c:v>4.0067134238858043E-3</c:v>
                </c:pt>
                <c:pt idx="5">
                  <c:v>4.7017417670280946E-4</c:v>
                </c:pt>
                <c:pt idx="6">
                  <c:v>3.8304608930502516E-5</c:v>
                </c:pt>
                <c:pt idx="7">
                  <c:v>2.2001729245986123E-6</c:v>
                </c:pt>
                <c:pt idx="8">
                  <c:v>9.0182755616458078E-8</c:v>
                </c:pt>
                <c:pt idx="9">
                  <c:v>2.6412937641390772E-9</c:v>
                </c:pt>
                <c:pt idx="10">
                  <c:v>5.4558857173235572E-11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609-95C1-ECAEA7011B9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'C2-Racing-VADER'!$G$25:$G$35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'C2-Racing-VADER'!$H$39:$H$49</c:f>
              <c:numCache>
                <c:formatCode>0.0%</c:formatCode>
                <c:ptCount val="11"/>
                <c:pt idx="0">
                  <c:v>1.0776939910362181E-2</c:v>
                </c:pt>
                <c:pt idx="1">
                  <c:v>5.9464079921582612E-2</c:v>
                </c:pt>
                <c:pt idx="2">
                  <c:v>0.14953463443767942</c:v>
                </c:pt>
                <c:pt idx="3">
                  <c:v>0.22698519366079098</c:v>
                </c:pt>
                <c:pt idx="4">
                  <c:v>0.23250834154752761</c:v>
                </c:pt>
                <c:pt idx="5">
                  <c:v>0.17062124478035498</c:v>
                </c:pt>
                <c:pt idx="6">
                  <c:v>9.3315466167600017E-2</c:v>
                </c:pt>
                <c:pt idx="7">
                  <c:v>3.9284387728986403E-2</c:v>
                </c:pt>
                <c:pt idx="8">
                  <c:v>1.3102372254739258E-2</c:v>
                </c:pt>
                <c:pt idx="9">
                  <c:v>3.5225589157011966E-3</c:v>
                </c:pt>
                <c:pt idx="10">
                  <c:v>7.5243482578516536E-4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609-95C1-ECAEA701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'J3-Hasabit-VADER'!$G$25:$G$35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'J3-Hasabit-VADER'!$H$25:$H$35</c:f>
              <c:numCache>
                <c:formatCode>0.0%</c:formatCode>
                <c:ptCount val="11"/>
                <c:pt idx="0">
                  <c:v>0.11144185128373486</c:v>
                </c:pt>
                <c:pt idx="1">
                  <c:v>0.26777559203149509</c:v>
                </c:pt>
                <c:pt idx="2">
                  <c:v>0.29463639068813308</c:v>
                </c:pt>
                <c:pt idx="3">
                  <c:v>0.19749837371247236</c:v>
                </c:pt>
                <c:pt idx="4">
                  <c:v>9.0205599499073391E-2</c:v>
                </c:pt>
                <c:pt idx="5">
                  <c:v>2.9678048273386964E-2</c:v>
                </c:pt>
                <c:pt idx="6">
                  <c:v>7.2378786009502268E-3</c:v>
                </c:pt>
                <c:pt idx="7">
                  <c:v>1.3245454452772659E-3</c:v>
                </c:pt>
                <c:pt idx="8">
                  <c:v>1.8181669136884004E-4</c:v>
                </c:pt>
                <c:pt idx="9">
                  <c:v>1.8482216702559272E-5</c:v>
                </c:pt>
                <c:pt idx="10">
                  <c:v>1.3520653071582171E-6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9B2-9097-52D0E87F7AE8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'J3-Hasabit-VADER'!$G$25:$G$35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'J3-Hasabit-VADER'!$H$39:$H$49</c:f>
              <c:numCache>
                <c:formatCode>0.0%</c:formatCode>
                <c:ptCount val="11"/>
                <c:pt idx="0">
                  <c:v>8.6355489536771829E-2</c:v>
                </c:pt>
                <c:pt idx="1">
                  <c:v>0.2152930543692832</c:v>
                </c:pt>
                <c:pt idx="2">
                  <c:v>0.24051225447307983</c:v>
                </c:pt>
                <c:pt idx="3">
                  <c:v>0.22279644736405305</c:v>
                </c:pt>
                <c:pt idx="4">
                  <c:v>0.14754652813075753</c:v>
                </c:pt>
                <c:pt idx="5">
                  <c:v>6.4302829666927463E-2</c:v>
                </c:pt>
                <c:pt idx="6">
                  <c:v>1.8793371822665592E-2</c:v>
                </c:pt>
                <c:pt idx="7">
                  <c:v>3.7995597491507871E-3</c:v>
                </c:pt>
                <c:pt idx="8">
                  <c:v>5.4174330945831316E-4</c:v>
                </c:pt>
                <c:pt idx="9">
                  <c:v>5.468070706847871E-5</c:v>
                </c:pt>
                <c:pt idx="10">
                  <c:v>3.8531282370961698E-6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9B2-9097-52D0E87F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'J8-Animas-VADER'!$G$25:$G$35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'J8-Animas-VADER'!$H$25:$H$35</c:f>
              <c:numCache>
                <c:formatCode>0.0%</c:formatCode>
                <c:ptCount val="11"/>
                <c:pt idx="0">
                  <c:v>6.7113193329157869E-2</c:v>
                </c:pt>
                <c:pt idx="1">
                  <c:v>0.20266576703077027</c:v>
                </c:pt>
                <c:pt idx="2">
                  <c:v>0.28079777376337689</c:v>
                </c:pt>
                <c:pt idx="3">
                  <c:v>0.23653326698247787</c:v>
                </c:pt>
                <c:pt idx="4">
                  <c:v>0.13535996175588649</c:v>
                </c:pt>
                <c:pt idx="5">
                  <c:v>5.5721830287454949E-2</c:v>
                </c:pt>
                <c:pt idx="6">
                  <c:v>1.7050393847677741E-2</c:v>
                </c:pt>
                <c:pt idx="7">
                  <c:v>3.9524433912807699E-3</c:v>
                </c:pt>
                <c:pt idx="8">
                  <c:v>7.0034616697348215E-4</c:v>
                </c:pt>
                <c:pt idx="9">
                  <c:v>9.4697530293533862E-5</c:v>
                </c:pt>
                <c:pt idx="10">
                  <c:v>9.5975587667785774E-6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3-4714-9731-F95791D15A3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'J8-Animas-VADER'!$G$25:$G$35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'J8-Animas-VADER'!$H$39:$H$49</c:f>
              <c:numCache>
                <c:formatCode>0.0%</c:formatCode>
                <c:ptCount val="11"/>
                <c:pt idx="0">
                  <c:v>3.8011312904044144E-2</c:v>
                </c:pt>
                <c:pt idx="1">
                  <c:v>0.14168039683282846</c:v>
                </c:pt>
                <c:pt idx="2">
                  <c:v>0.23739298714152815</c:v>
                </c:pt>
                <c:pt idx="3">
                  <c:v>0.2420708981509776</c:v>
                </c:pt>
                <c:pt idx="4">
                  <c:v>0.17444727140327615</c:v>
                </c:pt>
                <c:pt idx="5">
                  <c:v>9.8327198092870147E-2</c:v>
                </c:pt>
                <c:pt idx="6">
                  <c:v>4.5420276661151247E-2</c:v>
                </c:pt>
                <c:pt idx="7">
                  <c:v>1.68411251388331E-2</c:v>
                </c:pt>
                <c:pt idx="8">
                  <c:v>4.7248372320872565E-3</c:v>
                </c:pt>
                <c:pt idx="9">
                  <c:v>9.4375216752909602E-4</c:v>
                </c:pt>
                <c:pt idx="10">
                  <c:v>1.2781372758843013E-4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3-4714-9731-F95791D1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'J12-VADER-Hasabit'!$G$25:$G$35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'J12-VADER-Hasabit'!$H$25:$H$35</c:f>
              <c:numCache>
                <c:formatCode>0.0%</c:formatCode>
                <c:ptCount val="11"/>
                <c:pt idx="0">
                  <c:v>1.7707344765710526E-2</c:v>
                </c:pt>
                <c:pt idx="1">
                  <c:v>8.3729606379123439E-2</c:v>
                </c:pt>
                <c:pt idx="2">
                  <c:v>0.1814657095397649</c:v>
                </c:pt>
                <c:pt idx="3">
                  <c:v>0.23984106266318303</c:v>
                </c:pt>
                <c:pt idx="4">
                  <c:v>0.21741209894686411</c:v>
                </c:pt>
                <c:pt idx="5">
                  <c:v>0.14445832251072707</c:v>
                </c:pt>
                <c:pt idx="6">
                  <c:v>7.352568646596841E-2</c:v>
                </c:pt>
                <c:pt idx="7">
                  <c:v>2.9506108454830829E-2</c:v>
                </c:pt>
                <c:pt idx="8">
                  <c:v>9.4442497216773863E-3</c:v>
                </c:pt>
                <c:pt idx="9">
                  <c:v>2.3844763369127867E-3</c:v>
                </c:pt>
                <c:pt idx="10">
                  <c:v>4.574800150639983E-4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7AD-B9A5-356984B155A2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'J12-VADER-Hasabit'!$G$25:$G$35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'J12-VADER-Hasabit'!$H$39:$H$49</c:f>
              <c:numCache>
                <c:formatCode>0.0%</c:formatCode>
                <c:ptCount val="11"/>
                <c:pt idx="0">
                  <c:v>0.31123563718419367</c:v>
                </c:pt>
                <c:pt idx="1">
                  <c:v>0.38040036659112075</c:v>
                </c:pt>
                <c:pt idx="2">
                  <c:v>0.21407238601605344</c:v>
                </c:pt>
                <c:pt idx="3">
                  <c:v>7.3640171018721626E-2</c:v>
                </c:pt>
                <c:pt idx="4">
                  <c:v>1.730600006390922E-2</c:v>
                </c:pt>
                <c:pt idx="5">
                  <c:v>2.9370613522634393E-3</c:v>
                </c:pt>
                <c:pt idx="6">
                  <c:v>3.7053190642237255E-4</c:v>
                </c:pt>
                <c:pt idx="7">
                  <c:v>3.519047431665371E-5</c:v>
                </c:pt>
                <c:pt idx="8">
                  <c:v>2.5162829941560555E-6</c:v>
                </c:pt>
                <c:pt idx="9">
                  <c:v>1.3382330758055164E-7</c:v>
                </c:pt>
                <c:pt idx="10">
                  <c:v>5.148567968069298E-9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7AD-B9A5-356984B1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7FEC7-017A-4BC2-BE9C-C3AF3580D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3078A-E279-4CEE-9172-91DC40FE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DF0C89-8406-4189-A8A9-03B2EBDAE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20E17-C73B-4F02-9A8F-0834A459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95904-874D-4AF9-82E4-D6C987298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F9035-67B2-4B5E-A7E8-206FD3F1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407410-F6AD-4070-9BE2-ADF1CD2E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1.697401620368" createdVersion="8" refreshedVersion="8" minRefreshableVersion="3" recordCount="24" xr:uid="{3779C644-6715-4AA6-8A37-02D79A3DDBF3}">
  <cacheSource type="worksheet">
    <worksheetSource ref="A1:Y1048576" sheet="Pamboli"/>
  </cacheSource>
  <cacheFields count="25">
    <cacheField name="Nacionalidad" numFmtId="0">
      <sharedItems containsBlank="1"/>
    </cacheField>
    <cacheField name="Dorsal" numFmtId="0">
      <sharedItems containsString="0" containsBlank="1" containsNumber="1" containsInteger="1" minValue="1" maxValue="29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429275176" maxValue="470220234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Potente"/>
        <s v="Imprevisible"/>
        <s v="Cabeceador"/>
        <s v="Rápido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String="0" containsBlank="1" containsNumber="1" containsInteger="1" minValue="1" maxValue="1"/>
    </cacheField>
    <cacheField name="Edad" numFmtId="0">
      <sharedItems containsString="0" containsBlank="1" containsNumber="1" containsInteger="1" minValue="18" maxValue="34" count="10">
        <n v="29"/>
        <n v="30"/>
        <n v="31"/>
        <n v="19"/>
        <n v="34"/>
        <n v="20"/>
        <n v="18"/>
        <n v="24"/>
        <n v="32"/>
        <m/>
      </sharedItems>
    </cacheField>
    <cacheField name="Días" numFmtId="0">
      <sharedItems containsString="0" containsBlank="1" containsNumber="1" containsInteger="1" minValue="0" maxValue="111" count="23">
        <n v="47"/>
        <n v="94"/>
        <n v="7"/>
        <n v="51"/>
        <n v="46"/>
        <n v="23"/>
        <n v="43"/>
        <n v="92"/>
        <n v="104"/>
        <n v="73"/>
        <n v="25"/>
        <n v="17"/>
        <n v="36"/>
        <n v="0"/>
        <n v="82"/>
        <n v="10"/>
        <n v="1"/>
        <n v="29"/>
        <n v="91"/>
        <n v="111"/>
        <n v="2"/>
        <n v="100"/>
        <m/>
      </sharedItems>
    </cacheField>
    <cacheField name="TSI" numFmtId="0">
      <sharedItems containsString="0" containsBlank="1" containsNumber="1" containsInteger="1" minValue="550" maxValue="273460"/>
    </cacheField>
    <cacheField name="Salario" numFmtId="0">
      <sharedItems containsString="0" containsBlank="1" containsNumber="1" containsInteger="1" minValue="310" maxValue="52764"/>
    </cacheField>
    <cacheField name="Semanas en el club" numFmtId="0">
      <sharedItems containsString="0" containsBlank="1" containsNumber="1" containsInteger="1" minValue="2" maxValue="212"/>
    </cacheField>
    <cacheField name="Experiencia" numFmtId="0">
      <sharedItems containsString="0" containsBlank="1" containsNumber="1" containsInteger="1" minValue="1" maxValue="11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5" maxValue="20"/>
    </cacheField>
    <cacheField name="Forma" numFmtId="0">
      <sharedItems containsString="0" containsBlank="1" containsNumber="1" containsInteger="1" minValue="4" maxValue="8"/>
    </cacheField>
    <cacheField name="Resistencia" numFmtId="0">
      <sharedItems containsString="0" containsBlank="1" containsNumber="1" containsInteger="1" minValue="6" maxValue="8"/>
    </cacheField>
    <cacheField name="Fecha último partido" numFmtId="0">
      <sharedItems containsNonDate="0" containsDate="1" containsString="0" containsBlank="1" minDate="2022-07-23T00:00:00" maxDate="2022-07-28T00:00:00"/>
    </cacheField>
    <cacheField name="Rendimiento último partido" numFmtId="0">
      <sharedItems containsString="0" containsBlank="1" containsNumber="1" minValue="0" maxValue="10.5"/>
    </cacheField>
    <cacheField name="Demarcación último partido" numFmtId="0">
      <sharedItems containsBlank="1" count="9">
        <s v="MC"/>
        <s v="POR"/>
        <s v="DEL"/>
        <s v="ED"/>
        <s v="LI"/>
        <s v="DC"/>
        <s v="EI"/>
        <s v="LD"/>
        <m/>
      </sharedItems>
    </cacheField>
    <cacheField name="Importante" numFmtId="0">
      <sharedItems containsString="0" containsBlank="1" containsNumber="1" containsInteger="1" minValue="0" maxValue="1" count="3">
        <n v="1"/>
        <n v="0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8.43814421296" createdVersion="8" refreshedVersion="8" minRefreshableVersion="3" recordCount="75" xr:uid="{7E75A767-73E8-475D-8797-05AC087078F9}">
  <cacheSource type="worksheet">
    <worksheetSource ref="A1:Z1048576" sheet="Spartak de Santiag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80"/>
    </cacheField>
    <cacheField name="Nombre" numFmtId="0">
      <sharedItems containsBlank="1" count="38">
        <s v="Abdeladle Quernin"/>
        <s v="Abduqahor Dadajonov"/>
        <s v="Alberto Macedo"/>
        <s v="Àlex Font"/>
        <s v="Artemio Seccarecci"/>
        <s v="Bernat Novich"/>
        <s v="Carlos Abenoza"/>
        <s v="Chahid Fryadi"/>
        <s v="Cibrán do Cubo"/>
        <s v="Daniel Osorio"/>
        <s v="Dariusz Druszcz"/>
        <s v="David Alberti"/>
        <s v="Diego Camasobras"/>
        <s v="Dragoş Căprescu"/>
        <s v="Edwin Roche"/>
        <s v="Emiliano Molina Blanco"/>
        <s v="Fabián Olveira"/>
        <s v="Fernando Nogueira"/>
        <s v="Filiberto Poleo"/>
        <s v="Gaoussou Gali"/>
        <s v="José Horachita"/>
        <s v="Luis Vicente Fernández"/>
        <s v="Marcos Galleguillos"/>
        <s v="Mauricio Calasanz"/>
        <s v="Mauro Fuenlabrada"/>
        <s v="Mstyslav Mikhailenko"/>
        <s v="Mundial Rodríguez"/>
        <s v="Naeim Ansarifard"/>
        <s v="Narciso Matos"/>
        <s v="Niels Schwimmbeck"/>
        <s v="Pedro Ruiz de Viana"/>
        <s v="Rafał Wolter"/>
        <s v="Saad Kawood"/>
        <s v="Samuel Arias"/>
        <s v="Stefano Blotto"/>
        <s v="Stig Alexandersson"/>
        <s v="Walther Kaae"/>
        <m/>
      </sharedItems>
    </cacheField>
    <cacheField name="ID del jugador" numFmtId="0">
      <sharedItems containsString="0" containsBlank="1" containsNumber="1" containsInteger="1" minValue="414268403" maxValue="471121858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"/>
        <s v="Rápido"/>
        <s v="Imprevisible"/>
        <s v="Potente"/>
        <s v="Técnico"/>
        <s v="Cabeceador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Blank="1" containsMixedTypes="1" containsNumber="1" containsInteger="1" minValue="1" maxValue="1"/>
    </cacheField>
    <cacheField name="Edad" numFmtId="0">
      <sharedItems containsString="0" containsBlank="1" containsNumber="1" containsInteger="1" minValue="17" maxValue="39"/>
    </cacheField>
    <cacheField name="Días" numFmtId="0">
      <sharedItems containsString="0" containsBlank="1" containsNumber="1" containsInteger="1" minValue="0" maxValue="110"/>
    </cacheField>
    <cacheField name="TSI" numFmtId="0">
      <sharedItems containsString="0" containsBlank="1" containsNumber="1" containsInteger="1" minValue="60" maxValue="340090"/>
    </cacheField>
    <cacheField name="Salario" numFmtId="0">
      <sharedItems containsString="0" containsBlank="1" containsNumber="1" containsInteger="1" minValue="250" maxValue="56568"/>
    </cacheField>
    <cacheField name="Semanas en el club" numFmtId="0">
      <sharedItems containsString="0" containsBlank="1" containsNumber="1" containsInteger="1" minValue="0" maxValue="275"/>
    </cacheField>
    <cacheField name="Experiencia" numFmtId="0">
      <sharedItems containsString="0" containsBlank="1" containsNumber="1" containsInteger="1" minValue="1" maxValue="20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4" maxValue="20"/>
    </cacheField>
    <cacheField name="Forma" numFmtId="0">
      <sharedItems containsString="0" containsBlank="1" containsNumber="1" containsInteger="1" minValue="1" maxValue="8"/>
    </cacheField>
    <cacheField name="Resistencia" numFmtId="0">
      <sharedItems containsString="0" containsBlank="1" containsNumber="1" containsInteger="1" minValue="4" maxValue="8"/>
    </cacheField>
    <cacheField name="Fecha último partido" numFmtId="0">
      <sharedItems containsNonDate="0" containsDate="1" containsString="0" containsBlank="1" minDate="2021-01-10T00:00:00" maxDate="2022-08-04T00:00:00"/>
    </cacheField>
    <cacheField name="Rendimiento último partido" numFmtId="0">
      <sharedItems containsString="0" containsBlank="1" containsNumber="1" minValue="1.5" maxValue="10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0"/>
        <n v="1"/>
        <m/>
      </sharedItems>
    </cacheField>
    <cacheField name="Semana" numFmtId="0">
      <sharedItems containsString="0" containsBlank="1" containsNumber="1" containsInteger="1" minValue="1" maxValue="2" count="3">
        <n v="2"/>
        <n v="1"/>
        <m/>
      </sharedItems>
    </cacheField>
    <cacheField name="POS" numFmtId="0">
      <sharedItems containsBlank="1" count="11">
        <m/>
        <s v="EXT/LAT"/>
        <s v="DEL "/>
        <s v="LAT"/>
        <s v="DEL/INN"/>
        <s v="INN"/>
        <s v="EXT "/>
        <s v="INN(CEN)"/>
        <s v="DEL"/>
        <s v="EXT/INN"/>
        <s v="P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83.500758912036" createdVersion="8" refreshedVersion="8" minRefreshableVersion="3" recordCount="43" xr:uid="{C0D81962-628D-4E6E-96B2-3EBE815DE25D}">
  <cacheSource type="worksheet">
    <worksheetSource ref="A1:Z1048576" sheet="Club Atlético Gaditan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36"/>
    </cacheField>
    <cacheField name="Nombre" numFmtId="0">
      <sharedItems containsBlank="1" count="21">
        <s v="Žan Luka Škrbina"/>
        <s v="Volodymyr Reznichenko"/>
        <s v="Relja Bogunović"/>
        <s v="Paulo Achinger"/>
        <s v="Paskoal Oñaberri"/>
        <s v="Oto Rejc"/>
        <s v="Nihat Paksu"/>
        <s v="Nemanja Vidaković"/>
        <s v="Marcus Oldershausen"/>
        <s v="Ludger Vonach"/>
        <s v="Josep Maria Altarriba"/>
        <s v="Jeanzinho Pequeno"/>
        <s v="Iskander Baris"/>
        <s v="Gnel Saginyan"/>
        <s v="Fuad Acalov"/>
        <s v="Francisco Miguel Andrea"/>
        <s v="Felipe García"/>
        <s v="Crispin Deans"/>
        <s v="Caetano Ousa"/>
        <s v="Alexander Dzhurov"/>
        <m/>
      </sharedItems>
    </cacheField>
    <cacheField name="ID del jugador" numFmtId="0">
      <sharedItems containsString="0" containsBlank="1" containsNumber="1" containsInteger="1" minValue="407065238" maxValue="436566058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Rápido"/>
        <s v="Potente"/>
        <s v="Imprevisible"/>
        <s v="Cabeceador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 containsMixedTypes="1" containsNumber="1" containsInteger="1" minValue="1" maxValue="2"/>
    </cacheField>
    <cacheField name="Amonestaciones" numFmtId="0">
      <sharedItems containsBlank="1" containsMixedTypes="1" containsNumber="1" containsInteger="1" minValue="1" maxValue="1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31" maxValue="43"/>
    </cacheField>
    <cacheField name="Días" numFmtId="0">
      <sharedItems containsString="0" containsBlank="1" containsNumber="1" containsInteger="1" minValue="0" maxValue="110"/>
    </cacheField>
    <cacheField name="TSI" numFmtId="0">
      <sharedItems containsString="0" containsBlank="1" containsNumber="1" containsInteger="1" minValue="0" maxValue="132260"/>
    </cacheField>
    <cacheField name="Salario" numFmtId="0">
      <sharedItems containsString="0" containsBlank="1" containsNumber="1" containsInteger="1" minValue="260" maxValue="39336"/>
    </cacheField>
    <cacheField name="Semanas en el club" numFmtId="0">
      <sharedItems containsString="0" containsBlank="1" containsNumber="1" containsInteger="1" minValue="16" maxValue="294"/>
    </cacheField>
    <cacheField name="Experiencia" numFmtId="0">
      <sharedItems containsString="0" containsBlank="1" containsNumber="1" containsInteger="1" minValue="1" maxValue="14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20" maxValue="20"/>
    </cacheField>
    <cacheField name="Forma" numFmtId="0">
      <sharedItems containsString="0" containsBlank="1" containsNumber="1" containsInteger="1" minValue="2" maxValue="8" count="8">
        <n v="5"/>
        <n v="7"/>
        <n v="6"/>
        <n v="8"/>
        <n v="4"/>
        <n v="3"/>
        <n v="2"/>
        <m/>
      </sharedItems>
    </cacheField>
    <cacheField name="Resistencia" numFmtId="0">
      <sharedItems containsString="0" containsBlank="1" containsNumber="1" containsInteger="1" minValue="2" maxValue="8"/>
    </cacheField>
    <cacheField name="Fecha último partido" numFmtId="0">
      <sharedItems containsNonDate="0" containsDate="1" containsString="0" containsBlank="1" minDate="2015-04-27T00:00:00" maxDate="2022-08-07T00:00:00"/>
    </cacheField>
    <cacheField name="Rendimiento último partido" numFmtId="0">
      <sharedItems containsString="0" containsBlank="1" containsNumber="1" minValue="3.5" maxValue="10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1"/>
        <n v="0"/>
        <m/>
      </sharedItems>
    </cacheField>
    <cacheField name="Semana" numFmtId="0">
      <sharedItems containsString="0" containsBlank="1" containsNumber="1" containsInteger="1" minValue="1" maxValue="2" count="3">
        <n v="1"/>
        <n v="2"/>
        <m/>
      </sharedItems>
    </cacheField>
    <cacheField name="POS" numFmtId="0">
      <sharedItems containsBlank="1" count="7">
        <s v="LAT"/>
        <s v="INN"/>
        <s v="INN/EXT"/>
        <m/>
        <s v="CEN"/>
        <s v="POR"/>
        <s v="CEN/IN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83.509325810184" createdVersion="8" refreshedVersion="8" minRefreshableVersion="3" recordCount="52" xr:uid="{B674692C-E03A-44CF-B1AC-865736785151}">
  <cacheSource type="worksheet">
    <worksheetSource ref="A1:Z1048576" sheet="La Barrilla"/>
  </cacheSource>
  <cacheFields count="26">
    <cacheField name="Nacionalidad" numFmtId="0">
      <sharedItems containsBlank="1"/>
    </cacheField>
    <cacheField name="Dorsal" numFmtId="0">
      <sharedItems containsBlank="1"/>
    </cacheField>
    <cacheField name="Nombre" numFmtId="0">
      <sharedItems containsBlank="1" count="26">
        <s v="Ariel Szramkowski"/>
        <s v="Aurelio Bochini"/>
        <s v="Cecil Debackere"/>
        <s v="Cristi Răducă"/>
        <s v="Gerard Xiol"/>
        <s v="Grégory Sénéchal"/>
        <s v="Jaume Vilatobà"/>
        <s v="Joaquín Vuelta"/>
        <s v="José Alaminos"/>
        <s v="José Ramón Espés"/>
        <s v="Juan Alarcón"/>
        <s v="Juan Mayor"/>
        <s v="Juan Ochotorena"/>
        <s v="Jurrie Wezeman"/>
        <s v="Kenneth Ooms"/>
        <s v="Leon Dowe"/>
        <s v="Marc Santander"/>
        <s v="Marcos Serbia"/>
        <s v="Piotr Stawirej"/>
        <s v="Pol Jover"/>
        <s v="Raúl Eduardo Sisalli"/>
        <s v="Robin Jupa"/>
        <s v="Ulf Kelberger"/>
        <s v="Valentín Vuelta"/>
        <s v="賢士 (Kenji) 岩崎 (Iwasaki)"/>
        <m/>
      </sharedItems>
    </cacheField>
    <cacheField name="ID del jugador" numFmtId="0">
      <sharedItems containsString="0" containsBlank="1" containsNumber="1" containsInteger="1" minValue="391463093" maxValue="469974779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"/>
        <s v="Técnico"/>
        <s v="Cabeceador"/>
        <s v="Potente"/>
        <s v="Imprevisible"/>
        <s v="Rápido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2" maxValue="999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19" maxValue="45"/>
    </cacheField>
    <cacheField name="Días" numFmtId="0">
      <sharedItems containsString="0" containsBlank="1" containsNumber="1" containsInteger="1" minValue="0" maxValue="108"/>
    </cacheField>
    <cacheField name="TSI" numFmtId="0">
      <sharedItems containsString="0" containsBlank="1" containsNumber="1" containsInteger="1" minValue="0" maxValue="311540"/>
    </cacheField>
    <cacheField name="Salario" numFmtId="0">
      <sharedItems containsString="0" containsBlank="1" containsNumber="1" containsInteger="1" minValue="300" maxValue="59990"/>
    </cacheField>
    <cacheField name="Semanas en el club" numFmtId="0">
      <sharedItems containsString="0" containsBlank="1" containsNumber="1" containsInteger="1" minValue="0" maxValue="315"/>
    </cacheField>
    <cacheField name="Experiencia" numFmtId="0">
      <sharedItems containsString="0" containsBlank="1" containsNumber="1" containsInteger="1" minValue="2" maxValue="16"/>
    </cacheField>
    <cacheField name="Liderazgo" numFmtId="0">
      <sharedItems containsString="0" containsBlank="1" containsNumber="1" containsInteger="1" minValue="2" maxValue="6"/>
    </cacheField>
    <cacheField name="Fidelidad" numFmtId="0">
      <sharedItems containsString="0" containsBlank="1" containsNumber="1" containsInteger="1" minValue="3" maxValue="20"/>
    </cacheField>
    <cacheField name="Forma" numFmtId="0">
      <sharedItems containsString="0" containsBlank="1" containsNumber="1" containsInteger="1" minValue="2" maxValue="8"/>
    </cacheField>
    <cacheField name="Resistencia" numFmtId="0">
      <sharedItems containsString="0" containsBlank="1" containsNumber="1" containsInteger="1" minValue="1" maxValue="9"/>
    </cacheField>
    <cacheField name="Fecha último partido" numFmtId="0">
      <sharedItems containsNonDate="0" containsDate="1" containsString="0" containsBlank="1" minDate="2021-03-17T00:00:00" maxDate="2022-08-07T00:00:00"/>
    </cacheField>
    <cacheField name="Rendimiento último partido" numFmtId="0">
      <sharedItems containsString="0" containsBlank="1" containsNumber="1" minValue="0" maxValue="11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0"/>
        <n v="1"/>
        <m/>
      </sharedItems>
    </cacheField>
    <cacheField name="Semana" numFmtId="0">
      <sharedItems containsString="0" containsBlank="1" containsNumber="1" containsInteger="1" minValue="1" maxValue="2" count="3">
        <n v="1"/>
        <n v="2"/>
        <m/>
      </sharedItems>
    </cacheField>
    <cacheField name="POS" numFmtId="0">
      <sharedItems containsBlank="1" count="5">
        <m/>
        <s v="POR"/>
        <s v="INN"/>
        <s v="INN/EXT"/>
        <s v="DE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85.401622106481" createdVersion="8" refreshedVersion="8" minRefreshableVersion="3" recordCount="60" xr:uid="{19FA462F-BEAE-46CC-B3D1-5D26FDCA5E24}">
  <cacheSource type="worksheet">
    <worksheetSource ref="A1:Z1048576" sheet="Habasit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4" maxValue="11"/>
    </cacheField>
    <cacheField name="Nombre" numFmtId="0">
      <sharedItems containsBlank="1" count="20">
        <s v="David Venet"/>
        <s v="Vicente del Jarama"/>
        <s v="Alessio Mastantuoni"/>
        <s v="Gudmunds Romanovskis"/>
        <s v="Rafael Molleja"/>
        <s v="Dominik Pigulski"/>
        <s v="Franciszek Gaweł"/>
        <s v="Hamdi Hamed Al-Samy"/>
        <s v="Pavel Ministr"/>
        <s v="Juan Pablo Pan Álvarez"/>
        <s v="Mart Gerdez"/>
        <s v="Valdimar Egilsson"/>
        <s v="Antonio Llorente"/>
        <s v="Cătălin Şandor"/>
        <s v="Rupert Penke"/>
        <s v="Gregor Meissner"/>
        <s v="Rövşən Mehdiyev"/>
        <s v="Henryk Osipowicz"/>
        <s v="Federico Abitante"/>
        <m/>
      </sharedItems>
    </cacheField>
    <cacheField name="ID del jugador" numFmtId="0">
      <sharedItems containsString="0" containsBlank="1" containsNumber="1" containsInteger="1" minValue="419134956" maxValue="469826787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"/>
        <s v="Rápido"/>
        <s v="Imprevisible"/>
        <s v="Cabeceador"/>
        <s v="Potente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1" maxValue="3" count="4">
        <n v="3"/>
        <n v="2"/>
        <n v="1"/>
        <m/>
      </sharedItems>
    </cacheField>
    <cacheField name="Amonestaciones" numFmtId="0">
      <sharedItems containsBlank="1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17" maxValue="50"/>
    </cacheField>
    <cacheField name="Días" numFmtId="0">
      <sharedItems containsString="0" containsBlank="1" containsNumber="1" containsInteger="1" minValue="0" maxValue="108"/>
    </cacheField>
    <cacheField name="TSI" numFmtId="0">
      <sharedItems containsString="0" containsBlank="1" containsNumber="1" containsInteger="1" minValue="0" maxValue="308240"/>
    </cacheField>
    <cacheField name="Salario" numFmtId="0">
      <sharedItems containsString="0" containsBlank="1" containsNumber="1" containsInteger="1" minValue="250" maxValue="71364"/>
    </cacheField>
    <cacheField name="Semanas en el club" numFmtId="0">
      <sharedItems containsString="0" containsBlank="1" containsNumber="1" containsInteger="1" minValue="8" maxValue="275"/>
    </cacheField>
    <cacheField name="Experiencia" numFmtId="0">
      <sharedItems containsString="0" containsBlank="1" containsNumber="1" containsInteger="1" minValue="1" maxValue="14"/>
    </cacheField>
    <cacheField name="Liderazgo" numFmtId="0">
      <sharedItems containsString="0" containsBlank="1" containsNumber="1" containsInteger="1" minValue="2" maxValue="7"/>
    </cacheField>
    <cacheField name="Fidelidad" numFmtId="0">
      <sharedItems containsString="0" containsBlank="1" containsNumber="1" containsInteger="1" minValue="12" maxValue="20"/>
    </cacheField>
    <cacheField name="Forma" numFmtId="0">
      <sharedItems containsString="0" containsBlank="1" containsNumber="1" containsInteger="1" minValue="4" maxValue="8"/>
    </cacheField>
    <cacheField name="Resistencia" numFmtId="0">
      <sharedItems containsString="0" containsBlank="1" containsNumber="1" containsInteger="1" minValue="2" maxValue="8"/>
    </cacheField>
    <cacheField name="Fecha último partido" numFmtId="0">
      <sharedItems containsNonDate="0" containsDate="1" containsString="0" containsBlank="1" minDate="2022-06-22T00:00:00" maxDate="2022-08-11T00:00:00"/>
    </cacheField>
    <cacheField name="Rendimiento último partido" numFmtId="0">
      <sharedItems containsString="0" containsBlank="1" containsNumber="1" minValue="1" maxValue="10.5"/>
    </cacheField>
    <cacheField name="Demarcación último partido" numFmtId="0">
      <sharedItems containsBlank="1" count="9">
        <s v="DC"/>
        <s v="POR"/>
        <s v="ED"/>
        <s v="LD"/>
        <s v="DEL"/>
        <s v="LI"/>
        <s v="EI"/>
        <s v="MC"/>
        <m/>
      </sharedItems>
    </cacheField>
    <cacheField name="Importante" numFmtId="0">
      <sharedItems containsString="0" containsBlank="1" containsNumber="1" containsInteger="1" minValue="0" maxValue="1" count="3">
        <n v="0"/>
        <n v="1"/>
        <m/>
      </sharedItems>
    </cacheField>
    <cacheField name="Semana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OS" numFmtId="0">
      <sharedItems containsBlank="1" count="3">
        <m/>
        <s v="DEF/INN"/>
        <s v="P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820.487937500002" createdVersion="8" refreshedVersion="8" minRefreshableVersion="3" recordCount="105" xr:uid="{2CE9F558-DAAA-4D56-810D-8ACBEEE10DBA}">
  <cacheSource type="worksheet">
    <worksheetSource ref="A1:Z1048576" sheet="Las Animas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6"/>
    </cacheField>
    <cacheField name="Nombre" numFmtId="0">
      <sharedItems containsBlank="1" count="28">
        <s v="Lauro Barandela"/>
        <s v="Jorge Durandio"/>
        <s v="Alejandro del Pino García"/>
        <s v="Liviu Bran"/>
        <s v="Maximiliano Veber"/>
        <s v="Daniel Labayen Aranzabe"/>
        <s v="Tomás Triana"/>
        <s v="James Ancelot"/>
        <s v="Javier Manuel Vázquez"/>
        <s v="Joaquín Olazábal Solís"/>
        <s v="Hugo Figueras"/>
        <s v="José Porcel"/>
        <s v="Xesc Ferriols"/>
        <s v="Pablo Berástegui"/>
        <s v="Salvador Monllau"/>
        <s v="Andrea Mazziotta"/>
        <s v="Víctor Vasa"/>
        <s v="Raúl Galquio"/>
        <s v="Juan Raúl González Bárcena"/>
        <s v="Gonzalo Porcuna"/>
        <s v="Fortunat Kauth"/>
        <s v="Gonzalo Vázquez"/>
        <s v="Juan Jesús de Oro"/>
        <s v="Marcial Briz"/>
        <s v="Eilo Enderika"/>
        <s v="Alberto Bailo"/>
        <s v="Jesús Aranzábal"/>
        <m/>
      </sharedItems>
    </cacheField>
    <cacheField name="ID del jugador" numFmtId="0">
      <sharedItems containsString="0" containsBlank="1" containsNumber="1" containsInteger="1" minValue="334269782" maxValue="471429052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Imprevisible"/>
        <s v="Potente"/>
        <s v="Cabeceador"/>
        <s v=""/>
        <s v="Rápido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 containsMixedTypes="1" containsNumber="1" containsInteger="1" minValue="1" maxValue="5"/>
    </cacheField>
    <cacheField name="Amonestaciones" numFmtId="0">
      <sharedItems containsString="0" containsBlank="1" containsNumber="1" containsInteger="1" minValue="1" maxValue="3"/>
    </cacheField>
    <cacheField name="En la lista de transferencias" numFmtId="0">
      <sharedItems containsBlank="1" containsMixedTypes="1" containsNumber="1" containsInteger="1" minValue="1" maxValue="1"/>
    </cacheField>
    <cacheField name="Edad" numFmtId="0">
      <sharedItems containsString="0" containsBlank="1" containsNumber="1" containsInteger="1" minValue="17" maxValue="52"/>
    </cacheField>
    <cacheField name="Días" numFmtId="0">
      <sharedItems containsString="0" containsBlank="1" containsNumber="1" containsInteger="1" minValue="1" maxValue="111"/>
    </cacheField>
    <cacheField name="TSI" numFmtId="0">
      <sharedItems containsString="0" containsBlank="1" containsNumber="1" containsInteger="1" minValue="0" maxValue="257810"/>
    </cacheField>
    <cacheField name="Salario" numFmtId="0">
      <sharedItems containsString="0" containsBlank="1" containsNumber="1" containsInteger="1" minValue="270" maxValue="37752"/>
    </cacheField>
    <cacheField name="Semanas en el club" numFmtId="0">
      <sharedItems containsString="0" containsBlank="1" containsNumber="1" containsInteger="1" minValue="0" maxValue="300"/>
    </cacheField>
    <cacheField name="Experiencia" numFmtId="0">
      <sharedItems containsString="0" containsBlank="1" containsNumber="1" containsInteger="1" minValue="1" maxValue="16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13" maxValue="20"/>
    </cacheField>
    <cacheField name="Forma" numFmtId="0">
      <sharedItems containsString="0" containsBlank="1" containsNumber="1" containsInteger="1" minValue="2" maxValue="8"/>
    </cacheField>
    <cacheField name="Resistencia" numFmtId="0">
      <sharedItems containsString="0" containsBlank="1" containsNumber="1" containsInteger="1" minValue="2" maxValue="9"/>
    </cacheField>
    <cacheField name="Fecha último partido" numFmtId="0">
      <sharedItems containsNonDate="0" containsDate="1" containsString="0" containsBlank="1" minDate="2018-10-24T00:00:00" maxDate="2022-09-15T00:00:00"/>
    </cacheField>
    <cacheField name="Rendimiento último partido" numFmtId="0">
      <sharedItems containsString="0" containsBlank="1" containsNumber="1" minValue="1" maxValue="11.5"/>
    </cacheField>
    <cacheField name="Demarcación último partido" numFmtId="0">
      <sharedItems containsBlank="1" count="10">
        <s v="MC"/>
        <s v="DEL"/>
        <s v="EI"/>
        <s v="POR"/>
        <s v="ED"/>
        <s v="LD"/>
        <s v="DC"/>
        <s v="LI"/>
        <s v=""/>
        <m/>
      </sharedItems>
    </cacheField>
    <cacheField name="Importante" numFmtId="0">
      <sharedItems containsString="0" containsBlank="1" containsNumber="1" containsInteger="1" minValue="1" maxValue="1" count="2">
        <n v="1"/>
        <m/>
      </sharedItems>
    </cacheField>
    <cacheField name="Semana" numFmtId="0">
      <sharedItems containsString="0" containsBlank="1" containsNumber="1" containsInteger="1" minValue="1" maxValue="9" count="5">
        <n v="9"/>
        <n v="1"/>
        <n v="8"/>
        <n v="2"/>
        <m/>
      </sharedItems>
    </cacheField>
    <cacheField name="POS" numFmtId="0">
      <sharedItems containsBlank="1" count="9">
        <s v="INN"/>
        <s v="INN/EXT"/>
        <s v="DEL"/>
        <s v="EXT"/>
        <s v="POR"/>
        <s v="DC"/>
        <m/>
        <s v="DC/INN"/>
        <s v="DE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825.612266898148" createdVersion="8" refreshedVersion="8" minRefreshableVersion="3" recordCount="77" xr:uid="{17961752-7D11-45B8-8875-70042E9A2D1E}">
  <cacheSource type="worksheet">
    <worksheetSource ref="A1:Z1048576" sheet="Paso que arras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50"/>
    </cacheField>
    <cacheField name="Nombre" numFmtId="0">
      <sharedItems containsBlank="1" count="20">
        <s v="Àngel Pol"/>
        <s v="Antonio 'La bala' Folgado"/>
        <s v="Augusto Castrovido"/>
        <s v="Federico Bada"/>
        <s v="Gianluca Linzalone"/>
        <s v="Gonzalo Maestre Zapata"/>
        <s v="Ignacio Botos"/>
        <s v="Joakim Ørum"/>
        <s v="Jochen Brinker"/>
        <s v="José Enrique Agud"/>
        <s v="Josep Vicenç Masamunt"/>
        <s v="Licínio Melo Correia"/>
        <s v="Lucio Abbruscato"/>
        <s v="Maciej Lejk"/>
        <s v="Natalio Urcola"/>
        <s v="Otto Turula"/>
        <s v="Valerio Olevano"/>
        <s v="Víctor Julio Mossos"/>
        <s v="Xinés Ousinde"/>
        <m/>
      </sharedItems>
    </cacheField>
    <cacheField name="ID del jugador" numFmtId="0">
      <sharedItems containsString="0" containsBlank="1" containsNumber="1" containsInteger="1" minValue="369277515" maxValue="464895917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"/>
        <s v="Rápido"/>
        <s v="Cabeceador"/>
        <s v="Potente"/>
        <s v="Imprevisible"/>
        <m/>
        <s v="Técnico" u="1"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Blank="1" containsMixedTypes="1" containsNumber="1" containsInteger="1" minValue="1" maxValue="2"/>
    </cacheField>
    <cacheField name="En la lista de transferencias" numFmtId="0">
      <sharedItems containsBlank="1" containsMixedTypes="1" containsNumber="1" containsInteger="1" minValue="1" maxValue="1"/>
    </cacheField>
    <cacheField name="Edad" numFmtId="0">
      <sharedItems containsString="0" containsBlank="1" containsNumber="1" containsInteger="1" minValue="19" maxValue="50"/>
    </cacheField>
    <cacheField name="Días" numFmtId="0">
      <sharedItems containsString="0" containsBlank="1" containsNumber="1" containsInteger="1" minValue="3" maxValue="111"/>
    </cacheField>
    <cacheField name="TSI" numFmtId="0">
      <sharedItems containsString="0" containsBlank="1" containsNumber="1" containsInteger="1" minValue="0" maxValue="445760"/>
    </cacheField>
    <cacheField name="Salario" numFmtId="0">
      <sharedItems containsString="0" containsBlank="1" containsNumber="1" containsInteger="1" minValue="300" maxValue="36610"/>
    </cacheField>
    <cacheField name="Semanas en el club" numFmtId="0">
      <sharedItems containsString="0" containsBlank="1" containsNumber="1" containsInteger="1" minValue="1" maxValue="253"/>
    </cacheField>
    <cacheField name="Experiencia" numFmtId="0">
      <sharedItems containsString="0" containsBlank="1" containsNumber="1" containsInteger="1" minValue="2" maxValue="13"/>
    </cacheField>
    <cacheField name="Liderazgo" numFmtId="0">
      <sharedItems containsString="0" containsBlank="1" containsNumber="1" containsInteger="1" minValue="1" maxValue="6"/>
    </cacheField>
    <cacheField name="Fidelidad" numFmtId="0">
      <sharedItems containsString="0" containsBlank="1" containsNumber="1" containsInteger="1" minValue="3" maxValue="20"/>
    </cacheField>
    <cacheField name="Forma" numFmtId="0">
      <sharedItems containsString="0" containsBlank="1" containsNumber="1" containsInteger="1" minValue="2" maxValue="8" count="7">
        <n v="4"/>
        <n v="5"/>
        <n v="7"/>
        <n v="6"/>
        <n v="8"/>
        <n v="2"/>
        <m/>
      </sharedItems>
    </cacheField>
    <cacheField name="Resistencia" numFmtId="0">
      <sharedItems containsString="0" containsBlank="1" containsNumber="1" containsInteger="1" minValue="1" maxValue="8" count="6">
        <n v="6"/>
        <n v="7"/>
        <n v="5"/>
        <n v="1"/>
        <n v="8"/>
        <m/>
      </sharedItems>
    </cacheField>
    <cacheField name="Fecha último partido" numFmtId="0">
      <sharedItems containsNonDate="0" containsDate="1" containsString="0" containsBlank="1" minDate="2020-12-09T00:00:00" maxDate="2022-09-22T00:00:00"/>
    </cacheField>
    <cacheField name="Rendimiento último partido" numFmtId="0">
      <sharedItems containsString="0" containsBlank="1" containsNumber="1" minValue="1.5" maxValue="12.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1"/>
        <m/>
        <n v="0" u="1"/>
      </sharedItems>
    </cacheField>
    <cacheField name="Semana" numFmtId="0">
      <sharedItems containsString="0" containsBlank="1" containsNumber="1" containsInteger="1" minValue="1" maxValue="9" count="5">
        <n v="1"/>
        <n v="2"/>
        <n v="8"/>
        <n v="9"/>
        <m/>
      </sharedItems>
    </cacheField>
    <cacheField name="POS" numFmtId="0">
      <sharedItems containsBlank="1" count="7">
        <s v="INN"/>
        <s v="DEL"/>
        <s v="EXT"/>
        <s v="LAT"/>
        <m/>
        <s v="EXT/LAT"/>
        <s v="P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ulgaria"/>
    <n v="11"/>
    <s v="Sadri Ziyat"/>
    <n v="438737435"/>
    <m/>
    <x v="0"/>
    <m/>
    <s v=""/>
    <n v="1"/>
    <m/>
    <x v="0"/>
    <x v="0"/>
    <n v="273460"/>
    <n v="52476"/>
    <n v="57"/>
    <n v="9"/>
    <n v="1"/>
    <n v="20"/>
    <n v="8"/>
    <n v="7"/>
    <d v="2022-07-27T00:00:00"/>
    <n v="10.5"/>
    <x v="0"/>
    <x v="0"/>
    <x v="0"/>
  </r>
  <r>
    <s v="Chile"/>
    <n v="5"/>
    <s v="Alvaro Melo"/>
    <n v="437942370"/>
    <m/>
    <x v="0"/>
    <m/>
    <s v=""/>
    <m/>
    <m/>
    <x v="0"/>
    <x v="1"/>
    <n v="204550"/>
    <n v="33924"/>
    <n v="66"/>
    <n v="9"/>
    <n v="7"/>
    <n v="20"/>
    <n v="7"/>
    <n v="7"/>
    <d v="2022-07-27T00:00:00"/>
    <n v="4"/>
    <x v="1"/>
    <x v="0"/>
    <x v="0"/>
  </r>
  <r>
    <s v="Taiwán"/>
    <n v="12"/>
    <s v="楊 (Yang) 海博 (Haibo)"/>
    <n v="437450459"/>
    <m/>
    <x v="1"/>
    <m/>
    <s v=""/>
    <m/>
    <m/>
    <x v="1"/>
    <x v="2"/>
    <n v="193530"/>
    <n v="33216"/>
    <n v="78"/>
    <n v="9"/>
    <n v="6"/>
    <n v="20"/>
    <n v="7"/>
    <n v="7"/>
    <d v="2022-07-27T00:00:00"/>
    <n v="7"/>
    <x v="2"/>
    <x v="0"/>
    <x v="0"/>
  </r>
  <r>
    <s v="Polonia"/>
    <n v="8"/>
    <s v="Bartosz Bucior"/>
    <n v="438682525"/>
    <m/>
    <x v="2"/>
    <m/>
    <s v=""/>
    <m/>
    <m/>
    <x v="0"/>
    <x v="3"/>
    <n v="191370"/>
    <n v="52764"/>
    <n v="86"/>
    <n v="9"/>
    <n v="4"/>
    <n v="20"/>
    <n v="6"/>
    <n v="7"/>
    <d v="2022-07-27T00:00:00"/>
    <n v="8"/>
    <x v="0"/>
    <x v="0"/>
    <x v="0"/>
  </r>
  <r>
    <s v="Alemania"/>
    <n v="6"/>
    <s v="Nils Steinbeißer"/>
    <n v="436902237"/>
    <m/>
    <x v="0"/>
    <m/>
    <s v=""/>
    <n v="1"/>
    <m/>
    <x v="1"/>
    <x v="4"/>
    <n v="186950"/>
    <n v="36888"/>
    <n v="31"/>
    <n v="10"/>
    <n v="5"/>
    <n v="16"/>
    <n v="7"/>
    <n v="7"/>
    <d v="2022-07-27T00:00:00"/>
    <n v="7.5"/>
    <x v="0"/>
    <x v="0"/>
    <x v="0"/>
  </r>
  <r>
    <s v="Mozambique"/>
    <n v="10"/>
    <s v="António Eurico Gonçalves Fonseca"/>
    <n v="436953717"/>
    <m/>
    <x v="1"/>
    <m/>
    <s v=""/>
    <m/>
    <m/>
    <x v="1"/>
    <x v="5"/>
    <n v="165400"/>
    <n v="23820"/>
    <n v="91"/>
    <n v="10"/>
    <n v="3"/>
    <n v="20"/>
    <n v="7"/>
    <n v="7"/>
    <d v="2022-07-23T00:00:00"/>
    <n v="6.5"/>
    <x v="0"/>
    <x v="0"/>
    <x v="0"/>
  </r>
  <r>
    <s v="Liechtenstein"/>
    <n v="7"/>
    <s v="Gert Mayer"/>
    <n v="434679963"/>
    <m/>
    <x v="3"/>
    <m/>
    <s v=""/>
    <m/>
    <m/>
    <x v="2"/>
    <x v="6"/>
    <n v="163630"/>
    <n v="31284"/>
    <n v="135"/>
    <n v="9"/>
    <n v="7"/>
    <n v="20"/>
    <n v="7"/>
    <n v="7"/>
    <d v="2022-07-23T00:00:00"/>
    <n v="9.5"/>
    <x v="3"/>
    <x v="0"/>
    <x v="0"/>
  </r>
  <r>
    <s v="España"/>
    <n v="2"/>
    <s v="Iker Bidagille"/>
    <n v="438680435"/>
    <m/>
    <x v="0"/>
    <n v="1"/>
    <s v=""/>
    <m/>
    <m/>
    <x v="1"/>
    <x v="7"/>
    <n v="160360"/>
    <n v="20900"/>
    <n v="199"/>
    <n v="10"/>
    <n v="5"/>
    <n v="20"/>
    <n v="7"/>
    <n v="7"/>
    <d v="2022-07-23T00:00:00"/>
    <n v="10"/>
    <x v="4"/>
    <x v="0"/>
    <x v="0"/>
  </r>
  <r>
    <s v="Hungría"/>
    <n v="3"/>
    <s v="Zoltán Tarlós"/>
    <n v="441300576"/>
    <n v="1"/>
    <x v="3"/>
    <m/>
    <s v=""/>
    <m/>
    <m/>
    <x v="0"/>
    <x v="8"/>
    <n v="148500"/>
    <n v="23124"/>
    <n v="110"/>
    <n v="9"/>
    <n v="6"/>
    <n v="20"/>
    <n v="7"/>
    <n v="7"/>
    <d v="2022-07-27T00:00:00"/>
    <n v="8"/>
    <x v="3"/>
    <x v="0"/>
    <x v="0"/>
  </r>
  <r>
    <s v="Portugal"/>
    <n v="14"/>
    <s v="Alexandrino Sola de Sá Pato"/>
    <n v="438510503"/>
    <m/>
    <x v="3"/>
    <m/>
    <s v=""/>
    <m/>
    <m/>
    <x v="0"/>
    <x v="9"/>
    <n v="141240"/>
    <n v="25992"/>
    <n v="17"/>
    <n v="8"/>
    <n v="2"/>
    <n v="12"/>
    <n v="6"/>
    <n v="7"/>
    <d v="2022-07-23T00:00:00"/>
    <n v="2.5"/>
    <x v="5"/>
    <x v="0"/>
    <x v="0"/>
  </r>
  <r>
    <s v="Italia"/>
    <n v="13"/>
    <s v="Eligio Giorgetta"/>
    <n v="436942530"/>
    <m/>
    <x v="2"/>
    <m/>
    <s v=""/>
    <n v="1"/>
    <m/>
    <x v="1"/>
    <x v="10"/>
    <n v="136920"/>
    <n v="36684"/>
    <n v="101"/>
    <n v="9"/>
    <n v="4"/>
    <n v="20"/>
    <n v="6"/>
    <n v="7"/>
    <d v="2022-07-27T00:00:00"/>
    <n v="8"/>
    <x v="6"/>
    <x v="0"/>
    <x v="0"/>
  </r>
  <r>
    <s v="España"/>
    <n v="4"/>
    <s v="José David Pastor"/>
    <n v="438721721"/>
    <m/>
    <x v="2"/>
    <n v="1"/>
    <s v=""/>
    <m/>
    <m/>
    <x v="1"/>
    <x v="11"/>
    <n v="135480"/>
    <n v="16970"/>
    <n v="198"/>
    <n v="10"/>
    <n v="2"/>
    <n v="20"/>
    <n v="8"/>
    <n v="7"/>
    <d v="2022-07-23T00:00:00"/>
    <n v="9"/>
    <x v="5"/>
    <x v="0"/>
    <x v="0"/>
  </r>
  <r>
    <s v="Comoras"/>
    <n v="1"/>
    <s v="John Oluoch"/>
    <n v="439936362"/>
    <m/>
    <x v="1"/>
    <m/>
    <s v=""/>
    <m/>
    <m/>
    <x v="1"/>
    <x v="12"/>
    <n v="73050"/>
    <n v="37764"/>
    <n v="36"/>
    <n v="10"/>
    <n v="3"/>
    <n v="17"/>
    <n v="7"/>
    <n v="7"/>
    <d v="2022-07-23T00:00:00"/>
    <n v="10.5"/>
    <x v="1"/>
    <x v="0"/>
    <x v="0"/>
  </r>
  <r>
    <s v="Portugal"/>
    <n v="16"/>
    <s v="Mário Dionísio Mega"/>
    <n v="466263004"/>
    <m/>
    <x v="4"/>
    <m/>
    <s v=""/>
    <m/>
    <m/>
    <x v="3"/>
    <x v="13"/>
    <n v="9150"/>
    <n v="2964"/>
    <n v="8"/>
    <n v="1"/>
    <n v="4"/>
    <n v="8"/>
    <n v="7"/>
    <n v="8"/>
    <d v="2022-07-23T00:00:00"/>
    <n v="1"/>
    <x v="7"/>
    <x v="1"/>
    <x v="0"/>
  </r>
  <r>
    <s v="Grecia"/>
    <n v="15"/>
    <s v="Lakis Meletiou"/>
    <n v="467319271"/>
    <m/>
    <x v="4"/>
    <m/>
    <s v=""/>
    <m/>
    <m/>
    <x v="3"/>
    <x v="14"/>
    <n v="8900"/>
    <n v="1860"/>
    <n v="5"/>
    <n v="1"/>
    <n v="3"/>
    <n v="7"/>
    <n v="7"/>
    <n v="8"/>
    <d v="2022-07-23T00:00:00"/>
    <n v="1"/>
    <x v="2"/>
    <x v="1"/>
    <x v="0"/>
  </r>
  <r>
    <s v="Alemania"/>
    <n v="9"/>
    <s v="Hanning Fietze"/>
    <n v="429275176"/>
    <m/>
    <x v="2"/>
    <m/>
    <s v=""/>
    <m/>
    <m/>
    <x v="4"/>
    <x v="15"/>
    <n v="6330"/>
    <n v="6852"/>
    <n v="123"/>
    <n v="11"/>
    <n v="4"/>
    <n v="20"/>
    <n v="8"/>
    <n v="6"/>
    <d v="2022-07-23T00:00:00"/>
    <n v="9"/>
    <x v="2"/>
    <x v="0"/>
    <x v="0"/>
  </r>
  <r>
    <s v="Israel"/>
    <n v="19"/>
    <s v="Nehorai Dollberg"/>
    <n v="468503240"/>
    <m/>
    <x v="4"/>
    <m/>
    <s v=""/>
    <m/>
    <m/>
    <x v="5"/>
    <x v="16"/>
    <n v="5810"/>
    <n v="2100"/>
    <n v="9"/>
    <n v="1"/>
    <n v="3"/>
    <n v="9"/>
    <n v="7"/>
    <n v="8"/>
    <d v="2022-07-27T00:00:00"/>
    <n v="1.5"/>
    <x v="5"/>
    <x v="1"/>
    <x v="0"/>
  </r>
  <r>
    <s v="Panamá"/>
    <n v="21"/>
    <s v="Samuel Mendoza"/>
    <n v="465835919"/>
    <m/>
    <x v="4"/>
    <m/>
    <s v=""/>
    <m/>
    <n v="1"/>
    <x v="5"/>
    <x v="17"/>
    <n v="5630"/>
    <n v="2052"/>
    <n v="9"/>
    <n v="1"/>
    <n v="6"/>
    <n v="9"/>
    <n v="7"/>
    <n v="8"/>
    <d v="2022-07-23T00:00:00"/>
    <n v="1.5"/>
    <x v="5"/>
    <x v="1"/>
    <x v="0"/>
  </r>
  <r>
    <s v="Francia"/>
    <n v="20"/>
    <s v="Guillaume Mondésir"/>
    <n v="470220234"/>
    <m/>
    <x v="4"/>
    <m/>
    <s v=""/>
    <m/>
    <m/>
    <x v="6"/>
    <x v="18"/>
    <n v="5190"/>
    <n v="1620"/>
    <n v="2"/>
    <n v="1"/>
    <n v="4"/>
    <n v="5"/>
    <n v="6"/>
    <n v="6"/>
    <d v="2022-07-23T00:00:00"/>
    <n v="0"/>
    <x v="2"/>
    <x v="1"/>
    <x v="0"/>
  </r>
  <r>
    <s v="España"/>
    <n v="28"/>
    <s v="Rafael Hinojosa"/>
    <n v="456818063"/>
    <m/>
    <x v="4"/>
    <n v="1"/>
    <s v=""/>
    <m/>
    <m/>
    <x v="7"/>
    <x v="19"/>
    <n v="1250"/>
    <n v="430"/>
    <n v="86"/>
    <n v="2"/>
    <n v="3"/>
    <n v="20"/>
    <n v="5"/>
    <n v="8"/>
    <d v="2022-07-27T00:00:00"/>
    <n v="3"/>
    <x v="4"/>
    <x v="1"/>
    <x v="0"/>
  </r>
  <r>
    <s v="España"/>
    <n v="27"/>
    <s v="Félix Idígoras"/>
    <n v="436864344"/>
    <m/>
    <x v="0"/>
    <n v="1"/>
    <s v=""/>
    <n v="1"/>
    <m/>
    <x v="8"/>
    <x v="20"/>
    <n v="660"/>
    <n v="310"/>
    <n v="212"/>
    <n v="3"/>
    <n v="5"/>
    <n v="20"/>
    <n v="5"/>
    <n v="6"/>
    <d v="2022-07-27T00:00:00"/>
    <n v="4"/>
    <x v="7"/>
    <x v="1"/>
    <x v="0"/>
  </r>
  <r>
    <s v="España"/>
    <n v="29"/>
    <s v="Alberto Ciaurriz"/>
    <n v="469318336"/>
    <m/>
    <x v="1"/>
    <n v="1"/>
    <s v=""/>
    <m/>
    <m/>
    <x v="6"/>
    <x v="21"/>
    <n v="550"/>
    <n v="330"/>
    <n v="10"/>
    <n v="2"/>
    <n v="4"/>
    <n v="20"/>
    <n v="4"/>
    <n v="6"/>
    <d v="2022-07-27T00:00:00"/>
    <n v="2"/>
    <x v="5"/>
    <x v="1"/>
    <x v="0"/>
  </r>
  <r>
    <m/>
    <m/>
    <m/>
    <m/>
    <m/>
    <x v="5"/>
    <m/>
    <m/>
    <m/>
    <m/>
    <x v="9"/>
    <x v="22"/>
    <m/>
    <m/>
    <m/>
    <m/>
    <m/>
    <m/>
    <m/>
    <m/>
    <m/>
    <m/>
    <x v="8"/>
    <x v="2"/>
    <x v="1"/>
  </r>
  <r>
    <m/>
    <m/>
    <m/>
    <m/>
    <m/>
    <x v="5"/>
    <m/>
    <m/>
    <m/>
    <m/>
    <x v="9"/>
    <x v="22"/>
    <m/>
    <m/>
    <m/>
    <m/>
    <m/>
    <m/>
    <m/>
    <m/>
    <m/>
    <m/>
    <x v="8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España"/>
    <n v="33"/>
    <x v="0"/>
    <n v="458489979"/>
    <m/>
    <x v="0"/>
    <n v="1"/>
    <s v=""/>
    <m/>
    <s v=""/>
    <n v="23"/>
    <n v="57"/>
    <n v="200"/>
    <n v="250"/>
    <n v="76"/>
    <n v="2"/>
    <n v="5"/>
    <n v="20"/>
    <n v="5"/>
    <n v="8"/>
    <d v="2022-04-02T00:00:00"/>
    <n v="25"/>
    <s v="MC"/>
    <x v="0"/>
    <x v="0"/>
    <x v="0"/>
  </r>
  <r>
    <s v="España"/>
    <n v="33"/>
    <x v="0"/>
    <n v="458489979"/>
    <m/>
    <x v="0"/>
    <n v="1"/>
    <s v=""/>
    <m/>
    <m/>
    <n v="23"/>
    <n v="53"/>
    <n v="210"/>
    <n v="250"/>
    <n v="76"/>
    <n v="2"/>
    <n v="5"/>
    <n v="20"/>
    <n v="5"/>
    <n v="8"/>
    <d v="2022-04-02T00:00:00"/>
    <n v="2.5"/>
    <s v="MC"/>
    <x v="0"/>
    <x v="1"/>
    <x v="0"/>
  </r>
  <r>
    <s v="Uzbekistán"/>
    <n v="8"/>
    <x v="1"/>
    <n v="435478159"/>
    <m/>
    <x v="1"/>
    <m/>
    <s v=""/>
    <m/>
    <m/>
    <n v="31"/>
    <n v="7"/>
    <n v="157410"/>
    <n v="35172"/>
    <n v="18"/>
    <n v="13"/>
    <n v="1"/>
    <n v="12"/>
    <n v="6"/>
    <n v="8"/>
    <d v="2022-07-30T00:00:00"/>
    <n v="9"/>
    <s v="LD"/>
    <x v="1"/>
    <x v="1"/>
    <x v="1"/>
  </r>
  <r>
    <s v="Uzbekistán"/>
    <n v="8"/>
    <x v="1"/>
    <n v="435478159"/>
    <m/>
    <x v="1"/>
    <m/>
    <s v=""/>
    <m/>
    <s v=""/>
    <n v="31"/>
    <n v="11"/>
    <n v="170060"/>
    <n v="35172"/>
    <n v="18"/>
    <n v="13"/>
    <n v="1"/>
    <n v="12"/>
    <n v="6"/>
    <n v="8"/>
    <d v="2022-08-03T00:00:00"/>
    <n v="8"/>
    <s v="ED"/>
    <x v="1"/>
    <x v="0"/>
    <x v="1"/>
  </r>
  <r>
    <s v="España"/>
    <n v="13"/>
    <x v="2"/>
    <n v="440189964"/>
    <m/>
    <x v="0"/>
    <n v="1"/>
    <s v=""/>
    <m/>
    <s v=""/>
    <n v="29"/>
    <n v="6"/>
    <n v="60"/>
    <n v="660"/>
    <n v="192"/>
    <n v="5"/>
    <n v="3"/>
    <n v="20"/>
    <n v="2"/>
    <n v="7"/>
    <d v="2022-06-15T00:00:00"/>
    <n v="15"/>
    <s v="POR"/>
    <x v="0"/>
    <x v="0"/>
    <x v="0"/>
  </r>
  <r>
    <s v="España"/>
    <n v="13"/>
    <x v="2"/>
    <n v="440189964"/>
    <m/>
    <x v="0"/>
    <n v="1"/>
    <s v=""/>
    <m/>
    <m/>
    <n v="29"/>
    <n v="2"/>
    <n v="70"/>
    <n v="660"/>
    <n v="192"/>
    <n v="5"/>
    <n v="3"/>
    <n v="20"/>
    <n v="3"/>
    <n v="7"/>
    <d v="2022-06-15T00:00:00"/>
    <n v="1.5"/>
    <s v="POR"/>
    <x v="0"/>
    <x v="1"/>
    <x v="0"/>
  </r>
  <r>
    <s v="España"/>
    <m/>
    <x v="3"/>
    <n v="455234086"/>
    <m/>
    <x v="1"/>
    <n v="1"/>
    <s v=""/>
    <m/>
    <m/>
    <n v="25"/>
    <n v="4"/>
    <n v="560"/>
    <n v="350"/>
    <n v="98"/>
    <n v="2"/>
    <n v="4"/>
    <n v="20"/>
    <n v="2"/>
    <n v="8"/>
    <d v="2022-07-13T00:00:00"/>
    <n v="3"/>
    <s v="DC"/>
    <x v="0"/>
    <x v="1"/>
    <x v="0"/>
  </r>
  <r>
    <s v="España"/>
    <m/>
    <x v="3"/>
    <n v="455234086"/>
    <m/>
    <x v="1"/>
    <n v="1"/>
    <s v=""/>
    <m/>
    <s v=""/>
    <n v="25"/>
    <n v="8"/>
    <n v="580"/>
    <n v="350"/>
    <n v="98"/>
    <n v="2"/>
    <n v="4"/>
    <n v="20"/>
    <n v="2"/>
    <n v="8"/>
    <d v="2022-07-13T00:00:00"/>
    <n v="3"/>
    <s v="DC"/>
    <x v="0"/>
    <x v="0"/>
    <x v="0"/>
  </r>
  <r>
    <s v="Italia"/>
    <n v="11"/>
    <x v="4"/>
    <n v="434457086"/>
    <m/>
    <x v="2"/>
    <m/>
    <s v=""/>
    <m/>
    <s v=""/>
    <n v="31"/>
    <n v="66"/>
    <n v="197460"/>
    <n v="45528"/>
    <n v="25"/>
    <n v="9"/>
    <n v="7"/>
    <n v="14"/>
    <n v="5"/>
    <n v="7"/>
    <d v="2022-07-30T00:00:00"/>
    <n v="95"/>
    <s v="DEL"/>
    <x v="1"/>
    <x v="0"/>
    <x v="2"/>
  </r>
  <r>
    <s v="Italia"/>
    <n v="11"/>
    <x v="4"/>
    <n v="434457086"/>
    <m/>
    <x v="2"/>
    <m/>
    <s v=""/>
    <m/>
    <m/>
    <n v="31"/>
    <n v="62"/>
    <n v="208980"/>
    <n v="45528"/>
    <n v="24"/>
    <n v="9"/>
    <n v="7"/>
    <n v="14"/>
    <n v="5"/>
    <n v="7"/>
    <d v="2022-07-30T00:00:00"/>
    <n v="9.5"/>
    <s v="DEL"/>
    <x v="1"/>
    <x v="1"/>
    <x v="2"/>
  </r>
  <r>
    <s v="España"/>
    <m/>
    <x v="5"/>
    <n v="468952531"/>
    <m/>
    <x v="0"/>
    <n v="1"/>
    <s v=""/>
    <m/>
    <m/>
    <n v="17"/>
    <n v="106"/>
    <n v="720"/>
    <n v="310"/>
    <n v="14"/>
    <n v="1"/>
    <n v="3"/>
    <n v="20"/>
    <n v="6"/>
    <n v="7"/>
    <d v="2022-07-16T00:00:00"/>
    <n v="3"/>
    <s v="DC"/>
    <x v="0"/>
    <x v="1"/>
    <x v="0"/>
  </r>
  <r>
    <s v="España"/>
    <m/>
    <x v="5"/>
    <n v="468952531"/>
    <m/>
    <x v="0"/>
    <n v="1"/>
    <s v=""/>
    <m/>
    <s v=""/>
    <n v="17"/>
    <n v="110"/>
    <n v="740"/>
    <n v="310"/>
    <n v="14"/>
    <n v="1"/>
    <n v="3"/>
    <n v="20"/>
    <n v="7"/>
    <n v="7"/>
    <d v="2022-07-16T00:00:00"/>
    <n v="3"/>
    <s v="DC"/>
    <x v="0"/>
    <x v="0"/>
    <x v="0"/>
  </r>
  <r>
    <s v="España"/>
    <m/>
    <x v="6"/>
    <n v="469295839"/>
    <m/>
    <x v="0"/>
    <n v="1"/>
    <s v=""/>
    <m/>
    <s v=""/>
    <n v="18"/>
    <n v="29"/>
    <n v="1460"/>
    <n v="310"/>
    <n v="11"/>
    <n v="2"/>
    <n v="3"/>
    <n v="20"/>
    <n v="5"/>
    <n v="7"/>
    <d v="2022-07-16T00:00:00"/>
    <n v="4"/>
    <s v="DEL"/>
    <x v="0"/>
    <x v="0"/>
    <x v="0"/>
  </r>
  <r>
    <s v="España"/>
    <m/>
    <x v="6"/>
    <n v="469295839"/>
    <m/>
    <x v="0"/>
    <n v="1"/>
    <s v=""/>
    <m/>
    <m/>
    <n v="18"/>
    <n v="25"/>
    <n v="1740"/>
    <n v="310"/>
    <n v="10"/>
    <n v="2"/>
    <n v="3"/>
    <n v="20"/>
    <n v="6"/>
    <n v="7"/>
    <d v="2022-07-16T00:00:00"/>
    <n v="4"/>
    <s v="DEL"/>
    <x v="0"/>
    <x v="1"/>
    <x v="0"/>
  </r>
  <r>
    <s v="España"/>
    <m/>
    <x v="7"/>
    <n v="460128913"/>
    <m/>
    <x v="0"/>
    <n v="1"/>
    <s v=""/>
    <m/>
    <m/>
    <n v="23"/>
    <n v="35"/>
    <n v="1310"/>
    <n v="310"/>
    <n v="65"/>
    <n v="2"/>
    <n v="5"/>
    <n v="20"/>
    <n v="6"/>
    <n v="8"/>
    <d v="2022-06-08T00:00:00"/>
    <n v="2.5"/>
    <s v="DC"/>
    <x v="0"/>
    <x v="1"/>
    <x v="0"/>
  </r>
  <r>
    <s v="España"/>
    <m/>
    <x v="7"/>
    <n v="460128913"/>
    <m/>
    <x v="0"/>
    <n v="1"/>
    <s v=""/>
    <m/>
    <s v=""/>
    <n v="23"/>
    <n v="39"/>
    <n v="1380"/>
    <n v="310"/>
    <n v="66"/>
    <n v="2"/>
    <n v="5"/>
    <n v="20"/>
    <n v="6"/>
    <n v="8"/>
    <d v="2022-06-08T00:00:00"/>
    <n v="25"/>
    <s v="DC"/>
    <x v="0"/>
    <x v="0"/>
    <x v="0"/>
  </r>
  <r>
    <s v="España"/>
    <m/>
    <x v="8"/>
    <n v="470168916"/>
    <m/>
    <x v="0"/>
    <n v="1"/>
    <s v=""/>
    <m/>
    <m/>
    <n v="19"/>
    <n v="47"/>
    <n v="590"/>
    <n v="350"/>
    <n v="5"/>
    <n v="1"/>
    <n v="4"/>
    <n v="20"/>
    <n v="5"/>
    <n v="7"/>
    <d v="2022-07-20T00:00:00"/>
    <n v="3"/>
    <s v="ED"/>
    <x v="0"/>
    <x v="1"/>
    <x v="0"/>
  </r>
  <r>
    <s v="España"/>
    <m/>
    <x v="8"/>
    <n v="470168916"/>
    <m/>
    <x v="0"/>
    <n v="1"/>
    <s v=""/>
    <m/>
    <s v=""/>
    <n v="19"/>
    <n v="51"/>
    <n v="650"/>
    <n v="350"/>
    <n v="6"/>
    <n v="1"/>
    <n v="4"/>
    <n v="20"/>
    <n v="6"/>
    <n v="7"/>
    <d v="2022-07-20T00:00:00"/>
    <n v="3"/>
    <s v="ED"/>
    <x v="0"/>
    <x v="0"/>
    <x v="0"/>
  </r>
  <r>
    <s v="España"/>
    <m/>
    <x v="9"/>
    <n v="461519189"/>
    <m/>
    <x v="3"/>
    <n v="1"/>
    <s v=""/>
    <m/>
    <m/>
    <n v="22"/>
    <n v="42"/>
    <n v="640"/>
    <n v="290"/>
    <n v="54"/>
    <n v="2"/>
    <n v="6"/>
    <n v="20"/>
    <n v="4"/>
    <n v="8"/>
    <d v="2022-07-20T00:00:00"/>
    <n v="2"/>
    <s v="DEL"/>
    <x v="0"/>
    <x v="1"/>
    <x v="0"/>
  </r>
  <r>
    <s v="España"/>
    <m/>
    <x v="9"/>
    <n v="461519189"/>
    <m/>
    <x v="3"/>
    <n v="1"/>
    <s v=""/>
    <m/>
    <s v=""/>
    <n v="22"/>
    <n v="46"/>
    <n v="720"/>
    <n v="290"/>
    <n v="54"/>
    <n v="2"/>
    <n v="6"/>
    <n v="20"/>
    <n v="4"/>
    <n v="8"/>
    <d v="2022-07-20T00:00:00"/>
    <n v="2"/>
    <s v="DEL"/>
    <x v="0"/>
    <x v="0"/>
    <x v="0"/>
  </r>
  <r>
    <s v="Polonia"/>
    <n v="12"/>
    <x v="10"/>
    <n v="440240188"/>
    <m/>
    <x v="3"/>
    <m/>
    <s v=""/>
    <m/>
    <s v=""/>
    <n v="29"/>
    <n v="54"/>
    <n v="92110"/>
    <n v="23232"/>
    <n v="33"/>
    <n v="7"/>
    <n v="1"/>
    <n v="16"/>
    <n v="6"/>
    <n v="8"/>
    <d v="2022-08-03T00:00:00"/>
    <n v="75"/>
    <s v="MC"/>
    <x v="1"/>
    <x v="0"/>
    <x v="3"/>
  </r>
  <r>
    <s v="Polonia"/>
    <n v="12"/>
    <x v="10"/>
    <n v="440240188"/>
    <m/>
    <x v="3"/>
    <m/>
    <s v=""/>
    <m/>
    <m/>
    <n v="29"/>
    <n v="50"/>
    <n v="94160"/>
    <n v="23232"/>
    <n v="32"/>
    <n v="7"/>
    <n v="1"/>
    <n v="16"/>
    <n v="6"/>
    <n v="8"/>
    <d v="2022-07-27T00:00:00"/>
    <n v="4.5"/>
    <s v="DEL"/>
    <x v="1"/>
    <x v="1"/>
    <x v="3"/>
  </r>
  <r>
    <s v="España"/>
    <n v="27"/>
    <x v="11"/>
    <n v="459575678"/>
    <m/>
    <x v="4"/>
    <n v="1"/>
    <s v=""/>
    <m/>
    <m/>
    <n v="21"/>
    <n v="65"/>
    <n v="710"/>
    <n v="310"/>
    <n v="69"/>
    <n v="2"/>
    <n v="2"/>
    <n v="20"/>
    <n v="5"/>
    <n v="8"/>
    <d v="2022-06-15T00:00:00"/>
    <n v="2.5"/>
    <s v="ED"/>
    <x v="0"/>
    <x v="1"/>
    <x v="0"/>
  </r>
  <r>
    <s v="España"/>
    <n v="27"/>
    <x v="11"/>
    <n v="459575678"/>
    <m/>
    <x v="4"/>
    <n v="1"/>
    <s v=""/>
    <m/>
    <s v=""/>
    <n v="21"/>
    <n v="69"/>
    <n v="770"/>
    <n v="310"/>
    <n v="69"/>
    <n v="2"/>
    <n v="2"/>
    <n v="20"/>
    <n v="6"/>
    <n v="8"/>
    <d v="2022-06-15T00:00:00"/>
    <n v="25"/>
    <s v="ED"/>
    <x v="0"/>
    <x v="0"/>
    <x v="0"/>
  </r>
  <r>
    <s v="España"/>
    <n v="28"/>
    <x v="12"/>
    <n v="462466686"/>
    <m/>
    <x v="0"/>
    <n v="1"/>
    <s v=""/>
    <m/>
    <s v=""/>
    <n v="22"/>
    <n v="4"/>
    <n v="760"/>
    <n v="330"/>
    <n v="48"/>
    <n v="2"/>
    <n v="4"/>
    <n v="20"/>
    <n v="4"/>
    <n v="8"/>
    <d v="2022-07-13T00:00:00"/>
    <n v="2"/>
    <s v="POR"/>
    <x v="0"/>
    <x v="0"/>
    <x v="0"/>
  </r>
  <r>
    <s v="España"/>
    <n v="28"/>
    <x v="12"/>
    <n v="462466686"/>
    <m/>
    <x v="0"/>
    <n v="1"/>
    <s v=""/>
    <m/>
    <m/>
    <n v="22"/>
    <n v="0"/>
    <n v="850"/>
    <n v="330"/>
    <n v="48"/>
    <n v="2"/>
    <n v="4"/>
    <n v="20"/>
    <n v="5"/>
    <n v="8"/>
    <d v="2022-07-13T00:00:00"/>
    <n v="2"/>
    <s v="POR"/>
    <x v="0"/>
    <x v="1"/>
    <x v="0"/>
  </r>
  <r>
    <s v="España"/>
    <n v="29"/>
    <x v="13"/>
    <n v="452941201"/>
    <m/>
    <x v="0"/>
    <n v="1"/>
    <s v=""/>
    <m/>
    <s v=""/>
    <n v="24"/>
    <n v="44"/>
    <n v="520"/>
    <n v="290"/>
    <n v="111"/>
    <n v="2"/>
    <n v="1"/>
    <n v="20"/>
    <n v="3"/>
    <n v="8"/>
    <d v="2022-04-02T00:00:00"/>
    <n v="2"/>
    <s v="ED"/>
    <x v="0"/>
    <x v="0"/>
    <x v="0"/>
  </r>
  <r>
    <s v="España"/>
    <n v="29"/>
    <x v="13"/>
    <n v="452941201"/>
    <m/>
    <x v="0"/>
    <n v="1"/>
    <s v=""/>
    <m/>
    <m/>
    <n v="24"/>
    <n v="40"/>
    <n v="600"/>
    <n v="290"/>
    <n v="111"/>
    <n v="2"/>
    <n v="1"/>
    <n v="20"/>
    <n v="4"/>
    <n v="8"/>
    <d v="2022-04-02T00:00:00"/>
    <n v="2"/>
    <s v="ED"/>
    <x v="0"/>
    <x v="1"/>
    <x v="0"/>
  </r>
  <r>
    <s v="Suiza"/>
    <n v="15"/>
    <x v="14"/>
    <n v="432095172"/>
    <m/>
    <x v="3"/>
    <m/>
    <s v=""/>
    <m/>
    <m/>
    <n v="32"/>
    <n v="41"/>
    <n v="53750"/>
    <n v="18060"/>
    <n v="56"/>
    <n v="10"/>
    <n v="5"/>
    <n v="20"/>
    <n v="4"/>
    <n v="7"/>
    <d v="2022-07-27T00:00:00"/>
    <n v="6"/>
    <s v="DC"/>
    <x v="1"/>
    <x v="1"/>
    <x v="3"/>
  </r>
  <r>
    <s v="Suiza"/>
    <n v="15"/>
    <x v="14"/>
    <n v="432095172"/>
    <m/>
    <x v="3"/>
    <m/>
    <s v=""/>
    <m/>
    <s v=""/>
    <n v="32"/>
    <n v="45"/>
    <n v="62100"/>
    <n v="18060"/>
    <n v="57"/>
    <n v="10"/>
    <n v="5"/>
    <n v="20"/>
    <n v="5"/>
    <n v="7"/>
    <d v="2022-08-03T00:00:00"/>
    <n v="45"/>
    <s v="MC"/>
    <x v="1"/>
    <x v="0"/>
    <x v="3"/>
  </r>
  <r>
    <s v="España"/>
    <m/>
    <x v="15"/>
    <n v="444552328"/>
    <m/>
    <x v="3"/>
    <n v="1"/>
    <s v=""/>
    <m/>
    <s v=""/>
    <n v="27"/>
    <n v="46"/>
    <n v="790"/>
    <n v="310"/>
    <n v="159"/>
    <n v="2"/>
    <n v="5"/>
    <n v="20"/>
    <n v="2"/>
    <n v="7"/>
    <d v="2021-01-10T00:00:00"/>
    <n v="35"/>
    <s v="DEL"/>
    <x v="0"/>
    <x v="0"/>
    <x v="0"/>
  </r>
  <r>
    <s v="España"/>
    <m/>
    <x v="15"/>
    <n v="444552328"/>
    <m/>
    <x v="3"/>
    <n v="1"/>
    <s v=""/>
    <m/>
    <m/>
    <n v="27"/>
    <n v="42"/>
    <n v="880"/>
    <n v="310"/>
    <n v="158"/>
    <n v="2"/>
    <n v="5"/>
    <n v="20"/>
    <n v="3"/>
    <n v="7"/>
    <d v="2021-01-10T00:00:00"/>
    <n v="3.5"/>
    <s v="DEL"/>
    <x v="0"/>
    <x v="1"/>
    <x v="0"/>
  </r>
  <r>
    <s v="Perú"/>
    <n v="7"/>
    <x v="16"/>
    <n v="433647180"/>
    <m/>
    <x v="3"/>
    <m/>
    <s v=""/>
    <m/>
    <m/>
    <n v="31"/>
    <n v="102"/>
    <n v="255790"/>
    <n v="45036"/>
    <n v="157"/>
    <n v="11"/>
    <n v="5"/>
    <n v="20"/>
    <n v="6"/>
    <n v="7"/>
    <d v="2022-07-30T00:00:00"/>
    <n v="9.5"/>
    <s v="DEL"/>
    <x v="1"/>
    <x v="1"/>
    <x v="4"/>
  </r>
  <r>
    <s v="Perú"/>
    <n v="7"/>
    <x v="16"/>
    <n v="433647180"/>
    <m/>
    <x v="3"/>
    <m/>
    <s v=""/>
    <m/>
    <s v=""/>
    <n v="31"/>
    <n v="106"/>
    <n v="256950"/>
    <n v="45036"/>
    <n v="158"/>
    <n v="11"/>
    <n v="5"/>
    <n v="20"/>
    <n v="6"/>
    <n v="7"/>
    <d v="2022-07-30T00:00:00"/>
    <n v="95"/>
    <s v="DEL"/>
    <x v="1"/>
    <x v="0"/>
    <x v="4"/>
  </r>
  <r>
    <s v="Angola"/>
    <n v="2"/>
    <x v="17"/>
    <n v="434021655"/>
    <n v="1"/>
    <x v="2"/>
    <m/>
    <s v=""/>
    <m/>
    <m/>
    <n v="31"/>
    <n v="75"/>
    <n v="218640"/>
    <n v="45624"/>
    <n v="161"/>
    <n v="13"/>
    <n v="6"/>
    <n v="20"/>
    <n v="6"/>
    <n v="7"/>
    <d v="2022-07-30T00:00:00"/>
    <n v="9.5"/>
    <s v="MC"/>
    <x v="1"/>
    <x v="1"/>
    <x v="5"/>
  </r>
  <r>
    <s v="Angola"/>
    <n v="2"/>
    <x v="17"/>
    <n v="434021655"/>
    <n v="1"/>
    <x v="2"/>
    <m/>
    <s v=""/>
    <m/>
    <s v=""/>
    <n v="31"/>
    <n v="79"/>
    <n v="224500"/>
    <n v="45624"/>
    <n v="161"/>
    <n v="13"/>
    <n v="6"/>
    <n v="20"/>
    <n v="6"/>
    <n v="7"/>
    <d v="2022-07-30T00:00:00"/>
    <n v="95"/>
    <s v="MC"/>
    <x v="1"/>
    <x v="0"/>
    <x v="5"/>
  </r>
  <r>
    <s v="El Salvador"/>
    <n v="3"/>
    <x v="18"/>
    <n v="435673860"/>
    <m/>
    <x v="2"/>
    <m/>
    <s v=""/>
    <n v="1"/>
    <s v=""/>
    <n v="30"/>
    <n v="110"/>
    <n v="300420"/>
    <n v="52752"/>
    <n v="223"/>
    <n v="20"/>
    <n v="4"/>
    <n v="20"/>
    <n v="5"/>
    <n v="8"/>
    <d v="2022-07-30T00:00:00"/>
    <n v="10"/>
    <s v="EI"/>
    <x v="1"/>
    <x v="0"/>
    <x v="6"/>
  </r>
  <r>
    <s v="El Salvador"/>
    <n v="3"/>
    <x v="18"/>
    <n v="435673860"/>
    <m/>
    <x v="2"/>
    <m/>
    <s v=""/>
    <n v="1"/>
    <m/>
    <n v="30"/>
    <n v="106"/>
    <n v="306640"/>
    <n v="52752"/>
    <n v="222"/>
    <n v="20"/>
    <n v="4"/>
    <n v="20"/>
    <n v="6"/>
    <n v="8"/>
    <d v="2022-07-30T00:00:00"/>
    <n v="10"/>
    <s v="EI"/>
    <x v="1"/>
    <x v="1"/>
    <x v="6"/>
  </r>
  <r>
    <s v="Costa de Marfil"/>
    <n v="6"/>
    <x v="19"/>
    <n v="435287357"/>
    <m/>
    <x v="5"/>
    <m/>
    <s v=""/>
    <n v="1"/>
    <s v=""/>
    <n v="31"/>
    <n v="20"/>
    <n v="281280"/>
    <n v="46260"/>
    <n v="226"/>
    <n v="17"/>
    <n v="1"/>
    <n v="20"/>
    <n v="7"/>
    <n v="8"/>
    <d v="2022-07-30T00:00:00"/>
    <n v="12"/>
    <s v="MC"/>
    <x v="1"/>
    <x v="0"/>
    <x v="5"/>
  </r>
  <r>
    <s v="Costa de Marfil"/>
    <n v="6"/>
    <x v="19"/>
    <n v="435287357"/>
    <m/>
    <x v="5"/>
    <m/>
    <s v=""/>
    <n v="1"/>
    <m/>
    <n v="31"/>
    <n v="16"/>
    <n v="294830"/>
    <n v="46260"/>
    <n v="225"/>
    <n v="17"/>
    <n v="1"/>
    <n v="20"/>
    <n v="7"/>
    <n v="8"/>
    <d v="2022-07-30T00:00:00"/>
    <n v="12"/>
    <s v="MC"/>
    <x v="1"/>
    <x v="1"/>
    <x v="5"/>
  </r>
  <r>
    <s v="España"/>
    <m/>
    <x v="20"/>
    <n v="469197459"/>
    <m/>
    <x v="0"/>
    <n v="1"/>
    <s v=""/>
    <m/>
    <m/>
    <n v="20"/>
    <n v="9"/>
    <n v="470"/>
    <n v="330"/>
    <n v="11"/>
    <n v="2"/>
    <n v="5"/>
    <n v="20"/>
    <n v="6"/>
    <n v="7"/>
    <d v="2022-07-13T00:00:00"/>
    <n v="2.5"/>
    <s v="DEL"/>
    <x v="0"/>
    <x v="1"/>
    <x v="0"/>
  </r>
  <r>
    <s v="España"/>
    <m/>
    <x v="20"/>
    <n v="469197459"/>
    <m/>
    <x v="0"/>
    <n v="1"/>
    <s v=""/>
    <m/>
    <s v=""/>
    <n v="20"/>
    <n v="13"/>
    <n v="490"/>
    <n v="330"/>
    <n v="12"/>
    <n v="2"/>
    <n v="5"/>
    <n v="20"/>
    <n v="7"/>
    <n v="7"/>
    <d v="2022-07-13T00:00:00"/>
    <n v="25"/>
    <s v="DEL"/>
    <x v="0"/>
    <x v="0"/>
    <x v="0"/>
  </r>
  <r>
    <s v="España"/>
    <m/>
    <x v="21"/>
    <n v="455749117"/>
    <m/>
    <x v="0"/>
    <n v="1"/>
    <s v=""/>
    <m/>
    <s v=""/>
    <n v="26"/>
    <n v="42"/>
    <n v="750"/>
    <n v="390"/>
    <n v="94"/>
    <n v="2"/>
    <n v="7"/>
    <n v="20"/>
    <n v="2"/>
    <n v="7"/>
    <d v="2021-01-10T00:00:00"/>
    <n v="2"/>
    <s v="MC"/>
    <x v="0"/>
    <x v="0"/>
    <x v="0"/>
  </r>
  <r>
    <s v="España"/>
    <m/>
    <x v="21"/>
    <n v="455749117"/>
    <m/>
    <x v="0"/>
    <n v="1"/>
    <s v=""/>
    <m/>
    <m/>
    <n v="26"/>
    <n v="38"/>
    <n v="820"/>
    <n v="390"/>
    <n v="94"/>
    <n v="2"/>
    <n v="7"/>
    <n v="20"/>
    <n v="3"/>
    <n v="7"/>
    <d v="2021-01-10T00:00:00"/>
    <n v="2"/>
    <s v="MC"/>
    <x v="0"/>
    <x v="1"/>
    <x v="0"/>
  </r>
  <r>
    <s v="España"/>
    <m/>
    <x v="22"/>
    <n v="470002012"/>
    <m/>
    <x v="0"/>
    <n v="1"/>
    <s v=""/>
    <m/>
    <s v=""/>
    <n v="18"/>
    <n v="42"/>
    <n v="1230"/>
    <n v="310"/>
    <n v="8"/>
    <n v="1"/>
    <n v="5"/>
    <n v="20"/>
    <n v="6"/>
    <n v="7"/>
    <d v="2022-07-16T00:00:00"/>
    <n v="35"/>
    <s v="MC"/>
    <x v="0"/>
    <x v="0"/>
    <x v="0"/>
  </r>
  <r>
    <s v="España"/>
    <m/>
    <x v="22"/>
    <n v="470002012"/>
    <m/>
    <x v="0"/>
    <n v="1"/>
    <s v=""/>
    <m/>
    <m/>
    <n v="18"/>
    <n v="38"/>
    <n v="1280"/>
    <n v="310"/>
    <n v="7"/>
    <n v="1"/>
    <n v="5"/>
    <n v="20"/>
    <n v="6"/>
    <n v="7"/>
    <d v="2022-07-16T00:00:00"/>
    <n v="3.5"/>
    <s v="MC"/>
    <x v="0"/>
    <x v="1"/>
    <x v="0"/>
  </r>
  <r>
    <s v="España"/>
    <m/>
    <x v="23"/>
    <n v="450071872"/>
    <m/>
    <x v="3"/>
    <n v="1"/>
    <s v=""/>
    <m/>
    <s v=""/>
    <n v="26"/>
    <n v="67"/>
    <n v="540"/>
    <n v="350"/>
    <n v="125"/>
    <n v="2"/>
    <n v="2"/>
    <n v="20"/>
    <n v="1"/>
    <n v="7"/>
    <d v="2022-03-30T00:00:00"/>
    <n v="2"/>
    <s v="MC"/>
    <x v="0"/>
    <x v="0"/>
    <x v="0"/>
  </r>
  <r>
    <s v="España"/>
    <m/>
    <x v="23"/>
    <n v="450071872"/>
    <m/>
    <x v="3"/>
    <n v="1"/>
    <s v=""/>
    <m/>
    <m/>
    <n v="26"/>
    <n v="63"/>
    <n v="560"/>
    <n v="350"/>
    <n v="124"/>
    <n v="2"/>
    <n v="2"/>
    <n v="20"/>
    <n v="1"/>
    <n v="7"/>
    <d v="2022-03-30T00:00:00"/>
    <n v="2"/>
    <s v="MC"/>
    <x v="0"/>
    <x v="1"/>
    <x v="0"/>
  </r>
  <r>
    <s v="España"/>
    <m/>
    <x v="24"/>
    <n v="440480860"/>
    <m/>
    <x v="0"/>
    <n v="1"/>
    <s v=""/>
    <m/>
    <s v=""/>
    <n v="29"/>
    <n v="25"/>
    <n v="370"/>
    <n v="290"/>
    <n v="190"/>
    <n v="2"/>
    <n v="3"/>
    <n v="20"/>
    <n v="4"/>
    <n v="7"/>
    <d v="2021-11-17T00:00:00"/>
    <n v="3"/>
    <s v="DEL"/>
    <x v="0"/>
    <x v="0"/>
    <x v="0"/>
  </r>
  <r>
    <s v="España"/>
    <m/>
    <x v="24"/>
    <n v="440480860"/>
    <m/>
    <x v="0"/>
    <n v="1"/>
    <s v=""/>
    <m/>
    <m/>
    <n v="29"/>
    <n v="21"/>
    <n v="390"/>
    <n v="290"/>
    <n v="189"/>
    <n v="2"/>
    <n v="3"/>
    <n v="20"/>
    <n v="4"/>
    <n v="7"/>
    <d v="2021-11-17T00:00:00"/>
    <n v="3"/>
    <s v="DEL"/>
    <x v="0"/>
    <x v="1"/>
    <x v="0"/>
  </r>
  <r>
    <s v="Ucrania"/>
    <n v="4"/>
    <x v="25"/>
    <n v="436494782"/>
    <m/>
    <x v="3"/>
    <m/>
    <s v=""/>
    <m/>
    <s v=""/>
    <n v="30"/>
    <n v="68"/>
    <n v="281740"/>
    <n v="55032"/>
    <n v="155"/>
    <n v="12"/>
    <n v="4"/>
    <n v="20"/>
    <n v="6"/>
    <n v="8"/>
    <d v="2022-07-30T00:00:00"/>
    <n v="105"/>
    <s v="MC"/>
    <x v="1"/>
    <x v="0"/>
    <x v="7"/>
  </r>
  <r>
    <s v="Ucrania"/>
    <n v="4"/>
    <x v="25"/>
    <n v="436494782"/>
    <m/>
    <x v="3"/>
    <m/>
    <s v=""/>
    <m/>
    <m/>
    <n v="30"/>
    <n v="64"/>
    <n v="283770"/>
    <n v="55032"/>
    <n v="154"/>
    <n v="12"/>
    <n v="4"/>
    <n v="20"/>
    <n v="6"/>
    <n v="8"/>
    <d v="2022-07-30T00:00:00"/>
    <n v="10.5"/>
    <s v="MC"/>
    <x v="1"/>
    <x v="1"/>
    <x v="7"/>
  </r>
  <r>
    <s v="España"/>
    <n v="80"/>
    <x v="26"/>
    <n v="427395500"/>
    <m/>
    <x v="1"/>
    <n v="1"/>
    <s v=""/>
    <m/>
    <s v=""/>
    <n v="35"/>
    <n v="2"/>
    <n v="130"/>
    <n v="280"/>
    <n v="275"/>
    <n v="3"/>
    <n v="3"/>
    <n v="20"/>
    <n v="4"/>
    <n v="5"/>
    <d v="2022-05-14T00:00:00"/>
    <n v="5"/>
    <s v="EI"/>
    <x v="0"/>
    <x v="0"/>
    <x v="0"/>
  </r>
  <r>
    <s v="España"/>
    <n v="80"/>
    <x v="26"/>
    <n v="427395500"/>
    <m/>
    <x v="1"/>
    <n v="1"/>
    <s v=""/>
    <m/>
    <m/>
    <n v="34"/>
    <n v="110"/>
    <n v="140"/>
    <n v="310"/>
    <n v="274"/>
    <n v="3"/>
    <n v="3"/>
    <n v="20"/>
    <n v="4"/>
    <n v="5"/>
    <d v="2022-05-14T00:00:00"/>
    <n v="5"/>
    <s v="EI"/>
    <x v="0"/>
    <x v="1"/>
    <x v="0"/>
  </r>
  <r>
    <s v="Irán"/>
    <n v="21"/>
    <x v="27"/>
    <n v="416724524"/>
    <m/>
    <x v="5"/>
    <m/>
    <s v=""/>
    <m/>
    <s v=""/>
    <n v="37"/>
    <n v="94"/>
    <n v="2620"/>
    <n v="648"/>
    <n v="116"/>
    <n v="13"/>
    <n v="1"/>
    <n v="20"/>
    <n v="7"/>
    <n v="5"/>
    <d v="2022-08-03T00:00:00"/>
    <n v="65"/>
    <s v="DEL"/>
    <x v="0"/>
    <x v="0"/>
    <x v="0"/>
  </r>
  <r>
    <s v="Irán"/>
    <n v="21"/>
    <x v="27"/>
    <n v="416724524"/>
    <m/>
    <x v="5"/>
    <m/>
    <s v=""/>
    <m/>
    <m/>
    <n v="37"/>
    <n v="90"/>
    <n v="2720"/>
    <n v="648"/>
    <n v="115"/>
    <n v="13"/>
    <n v="1"/>
    <n v="20"/>
    <n v="7"/>
    <n v="5"/>
    <d v="2022-07-27T00:00:00"/>
    <n v="3"/>
    <s v="DC"/>
    <x v="0"/>
    <x v="1"/>
    <x v="0"/>
  </r>
  <r>
    <s v="Portugal"/>
    <n v="10"/>
    <x v="28"/>
    <n v="427125745"/>
    <m/>
    <x v="2"/>
    <m/>
    <s v=""/>
    <m/>
    <m/>
    <n v="34"/>
    <n v="22"/>
    <n v="50970"/>
    <n v="22656"/>
    <n v="40"/>
    <n v="15"/>
    <n v="3"/>
    <n v="18"/>
    <n v="7"/>
    <n v="7"/>
    <d v="2022-07-30T00:00:00"/>
    <n v="9.5"/>
    <s v="DC"/>
    <x v="1"/>
    <x v="1"/>
    <x v="7"/>
  </r>
  <r>
    <s v="Portugal"/>
    <n v="10"/>
    <x v="28"/>
    <n v="427125745"/>
    <m/>
    <x v="2"/>
    <m/>
    <s v=""/>
    <m/>
    <s v=""/>
    <n v="34"/>
    <n v="26"/>
    <n v="51400"/>
    <n v="22656"/>
    <n v="41"/>
    <n v="15"/>
    <n v="3"/>
    <n v="18"/>
    <n v="7"/>
    <n v="7"/>
    <d v="2022-08-03T00:00:00"/>
    <n v="95"/>
    <s v="MC"/>
    <x v="1"/>
    <x v="0"/>
    <x v="7"/>
  </r>
  <r>
    <s v="Alemania"/>
    <n v="23"/>
    <x v="29"/>
    <n v="432131108"/>
    <m/>
    <x v="1"/>
    <m/>
    <s v=""/>
    <m/>
    <m/>
    <n v="32"/>
    <n v="68"/>
    <n v="76000"/>
    <n v="10452"/>
    <n v="81"/>
    <n v="10"/>
    <n v="6"/>
    <n v="20"/>
    <n v="5"/>
    <n v="7"/>
    <d v="2022-07-27T00:00:00"/>
    <n v="9"/>
    <s v="DEL"/>
    <x v="1"/>
    <x v="1"/>
    <x v="8"/>
  </r>
  <r>
    <s v="Alemania"/>
    <n v="23"/>
    <x v="29"/>
    <n v="432131108"/>
    <m/>
    <x v="1"/>
    <m/>
    <s v=""/>
    <m/>
    <s v=""/>
    <n v="32"/>
    <n v="72"/>
    <n v="80270"/>
    <n v="10452"/>
    <n v="82"/>
    <n v="10"/>
    <n v="6"/>
    <n v="20"/>
    <n v="6"/>
    <n v="7"/>
    <d v="2022-08-03T00:00:00"/>
    <n v="9"/>
    <s v="DEL"/>
    <x v="1"/>
    <x v="0"/>
    <x v="8"/>
  </r>
  <r>
    <s v="España"/>
    <n v="26"/>
    <x v="30"/>
    <n v="460847842"/>
    <m/>
    <x v="1"/>
    <n v="1"/>
    <s v=""/>
    <m/>
    <s v=""/>
    <n v="21"/>
    <n v="21"/>
    <n v="250"/>
    <n v="270"/>
    <n v="59"/>
    <n v="2"/>
    <n v="4"/>
    <n v="20"/>
    <n v="2"/>
    <n v="8"/>
    <d v="2022-06-15T00:00:00"/>
    <n v="15"/>
    <s v="MC"/>
    <x v="0"/>
    <x v="0"/>
    <x v="0"/>
  </r>
  <r>
    <s v="España"/>
    <n v="26"/>
    <x v="30"/>
    <n v="460847842"/>
    <m/>
    <x v="1"/>
    <n v="1"/>
    <s v=""/>
    <m/>
    <m/>
    <n v="21"/>
    <n v="17"/>
    <n v="300"/>
    <n v="270"/>
    <n v="58"/>
    <n v="2"/>
    <n v="4"/>
    <n v="20"/>
    <n v="3"/>
    <n v="8"/>
    <d v="2022-06-15T00:00:00"/>
    <n v="1.5"/>
    <s v="MC"/>
    <x v="0"/>
    <x v="1"/>
    <x v="0"/>
  </r>
  <r>
    <s v="Polonia"/>
    <n v="20"/>
    <x v="31"/>
    <n v="414268403"/>
    <m/>
    <x v="1"/>
    <m/>
    <s v=""/>
    <m/>
    <s v=""/>
    <n v="39"/>
    <n v="0"/>
    <n v="2190"/>
    <n v="468"/>
    <n v="98"/>
    <n v="12"/>
    <n v="4"/>
    <n v="20"/>
    <n v="5"/>
    <n v="4"/>
    <d v="2022-08-03T00:00:00"/>
    <n v="45"/>
    <s v="DC"/>
    <x v="0"/>
    <x v="0"/>
    <x v="0"/>
  </r>
  <r>
    <s v="Polonia"/>
    <n v="20"/>
    <x v="31"/>
    <n v="414268403"/>
    <m/>
    <x v="1"/>
    <m/>
    <s v=""/>
    <m/>
    <m/>
    <n v="38"/>
    <n v="108"/>
    <n v="2660"/>
    <n v="696"/>
    <n v="98"/>
    <n v="12"/>
    <n v="4"/>
    <n v="20"/>
    <n v="6"/>
    <n v="4"/>
    <d v="2022-07-20T00:00:00"/>
    <n v="2"/>
    <s v="POR"/>
    <x v="0"/>
    <x v="1"/>
    <x v="0"/>
  </r>
  <r>
    <s v="Palestina"/>
    <n v="5"/>
    <x v="32"/>
    <n v="435437953"/>
    <m/>
    <x v="2"/>
    <m/>
    <s v=""/>
    <m/>
    <s v=""/>
    <n v="31"/>
    <n v="37"/>
    <n v="331140"/>
    <n v="46848"/>
    <n v="225"/>
    <n v="17"/>
    <n v="1"/>
    <n v="20"/>
    <n v="7"/>
    <n v="8"/>
    <d v="2022-08-03T00:00:00"/>
    <n v="85"/>
    <s v="DC"/>
    <x v="1"/>
    <x v="0"/>
    <x v="9"/>
  </r>
  <r>
    <s v="Palestina"/>
    <n v="5"/>
    <x v="32"/>
    <n v="435437953"/>
    <m/>
    <x v="2"/>
    <m/>
    <s v=""/>
    <m/>
    <m/>
    <n v="31"/>
    <n v="33"/>
    <n v="340090"/>
    <n v="46848"/>
    <n v="224"/>
    <n v="17"/>
    <n v="1"/>
    <n v="20"/>
    <n v="7"/>
    <n v="8"/>
    <d v="2022-07-30T00:00:00"/>
    <n v="11.5"/>
    <s v="ED"/>
    <x v="1"/>
    <x v="1"/>
    <x v="9"/>
  </r>
  <r>
    <s v="España"/>
    <m/>
    <x v="33"/>
    <n v="471121858"/>
    <m/>
    <x v="4"/>
    <n v="1"/>
    <s v=""/>
    <m/>
    <n v="1"/>
    <n v="17"/>
    <n v="97"/>
    <n v="1000"/>
    <n v="290"/>
    <n v="0"/>
    <n v="2"/>
    <n v="6"/>
    <n v="20"/>
    <n v="6"/>
    <n v="4"/>
    <m/>
    <m/>
    <s v=""/>
    <x v="0"/>
    <x v="1"/>
    <x v="9"/>
  </r>
  <r>
    <s v="Argentina"/>
    <n v="1"/>
    <x v="34"/>
    <n v="435755456"/>
    <m/>
    <x v="0"/>
    <m/>
    <s v=""/>
    <m/>
    <m/>
    <n v="31"/>
    <n v="66"/>
    <n v="52730"/>
    <n v="31128"/>
    <n v="18"/>
    <n v="11"/>
    <n v="4"/>
    <n v="12"/>
    <n v="5"/>
    <n v="7"/>
    <d v="2022-07-30T00:00:00"/>
    <n v="8"/>
    <s v="POR"/>
    <x v="1"/>
    <x v="1"/>
    <x v="10"/>
  </r>
  <r>
    <s v="Argentina"/>
    <n v="1"/>
    <x v="34"/>
    <n v="435755456"/>
    <m/>
    <x v="0"/>
    <m/>
    <s v=""/>
    <m/>
    <s v=""/>
    <n v="31"/>
    <n v="70"/>
    <n v="56750"/>
    <n v="31128"/>
    <n v="19"/>
    <n v="11"/>
    <n v="4"/>
    <n v="13"/>
    <n v="5"/>
    <n v="7"/>
    <d v="2022-08-03T00:00:00"/>
    <n v="8"/>
    <s v="POR"/>
    <x v="1"/>
    <x v="0"/>
    <x v="10"/>
  </r>
  <r>
    <s v="Suecia"/>
    <n v="14"/>
    <x v="35"/>
    <n v="436420259"/>
    <m/>
    <x v="5"/>
    <m/>
    <s v=""/>
    <m/>
    <m/>
    <n v="30"/>
    <n v="74"/>
    <n v="264900"/>
    <n v="35892"/>
    <n v="2"/>
    <n v="11"/>
    <n v="2"/>
    <n v="4"/>
    <n v="8"/>
    <n v="7"/>
    <d v="2022-07-30T00:00:00"/>
    <n v="9.5"/>
    <s v="LI"/>
    <x v="1"/>
    <x v="1"/>
    <x v="1"/>
  </r>
  <r>
    <s v="Suecia"/>
    <n v="14"/>
    <x v="35"/>
    <n v="436420259"/>
    <m/>
    <x v="5"/>
    <m/>
    <s v=""/>
    <m/>
    <s v=""/>
    <n v="30"/>
    <n v="78"/>
    <n v="270320"/>
    <n v="35892"/>
    <n v="2"/>
    <n v="11"/>
    <n v="2"/>
    <n v="5"/>
    <n v="8"/>
    <n v="7"/>
    <d v="2022-08-03T00:00:00"/>
    <n v="9"/>
    <s v="EI"/>
    <x v="1"/>
    <x v="0"/>
    <x v="1"/>
  </r>
  <r>
    <s v="Dinamarca"/>
    <n v="9"/>
    <x v="36"/>
    <n v="435557103"/>
    <m/>
    <x v="2"/>
    <m/>
    <s v=""/>
    <m/>
    <m/>
    <n v="31"/>
    <n v="5"/>
    <n v="150760"/>
    <n v="56568"/>
    <n v="2"/>
    <n v="10"/>
    <n v="2"/>
    <n v="5"/>
    <n v="5"/>
    <n v="7"/>
    <d v="2022-07-23T00:00:00"/>
    <n v="6.5"/>
    <s v="ED"/>
    <x v="1"/>
    <x v="1"/>
    <x v="5"/>
  </r>
  <r>
    <s v="Dinamarca"/>
    <n v="9"/>
    <x v="36"/>
    <n v="435557103"/>
    <m/>
    <x v="2"/>
    <m/>
    <s v=""/>
    <m/>
    <s v=""/>
    <n v="31"/>
    <n v="9"/>
    <n v="158870"/>
    <n v="56568"/>
    <n v="2"/>
    <n v="10"/>
    <n v="2"/>
    <n v="5"/>
    <n v="6"/>
    <n v="7"/>
    <d v="2022-08-03T00:00:00"/>
    <n v="45"/>
    <s v="DEL"/>
    <x v="1"/>
    <x v="0"/>
    <x v="5"/>
  </r>
  <r>
    <m/>
    <m/>
    <x v="37"/>
    <m/>
    <m/>
    <x v="6"/>
    <m/>
    <m/>
    <m/>
    <m/>
    <m/>
    <m/>
    <m/>
    <m/>
    <m/>
    <m/>
    <m/>
    <m/>
    <m/>
    <m/>
    <m/>
    <m/>
    <m/>
    <x v="2"/>
    <x v="2"/>
    <x v="0"/>
  </r>
  <r>
    <m/>
    <m/>
    <x v="37"/>
    <m/>
    <m/>
    <x v="6"/>
    <m/>
    <m/>
    <m/>
    <m/>
    <m/>
    <m/>
    <m/>
    <m/>
    <m/>
    <m/>
    <m/>
    <m/>
    <m/>
    <m/>
    <m/>
    <m/>
    <m/>
    <x v="2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Eslovenia"/>
    <m/>
    <x v="0"/>
    <n v="434477424"/>
    <m/>
    <x v="0"/>
    <m/>
    <m/>
    <s v=""/>
    <m/>
    <n v="31"/>
    <n v="110"/>
    <n v="72270"/>
    <n v="11340"/>
    <n v="83"/>
    <n v="11"/>
    <n v="5"/>
    <n v="20"/>
    <x v="0"/>
    <n v="8"/>
    <d v="2022-07-23T00:00:00"/>
    <n v="7"/>
    <s v="DC"/>
    <x v="0"/>
    <x v="0"/>
    <x v="0"/>
  </r>
  <r>
    <s v="Eslovenia"/>
    <m/>
    <x v="0"/>
    <n v="434477424"/>
    <m/>
    <x v="0"/>
    <m/>
    <s v=""/>
    <m/>
    <s v=""/>
    <n v="32"/>
    <n v="10"/>
    <n v="52620"/>
    <n v="9432"/>
    <n v="85"/>
    <n v="11"/>
    <n v="5"/>
    <n v="20"/>
    <x v="0"/>
    <n v="8"/>
    <d v="2022-08-06T00:00:00"/>
    <n v="7"/>
    <s v="LD"/>
    <x v="0"/>
    <x v="1"/>
    <x v="0"/>
  </r>
  <r>
    <s v="Portugal"/>
    <n v="4"/>
    <x v="1"/>
    <n v="434407051"/>
    <m/>
    <x v="1"/>
    <m/>
    <s v=""/>
    <m/>
    <s v=""/>
    <n v="31"/>
    <n v="88"/>
    <n v="128230"/>
    <n v="39336"/>
    <n v="234"/>
    <n v="12"/>
    <n v="7"/>
    <n v="20"/>
    <x v="1"/>
    <n v="8"/>
    <d v="2022-08-06T00:00:00"/>
    <n v="10"/>
    <s v="MC"/>
    <x v="0"/>
    <x v="1"/>
    <x v="1"/>
  </r>
  <r>
    <s v="Portugal"/>
    <n v="4"/>
    <x v="1"/>
    <n v="434407051"/>
    <m/>
    <x v="1"/>
    <m/>
    <m/>
    <s v=""/>
    <m/>
    <n v="31"/>
    <n v="76"/>
    <n v="126320"/>
    <n v="39336"/>
    <n v="232"/>
    <n v="12"/>
    <n v="7"/>
    <n v="20"/>
    <x v="1"/>
    <n v="8"/>
    <d v="2022-07-27T00:00:00"/>
    <n v="7.5"/>
    <s v="DC"/>
    <x v="0"/>
    <x v="0"/>
    <x v="1"/>
  </r>
  <r>
    <s v="Bosnia y Herzegovina"/>
    <n v="6"/>
    <x v="2"/>
    <n v="434462064"/>
    <m/>
    <x v="0"/>
    <m/>
    <m/>
    <s v=""/>
    <m/>
    <n v="31"/>
    <n v="88"/>
    <n v="102770"/>
    <n v="36000"/>
    <n v="227"/>
    <n v="12"/>
    <n v="5"/>
    <n v="20"/>
    <x v="2"/>
    <n v="8"/>
    <d v="2022-07-27T00:00:00"/>
    <n v="6.5"/>
    <s v="DC"/>
    <x v="0"/>
    <x v="0"/>
    <x v="1"/>
  </r>
  <r>
    <s v="Bosnia y Herzegovina"/>
    <n v="6"/>
    <x v="2"/>
    <n v="434462064"/>
    <m/>
    <x v="0"/>
    <m/>
    <s v=""/>
    <m/>
    <s v=""/>
    <n v="31"/>
    <n v="100"/>
    <n v="100780"/>
    <n v="36000"/>
    <n v="229"/>
    <n v="12"/>
    <n v="5"/>
    <n v="20"/>
    <x v="2"/>
    <n v="8"/>
    <d v="2022-08-06T00:00:00"/>
    <n v="6.5"/>
    <s v="EI"/>
    <x v="0"/>
    <x v="1"/>
    <x v="1"/>
  </r>
  <r>
    <s v="Alemania"/>
    <n v="11"/>
    <x v="3"/>
    <n v="434425782"/>
    <m/>
    <x v="2"/>
    <m/>
    <n v="2"/>
    <s v=""/>
    <m/>
    <n v="31"/>
    <n v="87"/>
    <n v="81240"/>
    <n v="37668"/>
    <n v="232"/>
    <n v="12"/>
    <n v="4"/>
    <n v="20"/>
    <x v="0"/>
    <n v="8"/>
    <d v="2022-07-27T00:00:00"/>
    <n v="8"/>
    <s v="MC"/>
    <x v="0"/>
    <x v="0"/>
    <x v="2"/>
  </r>
  <r>
    <s v="Alemania"/>
    <n v="11"/>
    <x v="3"/>
    <n v="434425782"/>
    <m/>
    <x v="2"/>
    <m/>
    <s v=""/>
    <m/>
    <s v=""/>
    <n v="31"/>
    <n v="99"/>
    <n v="103780"/>
    <n v="37668"/>
    <n v="233"/>
    <n v="12"/>
    <n v="4"/>
    <n v="20"/>
    <x v="2"/>
    <n v="8"/>
    <d v="2022-07-27T00:00:00"/>
    <n v="8"/>
    <s v="MC"/>
    <x v="0"/>
    <x v="1"/>
    <x v="2"/>
  </r>
  <r>
    <s v="España"/>
    <n v="19"/>
    <x v="4"/>
    <n v="431959989"/>
    <m/>
    <x v="3"/>
    <m/>
    <m/>
    <s v=""/>
    <m/>
    <n v="33"/>
    <n v="35"/>
    <n v="4810"/>
    <n v="2030"/>
    <n v="224"/>
    <n v="7"/>
    <n v="5"/>
    <n v="20"/>
    <x v="2"/>
    <n v="8"/>
    <d v="2022-07-27T00:00:00"/>
    <n v="6"/>
    <s v="LD"/>
    <x v="1"/>
    <x v="0"/>
    <x v="3"/>
  </r>
  <r>
    <s v="España"/>
    <n v="19"/>
    <x v="4"/>
    <n v="431959989"/>
    <m/>
    <x v="3"/>
    <m/>
    <s v=""/>
    <m/>
    <s v=""/>
    <n v="33"/>
    <n v="47"/>
    <n v="5060"/>
    <n v="2030"/>
    <n v="225"/>
    <n v="7"/>
    <n v="5"/>
    <n v="20"/>
    <x v="1"/>
    <n v="8"/>
    <d v="2022-08-03T00:00:00"/>
    <n v="6"/>
    <s v="DC"/>
    <x v="1"/>
    <x v="1"/>
    <x v="3"/>
  </r>
  <r>
    <s v="Eslovenia"/>
    <n v="8"/>
    <x v="5"/>
    <n v="434422120"/>
    <m/>
    <x v="3"/>
    <m/>
    <m/>
    <s v=""/>
    <m/>
    <n v="31"/>
    <n v="98"/>
    <n v="4100"/>
    <n v="972"/>
    <n v="232"/>
    <n v="4"/>
    <n v="5"/>
    <n v="20"/>
    <x v="1"/>
    <n v="8"/>
    <d v="2022-07-23T00:00:00"/>
    <n v="5"/>
    <s v="DEL"/>
    <x v="1"/>
    <x v="0"/>
    <x v="3"/>
  </r>
  <r>
    <s v="Eslovenia"/>
    <n v="8"/>
    <x v="5"/>
    <n v="434422120"/>
    <m/>
    <x v="3"/>
    <m/>
    <s v=""/>
    <m/>
    <s v=""/>
    <n v="31"/>
    <n v="110"/>
    <n v="4060"/>
    <n v="972"/>
    <n v="234"/>
    <n v="4"/>
    <n v="5"/>
    <n v="20"/>
    <x v="1"/>
    <n v="7"/>
    <d v="2022-07-23T00:00:00"/>
    <n v="5"/>
    <s v="DEL"/>
    <x v="1"/>
    <x v="1"/>
    <x v="3"/>
  </r>
  <r>
    <s v="Bulgaria"/>
    <n v="5"/>
    <x v="6"/>
    <n v="434959598"/>
    <m/>
    <x v="1"/>
    <m/>
    <n v="1"/>
    <s v=""/>
    <m/>
    <n v="31"/>
    <n v="62"/>
    <n v="39700"/>
    <n v="9972"/>
    <n v="226"/>
    <n v="11"/>
    <n v="4"/>
    <n v="20"/>
    <x v="2"/>
    <n v="8"/>
    <d v="2022-07-23T00:00:00"/>
    <n v="7.5"/>
    <s v="MC"/>
    <x v="0"/>
    <x v="0"/>
    <x v="4"/>
  </r>
  <r>
    <s v="Bulgaria"/>
    <n v="5"/>
    <x v="6"/>
    <n v="434959598"/>
    <m/>
    <x v="1"/>
    <m/>
    <s v=""/>
    <m/>
    <s v=""/>
    <n v="31"/>
    <n v="74"/>
    <n v="45430"/>
    <n v="9972"/>
    <n v="228"/>
    <n v="11"/>
    <n v="4"/>
    <n v="20"/>
    <x v="2"/>
    <n v="8"/>
    <d v="2022-08-06T00:00:00"/>
    <n v="7"/>
    <s v="DC"/>
    <x v="0"/>
    <x v="1"/>
    <x v="4"/>
  </r>
  <r>
    <s v="Serbia"/>
    <n v="1"/>
    <x v="7"/>
    <n v="431872768"/>
    <m/>
    <x v="4"/>
    <m/>
    <m/>
    <s v=""/>
    <m/>
    <n v="32"/>
    <n v="51"/>
    <n v="49680"/>
    <n v="23628"/>
    <n v="145"/>
    <n v="12"/>
    <n v="5"/>
    <n v="20"/>
    <x v="2"/>
    <n v="7"/>
    <d v="2022-07-16T00:00:00"/>
    <n v="9"/>
    <s v="POR"/>
    <x v="0"/>
    <x v="0"/>
    <x v="5"/>
  </r>
  <r>
    <s v="Serbia"/>
    <n v="1"/>
    <x v="7"/>
    <n v="431872768"/>
    <m/>
    <x v="4"/>
    <m/>
    <s v=""/>
    <m/>
    <s v=""/>
    <n v="32"/>
    <n v="63"/>
    <n v="48120"/>
    <n v="23628"/>
    <n v="147"/>
    <n v="12"/>
    <n v="5"/>
    <n v="20"/>
    <x v="0"/>
    <n v="8"/>
    <d v="2022-08-06T00:00:00"/>
    <n v="9"/>
    <s v="POR"/>
    <x v="0"/>
    <x v="1"/>
    <x v="5"/>
  </r>
  <r>
    <s v="Alemania"/>
    <m/>
    <x v="8"/>
    <n v="434715103"/>
    <m/>
    <x v="3"/>
    <m/>
    <m/>
    <s v=""/>
    <m/>
    <n v="31"/>
    <n v="39"/>
    <n v="22080"/>
    <n v="3360"/>
    <n v="105"/>
    <n v="9"/>
    <n v="1"/>
    <n v="20"/>
    <x v="0"/>
    <n v="7"/>
    <d v="2022-07-13T00:00:00"/>
    <n v="7"/>
    <s v="DC"/>
    <x v="0"/>
    <x v="0"/>
    <x v="6"/>
  </r>
  <r>
    <s v="Alemania"/>
    <m/>
    <x v="8"/>
    <n v="434715103"/>
    <m/>
    <x v="3"/>
    <m/>
    <s v=""/>
    <m/>
    <s v=""/>
    <n v="31"/>
    <n v="51"/>
    <n v="21790"/>
    <n v="3360"/>
    <n v="107"/>
    <n v="9"/>
    <n v="1"/>
    <n v="20"/>
    <x v="0"/>
    <n v="7"/>
    <d v="2022-07-13T00:00:00"/>
    <n v="7"/>
    <s v="DC"/>
    <x v="0"/>
    <x v="1"/>
    <x v="6"/>
  </r>
  <r>
    <s v="Suiza"/>
    <n v="13"/>
    <x v="9"/>
    <n v="434460183"/>
    <m/>
    <x v="1"/>
    <m/>
    <m/>
    <s v=""/>
    <m/>
    <n v="31"/>
    <n v="92"/>
    <n v="7000"/>
    <n v="2016"/>
    <n v="225"/>
    <n v="4"/>
    <n v="3"/>
    <n v="20"/>
    <x v="1"/>
    <n v="8"/>
    <d v="2022-07-27T00:00:00"/>
    <n v="5"/>
    <s v="MC"/>
    <x v="1"/>
    <x v="0"/>
    <x v="3"/>
  </r>
  <r>
    <s v="Suiza"/>
    <n v="13"/>
    <x v="9"/>
    <n v="434460183"/>
    <m/>
    <x v="1"/>
    <m/>
    <s v=""/>
    <m/>
    <s v=""/>
    <n v="31"/>
    <n v="104"/>
    <n v="6900"/>
    <n v="2016"/>
    <n v="226"/>
    <n v="4"/>
    <n v="3"/>
    <n v="20"/>
    <x v="1"/>
    <n v="7"/>
    <d v="2022-07-27T00:00:00"/>
    <n v="5"/>
    <s v="MC"/>
    <x v="1"/>
    <x v="1"/>
    <x v="3"/>
  </r>
  <r>
    <s v="España"/>
    <m/>
    <x v="10"/>
    <n v="436566058"/>
    <m/>
    <x v="4"/>
    <m/>
    <s v=""/>
    <m/>
    <s v=""/>
    <n v="31"/>
    <n v="16"/>
    <n v="15420"/>
    <n v="3370"/>
    <n v="70"/>
    <n v="8"/>
    <n v="3"/>
    <n v="20"/>
    <x v="1"/>
    <n v="8"/>
    <d v="2022-08-03T00:00:00"/>
    <n v="6.5"/>
    <s v="POR"/>
    <x v="0"/>
    <x v="1"/>
    <x v="5"/>
  </r>
  <r>
    <s v="España"/>
    <m/>
    <x v="10"/>
    <n v="436566058"/>
    <m/>
    <x v="4"/>
    <m/>
    <m/>
    <s v=""/>
    <m/>
    <n v="31"/>
    <n v="4"/>
    <n v="16340"/>
    <n v="3370"/>
    <n v="69"/>
    <n v="8"/>
    <n v="3"/>
    <n v="20"/>
    <x v="3"/>
    <n v="8"/>
    <d v="2022-07-23T00:00:00"/>
    <n v="6.5"/>
    <s v="POR"/>
    <x v="0"/>
    <x v="0"/>
    <x v="5"/>
  </r>
  <r>
    <s v="Brasil"/>
    <n v="9"/>
    <x v="11"/>
    <n v="433714630"/>
    <m/>
    <x v="3"/>
    <m/>
    <m/>
    <s v=""/>
    <m/>
    <n v="31"/>
    <n v="92"/>
    <n v="83590"/>
    <n v="36984"/>
    <n v="232"/>
    <n v="13"/>
    <n v="5"/>
    <n v="20"/>
    <x v="4"/>
    <n v="8"/>
    <d v="2022-07-27T00:00:00"/>
    <n v="7"/>
    <s v="MC"/>
    <x v="0"/>
    <x v="0"/>
    <x v="1"/>
  </r>
  <r>
    <s v="Brasil"/>
    <n v="9"/>
    <x v="11"/>
    <n v="433714630"/>
    <m/>
    <x v="3"/>
    <m/>
    <s v=""/>
    <m/>
    <s v=""/>
    <n v="31"/>
    <n v="104"/>
    <n v="80940"/>
    <n v="36984"/>
    <n v="234"/>
    <n v="13"/>
    <n v="5"/>
    <n v="20"/>
    <x v="5"/>
    <n v="8"/>
    <d v="2022-08-03T00:00:00"/>
    <n v="5"/>
    <s v="EI"/>
    <x v="0"/>
    <x v="1"/>
    <x v="1"/>
  </r>
  <r>
    <s v="Francia"/>
    <n v="7"/>
    <x v="12"/>
    <n v="434025904"/>
    <m/>
    <x v="0"/>
    <m/>
    <s v=""/>
    <m/>
    <s v=""/>
    <n v="32"/>
    <n v="12"/>
    <n v="81180"/>
    <n v="30528"/>
    <n v="234"/>
    <n v="13"/>
    <n v="2"/>
    <n v="20"/>
    <x v="2"/>
    <n v="8"/>
    <d v="2022-08-06T00:00:00"/>
    <n v="8.5"/>
    <s v="MC"/>
    <x v="0"/>
    <x v="1"/>
    <x v="2"/>
  </r>
  <r>
    <s v="Francia"/>
    <n v="7"/>
    <x v="12"/>
    <n v="434025904"/>
    <m/>
    <x v="0"/>
    <m/>
    <m/>
    <s v=""/>
    <m/>
    <n v="32"/>
    <n v="0"/>
    <n v="73520"/>
    <n v="30528"/>
    <n v="233"/>
    <n v="13"/>
    <n v="2"/>
    <n v="20"/>
    <x v="0"/>
    <n v="7"/>
    <d v="2022-07-27T00:00:00"/>
    <n v="5.5"/>
    <s v="DC"/>
    <x v="0"/>
    <x v="0"/>
    <x v="2"/>
  </r>
  <r>
    <s v="Irán"/>
    <n v="14"/>
    <x v="13"/>
    <n v="431840182"/>
    <m/>
    <x v="3"/>
    <m/>
    <s v=""/>
    <n v="1"/>
    <s v=""/>
    <n v="32"/>
    <n v="83"/>
    <n v="48770"/>
    <n v="10872"/>
    <n v="209"/>
    <n v="12"/>
    <n v="5"/>
    <n v="20"/>
    <x v="3"/>
    <n v="8"/>
    <d v="2022-08-06T00:00:00"/>
    <n v="8.5"/>
    <s v="DC"/>
    <x v="0"/>
    <x v="1"/>
    <x v="4"/>
  </r>
  <r>
    <s v="Irán"/>
    <n v="14"/>
    <x v="13"/>
    <n v="431840182"/>
    <m/>
    <x v="3"/>
    <m/>
    <m/>
    <s v=""/>
    <m/>
    <n v="32"/>
    <n v="71"/>
    <n v="49380"/>
    <n v="10872"/>
    <n v="207"/>
    <n v="12"/>
    <n v="5"/>
    <n v="20"/>
    <x v="3"/>
    <n v="8"/>
    <d v="2022-07-27T00:00:00"/>
    <n v="7.5"/>
    <s v="LI"/>
    <x v="0"/>
    <x v="0"/>
    <x v="4"/>
  </r>
  <r>
    <s v="Azerbaiyán"/>
    <n v="10"/>
    <x v="14"/>
    <n v="434031677"/>
    <m/>
    <x v="3"/>
    <m/>
    <m/>
    <s v=""/>
    <m/>
    <n v="31"/>
    <n v="72"/>
    <n v="132260"/>
    <n v="38904"/>
    <n v="232"/>
    <n v="14"/>
    <n v="6"/>
    <n v="20"/>
    <x v="1"/>
    <n v="8"/>
    <d v="2022-07-27T00:00:00"/>
    <n v="10"/>
    <s v="MC"/>
    <x v="0"/>
    <x v="0"/>
    <x v="1"/>
  </r>
  <r>
    <s v="Azerbaiyán"/>
    <n v="10"/>
    <x v="14"/>
    <n v="434031677"/>
    <m/>
    <x v="3"/>
    <m/>
    <s v=""/>
    <m/>
    <s v=""/>
    <n v="31"/>
    <n v="84"/>
    <n v="131360"/>
    <n v="38904"/>
    <n v="234"/>
    <n v="14"/>
    <n v="6"/>
    <n v="20"/>
    <x v="1"/>
    <n v="8"/>
    <d v="2022-08-06T00:00:00"/>
    <n v="10"/>
    <s v="MC"/>
    <x v="0"/>
    <x v="1"/>
    <x v="1"/>
  </r>
  <r>
    <s v="Honduras"/>
    <m/>
    <x v="15"/>
    <n v="407065238"/>
    <n v="1"/>
    <x v="0"/>
    <n v="1"/>
    <s v=""/>
    <m/>
    <s v=""/>
    <n v="43"/>
    <n v="30"/>
    <n v="0"/>
    <n v="300"/>
    <n v="18"/>
    <n v="1"/>
    <n v="6"/>
    <n v="20"/>
    <x v="4"/>
    <n v="2"/>
    <d v="2015-04-27T00:00:00"/>
    <n v="3.5"/>
    <s v="DC"/>
    <x v="1"/>
    <x v="1"/>
    <x v="3"/>
  </r>
  <r>
    <s v="Honduras"/>
    <m/>
    <x v="15"/>
    <n v="407065238"/>
    <n v="1"/>
    <x v="0"/>
    <n v="1"/>
    <m/>
    <s v=""/>
    <m/>
    <n v="43"/>
    <n v="18"/>
    <n v="0"/>
    <n v="300"/>
    <n v="16"/>
    <n v="1"/>
    <n v="7"/>
    <n v="20"/>
    <x v="5"/>
    <n v="2"/>
    <d v="2015-04-27T00:00:00"/>
    <n v="3.5"/>
    <s v="DC"/>
    <x v="1"/>
    <x v="0"/>
    <x v="3"/>
  </r>
  <r>
    <s v="España"/>
    <n v="3"/>
    <x v="16"/>
    <n v="434933863"/>
    <m/>
    <x v="0"/>
    <m/>
    <s v=""/>
    <m/>
    <s v=""/>
    <n v="32"/>
    <n v="87"/>
    <n v="31070"/>
    <n v="6300"/>
    <n v="227"/>
    <n v="12"/>
    <n v="3"/>
    <n v="20"/>
    <x v="1"/>
    <n v="8"/>
    <d v="2022-08-06T00:00:00"/>
    <n v="6.5"/>
    <s v="LI"/>
    <x v="0"/>
    <x v="1"/>
    <x v="0"/>
  </r>
  <r>
    <s v="España"/>
    <n v="3"/>
    <x v="16"/>
    <n v="434933863"/>
    <m/>
    <x v="0"/>
    <m/>
    <m/>
    <s v=""/>
    <m/>
    <n v="32"/>
    <n v="75"/>
    <n v="32750"/>
    <n v="6300"/>
    <n v="225"/>
    <n v="12"/>
    <n v="3"/>
    <n v="20"/>
    <x v="1"/>
    <n v="8"/>
    <d v="2022-07-27T00:00:00"/>
    <n v="5.5"/>
    <s v="EI"/>
    <x v="0"/>
    <x v="0"/>
    <x v="0"/>
  </r>
  <r>
    <s v="España"/>
    <n v="36"/>
    <x v="17"/>
    <n v="424198468"/>
    <m/>
    <x v="1"/>
    <n v="1"/>
    <m/>
    <s v=""/>
    <m/>
    <n v="40"/>
    <n v="20"/>
    <n v="0"/>
    <n v="260"/>
    <n v="292"/>
    <n v="5"/>
    <n v="4"/>
    <n v="20"/>
    <x v="5"/>
    <n v="3"/>
    <d v="2022-07-27T00:00:00"/>
    <n v="5"/>
    <s v="POR"/>
    <x v="1"/>
    <x v="0"/>
    <x v="3"/>
  </r>
  <r>
    <s v="España"/>
    <n v="36"/>
    <x v="17"/>
    <n v="424198468"/>
    <m/>
    <x v="1"/>
    <n v="1"/>
    <s v=""/>
    <m/>
    <s v=""/>
    <n v="40"/>
    <n v="32"/>
    <n v="0"/>
    <n v="260"/>
    <n v="294"/>
    <n v="5"/>
    <n v="4"/>
    <n v="20"/>
    <x v="6"/>
    <n v="3"/>
    <d v="2022-07-27T00:00:00"/>
    <n v="5"/>
    <s v="POR"/>
    <x v="1"/>
    <x v="1"/>
    <x v="3"/>
  </r>
  <r>
    <s v="España"/>
    <n v="2"/>
    <x v="18"/>
    <n v="434808807"/>
    <m/>
    <x v="3"/>
    <m/>
    <s v=""/>
    <m/>
    <s v=""/>
    <n v="32"/>
    <n v="12"/>
    <n v="26830"/>
    <n v="5520"/>
    <n v="228"/>
    <n v="12"/>
    <n v="5"/>
    <n v="20"/>
    <x v="2"/>
    <n v="8"/>
    <d v="2022-08-06T00:00:00"/>
    <n v="7"/>
    <s v="DC"/>
    <x v="0"/>
    <x v="1"/>
    <x v="4"/>
  </r>
  <r>
    <s v="España"/>
    <n v="2"/>
    <x v="18"/>
    <n v="434808807"/>
    <m/>
    <x v="3"/>
    <m/>
    <m/>
    <s v=""/>
    <m/>
    <n v="32"/>
    <n v="0"/>
    <n v="28210"/>
    <n v="5520"/>
    <n v="227"/>
    <n v="12"/>
    <n v="5"/>
    <n v="20"/>
    <x v="2"/>
    <n v="8"/>
    <d v="2022-07-27T00:00:00"/>
    <n v="5.5"/>
    <s v="ED"/>
    <x v="0"/>
    <x v="0"/>
    <x v="4"/>
  </r>
  <r>
    <s v="Bulgaria"/>
    <m/>
    <x v="19"/>
    <n v="433486520"/>
    <m/>
    <x v="2"/>
    <m/>
    <m/>
    <s v=""/>
    <m/>
    <n v="31"/>
    <n v="110"/>
    <n v="106490"/>
    <n v="27876"/>
    <n v="111"/>
    <n v="10"/>
    <n v="3"/>
    <n v="20"/>
    <x v="2"/>
    <n v="8"/>
    <d v="2022-07-23T00:00:00"/>
    <n v="8.5"/>
    <s v="MC"/>
    <x v="0"/>
    <x v="0"/>
    <x v="6"/>
  </r>
  <r>
    <s v="Bulgaria"/>
    <m/>
    <x v="19"/>
    <n v="433486520"/>
    <m/>
    <x v="2"/>
    <m/>
    <s v=""/>
    <m/>
    <s v=""/>
    <n v="32"/>
    <n v="10"/>
    <n v="77630"/>
    <n v="22968"/>
    <n v="112"/>
    <n v="10"/>
    <n v="3"/>
    <n v="20"/>
    <x v="2"/>
    <n v="8"/>
    <d v="2022-08-06T00:00:00"/>
    <n v="8"/>
    <s v="ED"/>
    <x v="0"/>
    <x v="1"/>
    <x v="6"/>
  </r>
  <r>
    <m/>
    <m/>
    <x v="20"/>
    <m/>
    <m/>
    <x v="5"/>
    <m/>
    <m/>
    <m/>
    <m/>
    <m/>
    <m/>
    <m/>
    <m/>
    <m/>
    <m/>
    <m/>
    <m/>
    <x v="7"/>
    <m/>
    <m/>
    <m/>
    <m/>
    <x v="2"/>
    <x v="2"/>
    <x v="3"/>
  </r>
  <r>
    <m/>
    <m/>
    <x v="20"/>
    <m/>
    <m/>
    <x v="5"/>
    <m/>
    <m/>
    <m/>
    <m/>
    <m/>
    <m/>
    <m/>
    <m/>
    <m/>
    <m/>
    <m/>
    <m/>
    <x v="7"/>
    <m/>
    <m/>
    <m/>
    <m/>
    <x v="2"/>
    <x v="2"/>
    <x v="3"/>
  </r>
  <r>
    <m/>
    <m/>
    <x v="20"/>
    <m/>
    <m/>
    <x v="5"/>
    <m/>
    <m/>
    <m/>
    <m/>
    <m/>
    <m/>
    <m/>
    <m/>
    <m/>
    <m/>
    <m/>
    <m/>
    <x v="7"/>
    <m/>
    <m/>
    <m/>
    <m/>
    <x v="2"/>
    <x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Polonia"/>
    <s v=""/>
    <x v="0"/>
    <n v="400848125"/>
    <m/>
    <x v="0"/>
    <m/>
    <m/>
    <m/>
    <s v=""/>
    <n v="44"/>
    <n v="56"/>
    <n v="0"/>
    <n v="300"/>
    <n v="313"/>
    <n v="5"/>
    <n v="3"/>
    <n v="20"/>
    <n v="2"/>
    <n v="2"/>
    <d v="2022-05-28T00:00:00"/>
    <n v="0"/>
    <s v="DC"/>
    <x v="0"/>
    <x v="0"/>
    <x v="0"/>
  </r>
  <r>
    <s v="Polonia"/>
    <s v=""/>
    <x v="0"/>
    <n v="400848125"/>
    <m/>
    <x v="0"/>
    <m/>
    <m/>
    <m/>
    <s v=""/>
    <n v="44"/>
    <n v="68"/>
    <n v="0"/>
    <n v="300"/>
    <n v="315"/>
    <n v="5"/>
    <n v="3"/>
    <n v="20"/>
    <n v="3"/>
    <n v="2"/>
    <d v="2022-05-28T00:00:00"/>
    <n v="0"/>
    <s v="DC"/>
    <x v="0"/>
    <x v="1"/>
    <x v="0"/>
  </r>
  <r>
    <s v="España"/>
    <s v=""/>
    <x v="1"/>
    <n v="462622778"/>
    <m/>
    <x v="1"/>
    <n v="1"/>
    <m/>
    <m/>
    <s v=""/>
    <n v="22"/>
    <n v="39"/>
    <n v="3230"/>
    <n v="370"/>
    <n v="45"/>
    <n v="3"/>
    <n v="4"/>
    <n v="20"/>
    <n v="7"/>
    <n v="8"/>
    <d v="2022-07-06T00:00:00"/>
    <n v="4.5"/>
    <s v="MC"/>
    <x v="1"/>
    <x v="0"/>
    <x v="0"/>
  </r>
  <r>
    <s v="España"/>
    <s v=""/>
    <x v="1"/>
    <n v="462622778"/>
    <m/>
    <x v="1"/>
    <n v="1"/>
    <m/>
    <m/>
    <s v=""/>
    <n v="22"/>
    <n v="51"/>
    <n v="3090"/>
    <n v="370"/>
    <n v="47"/>
    <n v="3"/>
    <n v="4"/>
    <n v="20"/>
    <n v="6"/>
    <n v="8"/>
    <d v="2022-07-06T00:00:00"/>
    <n v="4.5"/>
    <s v="MC"/>
    <x v="1"/>
    <x v="1"/>
    <x v="0"/>
  </r>
  <r>
    <s v="Bélgica"/>
    <s v=""/>
    <x v="2"/>
    <n v="424276729"/>
    <m/>
    <x v="0"/>
    <m/>
    <m/>
    <m/>
    <s v=""/>
    <n v="35"/>
    <n v="26"/>
    <n v="61190"/>
    <n v="18408"/>
    <n v="1"/>
    <n v="15"/>
    <n v="4"/>
    <n v="4"/>
    <n v="7"/>
    <n v="5"/>
    <d v="2022-07-27T00:00:00"/>
    <n v="9"/>
    <s v="POR"/>
    <x v="1"/>
    <x v="0"/>
    <x v="1"/>
  </r>
  <r>
    <s v="Bélgica"/>
    <s v=""/>
    <x v="2"/>
    <n v="424276729"/>
    <m/>
    <x v="0"/>
    <m/>
    <m/>
    <m/>
    <s v=""/>
    <n v="35"/>
    <n v="38"/>
    <n v="61090"/>
    <n v="18408"/>
    <n v="3"/>
    <n v="15"/>
    <n v="4"/>
    <n v="5"/>
    <n v="7"/>
    <n v="5"/>
    <d v="2022-08-06T00:00:00"/>
    <n v="9.5"/>
    <s v="POR"/>
    <x v="1"/>
    <x v="1"/>
    <x v="1"/>
  </r>
  <r>
    <s v="España"/>
    <s v=""/>
    <x v="3"/>
    <n v="428042425"/>
    <m/>
    <x v="0"/>
    <m/>
    <m/>
    <m/>
    <s v=""/>
    <n v="33"/>
    <n v="91"/>
    <n v="81540"/>
    <n v="13270"/>
    <n v="0"/>
    <n v="14"/>
    <n v="5"/>
    <n v="3"/>
    <n v="6"/>
    <n v="7"/>
    <d v="2022-07-27T00:00:00"/>
    <n v="7.5"/>
    <s v="ED"/>
    <x v="1"/>
    <x v="0"/>
    <x v="2"/>
  </r>
  <r>
    <s v="España"/>
    <s v=""/>
    <x v="3"/>
    <n v="428042425"/>
    <m/>
    <x v="0"/>
    <m/>
    <m/>
    <m/>
    <s v=""/>
    <n v="33"/>
    <n v="103"/>
    <n v="76230"/>
    <n v="13270"/>
    <n v="2"/>
    <n v="14"/>
    <n v="5"/>
    <n v="5"/>
    <n v="6"/>
    <n v="7"/>
    <d v="2022-08-06T00:00:00"/>
    <n v="6.5"/>
    <s v="DC"/>
    <x v="1"/>
    <x v="1"/>
    <x v="2"/>
  </r>
  <r>
    <s v="España"/>
    <s v=""/>
    <x v="4"/>
    <n v="435691290"/>
    <m/>
    <x v="0"/>
    <n v="1"/>
    <m/>
    <m/>
    <s v=""/>
    <n v="30"/>
    <n v="107"/>
    <n v="18660"/>
    <n v="1690"/>
    <n v="222"/>
    <n v="4"/>
    <n v="5"/>
    <n v="20"/>
    <n v="8"/>
    <n v="8"/>
    <d v="2022-07-23T00:00:00"/>
    <n v="6"/>
    <s v="EI"/>
    <x v="1"/>
    <x v="0"/>
    <x v="0"/>
  </r>
  <r>
    <s v="España"/>
    <s v=""/>
    <x v="4"/>
    <n v="435691290"/>
    <m/>
    <x v="0"/>
    <n v="1"/>
    <m/>
    <m/>
    <s v=""/>
    <n v="31"/>
    <n v="7"/>
    <n v="15030"/>
    <n v="1590"/>
    <n v="224"/>
    <n v="5"/>
    <n v="5"/>
    <n v="20"/>
    <n v="8"/>
    <n v="8"/>
    <d v="2022-08-06T00:00:00"/>
    <n v="6"/>
    <s v="ED"/>
    <x v="1"/>
    <x v="1"/>
    <x v="0"/>
  </r>
  <r>
    <s v="Francia"/>
    <s v=""/>
    <x v="5"/>
    <n v="412041029"/>
    <m/>
    <x v="0"/>
    <m/>
    <m/>
    <m/>
    <s v=""/>
    <n v="40"/>
    <n v="20"/>
    <n v="860"/>
    <n v="588"/>
    <n v="54"/>
    <n v="11"/>
    <n v="5"/>
    <n v="20"/>
    <n v="7"/>
    <n v="4"/>
    <d v="2022-07-23T00:00:00"/>
    <n v="4.5"/>
    <s v="POR"/>
    <x v="0"/>
    <x v="0"/>
    <x v="0"/>
  </r>
  <r>
    <s v="Francia"/>
    <s v=""/>
    <x v="5"/>
    <n v="412041029"/>
    <m/>
    <x v="0"/>
    <m/>
    <m/>
    <m/>
    <s v=""/>
    <n v="40"/>
    <n v="32"/>
    <n v="840"/>
    <n v="588"/>
    <n v="55"/>
    <n v="11"/>
    <n v="5"/>
    <n v="20"/>
    <n v="7"/>
    <n v="4"/>
    <d v="2022-08-03T00:00:00"/>
    <n v="4"/>
    <s v="POR"/>
    <x v="0"/>
    <x v="1"/>
    <x v="0"/>
  </r>
  <r>
    <s v="España"/>
    <s v=""/>
    <x v="6"/>
    <n v="438575162"/>
    <m/>
    <x v="2"/>
    <n v="1"/>
    <m/>
    <m/>
    <s v=""/>
    <n v="31"/>
    <n v="84"/>
    <n v="2100"/>
    <n v="490"/>
    <n v="202"/>
    <n v="3"/>
    <n v="4"/>
    <n v="20"/>
    <n v="6"/>
    <n v="6"/>
    <d v="2022-06-08T00:00:00"/>
    <n v="2.5"/>
    <s v="DC"/>
    <x v="0"/>
    <x v="1"/>
    <x v="0"/>
  </r>
  <r>
    <s v="España"/>
    <s v=""/>
    <x v="6"/>
    <n v="438575162"/>
    <m/>
    <x v="2"/>
    <n v="1"/>
    <m/>
    <m/>
    <s v=""/>
    <n v="31"/>
    <n v="72"/>
    <n v="2070"/>
    <n v="490"/>
    <n v="200"/>
    <n v="3"/>
    <n v="4"/>
    <n v="20"/>
    <n v="6"/>
    <n v="6"/>
    <d v="2022-06-08T00:00:00"/>
    <n v="2.5"/>
    <s v="DC"/>
    <x v="0"/>
    <x v="0"/>
    <x v="0"/>
  </r>
  <r>
    <s v="España"/>
    <s v=""/>
    <x v="7"/>
    <n v="465852705"/>
    <m/>
    <x v="3"/>
    <n v="1"/>
    <m/>
    <m/>
    <s v=""/>
    <n v="20"/>
    <n v="21"/>
    <n v="1490"/>
    <n v="310"/>
    <n v="25"/>
    <n v="2"/>
    <n v="3"/>
    <n v="20"/>
    <n v="6"/>
    <n v="8"/>
    <d v="2022-08-03T00:00:00"/>
    <n v="4"/>
    <s v="ED"/>
    <x v="0"/>
    <x v="1"/>
    <x v="0"/>
  </r>
  <r>
    <s v="España"/>
    <s v=""/>
    <x v="7"/>
    <n v="465852705"/>
    <m/>
    <x v="3"/>
    <n v="1"/>
    <m/>
    <m/>
    <s v=""/>
    <n v="20"/>
    <n v="9"/>
    <n v="1410"/>
    <n v="310"/>
    <n v="23"/>
    <n v="2"/>
    <n v="3"/>
    <n v="20"/>
    <n v="6"/>
    <n v="8"/>
    <d v="2022-07-20T00:00:00"/>
    <n v="3.5"/>
    <s v="DC"/>
    <x v="0"/>
    <x v="0"/>
    <x v="0"/>
  </r>
  <r>
    <s v="España"/>
    <s v=""/>
    <x v="8"/>
    <n v="469974779"/>
    <m/>
    <x v="2"/>
    <n v="1"/>
    <m/>
    <m/>
    <s v=""/>
    <n v="19"/>
    <n v="54"/>
    <n v="920"/>
    <n v="330"/>
    <n v="7"/>
    <n v="2"/>
    <n v="4"/>
    <n v="20"/>
    <n v="6"/>
    <n v="7"/>
    <d v="2022-07-20T00:00:00"/>
    <n v="3"/>
    <s v="DC"/>
    <x v="0"/>
    <x v="0"/>
    <x v="0"/>
  </r>
  <r>
    <s v="España"/>
    <s v=""/>
    <x v="8"/>
    <n v="469974779"/>
    <m/>
    <x v="2"/>
    <n v="1"/>
    <m/>
    <m/>
    <s v=""/>
    <n v="19"/>
    <n v="66"/>
    <n v="840"/>
    <n v="330"/>
    <n v="9"/>
    <n v="2"/>
    <n v="4"/>
    <n v="20"/>
    <n v="5"/>
    <n v="7"/>
    <d v="2022-08-03T00:00:00"/>
    <n v="3.5"/>
    <s v="DC"/>
    <x v="0"/>
    <x v="1"/>
    <x v="0"/>
  </r>
  <r>
    <s v="España"/>
    <s v=""/>
    <x v="9"/>
    <n v="435305632"/>
    <m/>
    <x v="4"/>
    <m/>
    <m/>
    <n v="1"/>
    <s v=""/>
    <n v="31"/>
    <n v="24"/>
    <n v="297100"/>
    <n v="59990"/>
    <n v="148"/>
    <n v="14"/>
    <n v="5"/>
    <n v="20"/>
    <n v="7"/>
    <n v="8"/>
    <d v="2022-08-06T00:00:00"/>
    <n v="11"/>
    <s v="MC"/>
    <x v="1"/>
    <x v="1"/>
    <x v="2"/>
  </r>
  <r>
    <s v="España"/>
    <s v=""/>
    <x v="9"/>
    <n v="435305632"/>
    <m/>
    <x v="4"/>
    <m/>
    <m/>
    <m/>
    <s v=""/>
    <n v="31"/>
    <n v="12"/>
    <n v="293510"/>
    <n v="59990"/>
    <n v="146"/>
    <n v="14"/>
    <n v="5"/>
    <n v="20"/>
    <n v="7"/>
    <n v="8"/>
    <d v="2022-07-27T00:00:00"/>
    <n v="11"/>
    <s v="MC"/>
    <x v="1"/>
    <x v="0"/>
    <x v="2"/>
  </r>
  <r>
    <s v="España"/>
    <s v=""/>
    <x v="10"/>
    <n v="433873906"/>
    <m/>
    <x v="0"/>
    <n v="1"/>
    <m/>
    <m/>
    <s v=""/>
    <n v="32"/>
    <n v="17"/>
    <n v="6710"/>
    <n v="1150"/>
    <n v="235"/>
    <n v="4"/>
    <n v="3"/>
    <n v="20"/>
    <n v="7"/>
    <n v="7"/>
    <d v="2022-07-13T00:00:00"/>
    <n v="5"/>
    <s v="MC"/>
    <x v="1"/>
    <x v="0"/>
    <x v="0"/>
  </r>
  <r>
    <s v="España"/>
    <s v=""/>
    <x v="10"/>
    <n v="433873906"/>
    <m/>
    <x v="0"/>
    <n v="1"/>
    <m/>
    <m/>
    <s v=""/>
    <n v="32"/>
    <n v="29"/>
    <n v="6150"/>
    <n v="1150"/>
    <n v="237"/>
    <n v="4"/>
    <n v="3"/>
    <n v="20"/>
    <n v="6"/>
    <n v="7"/>
    <d v="2022-07-13T00:00:00"/>
    <n v="5"/>
    <s v="MC"/>
    <x v="1"/>
    <x v="1"/>
    <x v="0"/>
  </r>
  <r>
    <s v="España"/>
    <s v=""/>
    <x v="11"/>
    <n v="428002107"/>
    <m/>
    <x v="1"/>
    <n v="1"/>
    <m/>
    <m/>
    <s v=""/>
    <n v="33"/>
    <n v="108"/>
    <n v="810"/>
    <n v="350"/>
    <n v="269"/>
    <n v="4"/>
    <n v="6"/>
    <n v="20"/>
    <n v="7"/>
    <n v="7"/>
    <d v="2022-07-20T00:00:00"/>
    <n v="3.5"/>
    <s v="LI"/>
    <x v="0"/>
    <x v="0"/>
    <x v="0"/>
  </r>
  <r>
    <s v="España"/>
    <s v=""/>
    <x v="11"/>
    <n v="428002107"/>
    <m/>
    <x v="1"/>
    <n v="1"/>
    <m/>
    <m/>
    <s v=""/>
    <n v="34"/>
    <n v="8"/>
    <n v="390"/>
    <n v="310"/>
    <n v="271"/>
    <n v="4"/>
    <n v="6"/>
    <n v="20"/>
    <n v="7"/>
    <n v="7"/>
    <d v="2022-08-03T00:00:00"/>
    <n v="3.5"/>
    <s v="DC"/>
    <x v="0"/>
    <x v="1"/>
    <x v="0"/>
  </r>
  <r>
    <s v="España"/>
    <s v=""/>
    <x v="12"/>
    <n v="461499946"/>
    <m/>
    <x v="5"/>
    <n v="1"/>
    <m/>
    <m/>
    <s v=""/>
    <n v="20"/>
    <n v="68"/>
    <n v="1450"/>
    <n v="390"/>
    <n v="55"/>
    <n v="2"/>
    <n v="3"/>
    <n v="20"/>
    <n v="6"/>
    <n v="9"/>
    <d v="2022-08-03T00:00:00"/>
    <n v="3.5"/>
    <s v="DC"/>
    <x v="0"/>
    <x v="1"/>
    <x v="0"/>
  </r>
  <r>
    <s v="España"/>
    <s v=""/>
    <x v="12"/>
    <n v="461499946"/>
    <m/>
    <x v="5"/>
    <n v="1"/>
    <m/>
    <m/>
    <s v=""/>
    <n v="20"/>
    <n v="56"/>
    <n v="1280"/>
    <n v="390"/>
    <n v="54"/>
    <n v="2"/>
    <n v="3"/>
    <n v="20"/>
    <n v="5"/>
    <n v="9"/>
    <d v="2022-07-20T00:00:00"/>
    <n v="2.5"/>
    <s v="DC"/>
    <x v="0"/>
    <x v="0"/>
    <x v="0"/>
  </r>
  <r>
    <s v="Holanda"/>
    <s v=""/>
    <x v="13"/>
    <n v="436903655"/>
    <m/>
    <x v="5"/>
    <m/>
    <m/>
    <n v="1"/>
    <s v=""/>
    <n v="30"/>
    <n v="40"/>
    <n v="118700"/>
    <n v="19344"/>
    <n v="2"/>
    <n v="8"/>
    <n v="2"/>
    <n v="5"/>
    <n v="7"/>
    <n v="7"/>
    <d v="2022-08-06T00:00:00"/>
    <n v="7.5"/>
    <s v="MC"/>
    <x v="1"/>
    <x v="1"/>
    <x v="3"/>
  </r>
  <r>
    <s v="Holanda"/>
    <s v=""/>
    <x v="13"/>
    <n v="436903655"/>
    <m/>
    <x v="5"/>
    <m/>
    <m/>
    <m/>
    <s v=""/>
    <n v="30"/>
    <n v="28"/>
    <n v="116210"/>
    <n v="19344"/>
    <n v="1"/>
    <n v="8"/>
    <n v="2"/>
    <n v="3"/>
    <n v="7"/>
    <n v="7"/>
    <d v="2022-07-27T00:00:00"/>
    <n v="8"/>
    <s v="MC"/>
    <x v="1"/>
    <x v="0"/>
    <x v="3"/>
  </r>
  <r>
    <s v="Holanda"/>
    <s v=""/>
    <x v="14"/>
    <n v="429013734"/>
    <m/>
    <x v="2"/>
    <m/>
    <m/>
    <m/>
    <s v=""/>
    <n v="33"/>
    <n v="68"/>
    <n v="55090"/>
    <n v="22104"/>
    <n v="0"/>
    <n v="13"/>
    <n v="4"/>
    <n v="3"/>
    <n v="7"/>
    <n v="7"/>
    <d v="2022-07-27T00:00:00"/>
    <n v="9"/>
    <s v="DC"/>
    <x v="1"/>
    <x v="0"/>
    <x v="0"/>
  </r>
  <r>
    <s v="Holanda"/>
    <s v=""/>
    <x v="14"/>
    <n v="429013734"/>
    <m/>
    <x v="2"/>
    <m/>
    <m/>
    <m/>
    <s v=""/>
    <n v="33"/>
    <n v="80"/>
    <n v="54230"/>
    <n v="22104"/>
    <n v="2"/>
    <n v="14"/>
    <n v="4"/>
    <n v="5"/>
    <n v="7"/>
    <n v="7"/>
    <d v="2022-08-06T00:00:00"/>
    <n v="9.5"/>
    <s v="DC"/>
    <x v="1"/>
    <x v="1"/>
    <x v="0"/>
  </r>
  <r>
    <s v="Jamaica"/>
    <s v=""/>
    <x v="15"/>
    <n v="391463093"/>
    <n v="1"/>
    <x v="2"/>
    <m/>
    <n v="999"/>
    <m/>
    <s v=""/>
    <n v="45"/>
    <n v="6"/>
    <n v="0"/>
    <n v="300"/>
    <n v="161"/>
    <n v="16"/>
    <n v="4"/>
    <n v="20"/>
    <n v="4"/>
    <n v="1"/>
    <d v="2021-03-17T00:00:00"/>
    <n v="3.5"/>
    <s v="DEL"/>
    <x v="0"/>
    <x v="0"/>
    <x v="0"/>
  </r>
  <r>
    <s v="Jamaica"/>
    <s v=""/>
    <x v="15"/>
    <n v="391463093"/>
    <n v="1"/>
    <x v="2"/>
    <m/>
    <n v="999"/>
    <m/>
    <s v=""/>
    <n v="45"/>
    <n v="18"/>
    <n v="0"/>
    <n v="300"/>
    <n v="163"/>
    <n v="16"/>
    <n v="4"/>
    <n v="20"/>
    <n v="4"/>
    <n v="1"/>
    <d v="2021-03-17T00:00:00"/>
    <n v="3.5"/>
    <s v="DEL"/>
    <x v="0"/>
    <x v="1"/>
    <x v="0"/>
  </r>
  <r>
    <s v="Alemania"/>
    <s v=""/>
    <x v="16"/>
    <n v="433807278"/>
    <m/>
    <x v="2"/>
    <m/>
    <m/>
    <m/>
    <s v=""/>
    <n v="31"/>
    <n v="100"/>
    <n v="118040"/>
    <n v="21780"/>
    <n v="2"/>
    <n v="13"/>
    <n v="4"/>
    <n v="5"/>
    <n v="8"/>
    <n v="7"/>
    <d v="2022-08-06T00:00:00"/>
    <n v="8.5"/>
    <s v="DC"/>
    <x v="1"/>
    <x v="1"/>
    <x v="4"/>
  </r>
  <r>
    <s v="Alemania"/>
    <s v=""/>
    <x v="16"/>
    <n v="433807278"/>
    <m/>
    <x v="2"/>
    <m/>
    <m/>
    <m/>
    <s v=""/>
    <n v="31"/>
    <n v="88"/>
    <n v="117970"/>
    <n v="21780"/>
    <n v="0"/>
    <n v="13"/>
    <n v="4"/>
    <n v="3"/>
    <n v="8"/>
    <n v="7"/>
    <d v="2022-07-27T00:00:00"/>
    <n v="8.5"/>
    <s v="DC"/>
    <x v="1"/>
    <x v="0"/>
    <x v="4"/>
  </r>
  <r>
    <s v="España"/>
    <s v=""/>
    <x v="17"/>
    <n v="459498680"/>
    <m/>
    <x v="0"/>
    <n v="1"/>
    <m/>
    <m/>
    <s v=""/>
    <n v="23"/>
    <n v="23"/>
    <n v="130"/>
    <n v="790"/>
    <n v="69"/>
    <n v="3"/>
    <n v="2"/>
    <n v="20"/>
    <n v="6"/>
    <n v="8"/>
    <d v="2022-07-13T00:00:00"/>
    <n v="3"/>
    <s v="LD"/>
    <x v="0"/>
    <x v="0"/>
    <x v="0"/>
  </r>
  <r>
    <s v="España"/>
    <s v=""/>
    <x v="17"/>
    <n v="459498680"/>
    <m/>
    <x v="0"/>
    <n v="1"/>
    <m/>
    <m/>
    <s v=""/>
    <n v="23"/>
    <n v="35"/>
    <n v="130"/>
    <n v="790"/>
    <n v="71"/>
    <n v="3"/>
    <n v="2"/>
    <n v="20"/>
    <n v="6"/>
    <n v="8"/>
    <d v="2022-07-13T00:00:00"/>
    <n v="3"/>
    <s v="LD"/>
    <x v="0"/>
    <x v="1"/>
    <x v="0"/>
  </r>
  <r>
    <s v="Polonia"/>
    <s v=""/>
    <x v="18"/>
    <n v="412154044"/>
    <m/>
    <x v="0"/>
    <m/>
    <m/>
    <m/>
    <s v=""/>
    <n v="41"/>
    <n v="53"/>
    <n v="0"/>
    <n v="300"/>
    <n v="313"/>
    <n v="5"/>
    <n v="4"/>
    <n v="20"/>
    <n v="3"/>
    <n v="2"/>
    <d v="2022-06-22T00:00:00"/>
    <n v="5"/>
    <s v="LI"/>
    <x v="0"/>
    <x v="0"/>
    <x v="0"/>
  </r>
  <r>
    <s v="Polonia"/>
    <s v=""/>
    <x v="18"/>
    <n v="412154044"/>
    <m/>
    <x v="0"/>
    <m/>
    <m/>
    <m/>
    <s v=""/>
    <n v="41"/>
    <n v="65"/>
    <n v="0"/>
    <n v="300"/>
    <n v="315"/>
    <n v="5"/>
    <n v="4"/>
    <n v="20"/>
    <n v="3"/>
    <n v="2"/>
    <d v="2022-06-22T00:00:00"/>
    <n v="5"/>
    <s v="LI"/>
    <x v="0"/>
    <x v="1"/>
    <x v="0"/>
  </r>
  <r>
    <s v="España"/>
    <s v=""/>
    <x v="19"/>
    <n v="433917884"/>
    <m/>
    <x v="4"/>
    <n v="1"/>
    <m/>
    <m/>
    <s v=""/>
    <n v="32"/>
    <n v="58"/>
    <n v="2620"/>
    <n v="950"/>
    <n v="234"/>
    <n v="3"/>
    <n v="5"/>
    <n v="20"/>
    <n v="6"/>
    <n v="7"/>
    <d v="2022-07-13T00:00:00"/>
    <n v="5"/>
    <s v="EI"/>
    <x v="0"/>
    <x v="0"/>
    <x v="0"/>
  </r>
  <r>
    <s v="España"/>
    <s v=""/>
    <x v="19"/>
    <n v="433917884"/>
    <m/>
    <x v="4"/>
    <n v="1"/>
    <m/>
    <m/>
    <s v=""/>
    <n v="32"/>
    <n v="70"/>
    <n v="2300"/>
    <n v="950"/>
    <n v="236"/>
    <n v="3"/>
    <n v="5"/>
    <n v="20"/>
    <n v="5"/>
    <n v="6"/>
    <d v="2022-07-13T00:00:00"/>
    <n v="5"/>
    <s v="EI"/>
    <x v="0"/>
    <x v="1"/>
    <x v="0"/>
  </r>
  <r>
    <s v="Argentina"/>
    <s v=""/>
    <x v="20"/>
    <n v="426083825"/>
    <m/>
    <x v="4"/>
    <m/>
    <m/>
    <m/>
    <s v=""/>
    <n v="34"/>
    <n v="89"/>
    <n v="39920"/>
    <n v="22476"/>
    <n v="131"/>
    <n v="13"/>
    <n v="3"/>
    <n v="20"/>
    <n v="8"/>
    <n v="7"/>
    <d v="2022-07-27T00:00:00"/>
    <n v="8.5"/>
    <s v="EI"/>
    <x v="1"/>
    <x v="0"/>
    <x v="0"/>
  </r>
  <r>
    <s v="Argentina"/>
    <s v=""/>
    <x v="20"/>
    <n v="426083825"/>
    <m/>
    <x v="4"/>
    <m/>
    <m/>
    <m/>
    <s v=""/>
    <n v="34"/>
    <n v="101"/>
    <n v="39010"/>
    <n v="22476"/>
    <n v="133"/>
    <n v="13"/>
    <n v="3"/>
    <n v="20"/>
    <n v="8"/>
    <n v="7"/>
    <d v="2022-08-06T00:00:00"/>
    <n v="8.5"/>
    <s v="EI"/>
    <x v="1"/>
    <x v="1"/>
    <x v="0"/>
  </r>
  <r>
    <s v="República Checa"/>
    <s v=""/>
    <x v="21"/>
    <n v="433207304"/>
    <m/>
    <x v="2"/>
    <m/>
    <m/>
    <m/>
    <s v=""/>
    <n v="32"/>
    <n v="21"/>
    <n v="50950"/>
    <n v="14052"/>
    <n v="3"/>
    <n v="10"/>
    <n v="5"/>
    <n v="5"/>
    <n v="8"/>
    <n v="6"/>
    <d v="2022-08-06T00:00:00"/>
    <n v="8"/>
    <s v="LD"/>
    <x v="1"/>
    <x v="1"/>
    <x v="0"/>
  </r>
  <r>
    <s v="República Checa"/>
    <s v=""/>
    <x v="21"/>
    <n v="433207304"/>
    <m/>
    <x v="2"/>
    <m/>
    <m/>
    <m/>
    <s v=""/>
    <n v="32"/>
    <n v="9"/>
    <n v="50710"/>
    <n v="14052"/>
    <n v="1"/>
    <n v="10"/>
    <n v="5"/>
    <n v="4"/>
    <n v="8"/>
    <n v="6"/>
    <d v="2022-07-27T00:00:00"/>
    <n v="8"/>
    <s v="LI"/>
    <x v="1"/>
    <x v="0"/>
    <x v="0"/>
  </r>
  <r>
    <s v="Argentina"/>
    <s v=""/>
    <x v="22"/>
    <n v="427940588"/>
    <m/>
    <x v="0"/>
    <m/>
    <m/>
    <m/>
    <s v=""/>
    <n v="33"/>
    <n v="100"/>
    <n v="36950"/>
    <n v="12060"/>
    <n v="1"/>
    <n v="14"/>
    <n v="4"/>
    <n v="4"/>
    <n v="8"/>
    <n v="7"/>
    <d v="2022-07-27T00:00:00"/>
    <n v="8"/>
    <s v="LD"/>
    <x v="1"/>
    <x v="0"/>
    <x v="0"/>
  </r>
  <r>
    <s v="Argentina"/>
    <s v=""/>
    <x v="22"/>
    <n v="427940588"/>
    <m/>
    <x v="0"/>
    <m/>
    <m/>
    <m/>
    <s v=""/>
    <n v="34"/>
    <n v="0"/>
    <n v="36520"/>
    <n v="9048"/>
    <n v="3"/>
    <n v="14"/>
    <n v="4"/>
    <n v="5"/>
    <n v="8"/>
    <n v="7"/>
    <d v="2022-08-06T00:00:00"/>
    <n v="8.5"/>
    <s v="LI"/>
    <x v="1"/>
    <x v="1"/>
    <x v="0"/>
  </r>
  <r>
    <s v="España"/>
    <s v=""/>
    <x v="23"/>
    <n v="435465952"/>
    <m/>
    <x v="4"/>
    <m/>
    <m/>
    <n v="1"/>
    <s v=""/>
    <n v="31"/>
    <n v="5"/>
    <n v="311540"/>
    <n v="58110"/>
    <n v="222"/>
    <n v="13"/>
    <n v="4"/>
    <n v="20"/>
    <n v="6"/>
    <n v="8"/>
    <d v="2022-07-27T00:00:00"/>
    <n v="10.5"/>
    <s v="MC"/>
    <x v="1"/>
    <x v="0"/>
    <x v="2"/>
  </r>
  <r>
    <s v="España"/>
    <s v=""/>
    <x v="23"/>
    <n v="435465952"/>
    <m/>
    <x v="4"/>
    <m/>
    <m/>
    <n v="1"/>
    <s v=""/>
    <n v="31"/>
    <n v="17"/>
    <n v="304950"/>
    <n v="58110"/>
    <n v="224"/>
    <n v="13"/>
    <n v="4"/>
    <n v="20"/>
    <n v="6"/>
    <n v="8"/>
    <d v="2022-08-06T00:00:00"/>
    <n v="10"/>
    <s v="MC"/>
    <x v="1"/>
    <x v="1"/>
    <x v="2"/>
  </r>
  <r>
    <s v="Japón"/>
    <s v=""/>
    <x v="24"/>
    <n v="430896706"/>
    <m/>
    <x v="4"/>
    <m/>
    <m/>
    <m/>
    <s v=""/>
    <n v="32"/>
    <n v="96"/>
    <n v="73510"/>
    <n v="16920"/>
    <n v="49"/>
    <n v="10"/>
    <n v="6"/>
    <n v="20"/>
    <n v="8"/>
    <n v="8"/>
    <d v="2022-07-27T00:00:00"/>
    <n v="9"/>
    <s v="DC"/>
    <x v="1"/>
    <x v="0"/>
    <x v="0"/>
  </r>
  <r>
    <s v="Japón"/>
    <s v=""/>
    <x v="24"/>
    <n v="430896706"/>
    <m/>
    <x v="4"/>
    <m/>
    <n v="2"/>
    <m/>
    <s v=""/>
    <n v="32"/>
    <n v="108"/>
    <n v="54260"/>
    <n v="16920"/>
    <n v="50"/>
    <n v="10"/>
    <n v="6"/>
    <n v="20"/>
    <n v="7"/>
    <n v="7"/>
    <d v="2022-07-30T00:00:00"/>
    <n v="9.5"/>
    <s v="DC"/>
    <x v="1"/>
    <x v="1"/>
    <x v="0"/>
  </r>
  <r>
    <m/>
    <m/>
    <x v="25"/>
    <m/>
    <m/>
    <x v="6"/>
    <m/>
    <m/>
    <m/>
    <m/>
    <m/>
    <m/>
    <m/>
    <m/>
    <m/>
    <m/>
    <m/>
    <m/>
    <m/>
    <m/>
    <m/>
    <m/>
    <m/>
    <x v="2"/>
    <x v="2"/>
    <x v="0"/>
  </r>
  <r>
    <m/>
    <m/>
    <x v="25"/>
    <m/>
    <m/>
    <x v="6"/>
    <m/>
    <m/>
    <m/>
    <m/>
    <m/>
    <m/>
    <m/>
    <m/>
    <m/>
    <m/>
    <m/>
    <m/>
    <m/>
    <m/>
    <m/>
    <m/>
    <m/>
    <x v="2"/>
    <x v="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Francia"/>
    <m/>
    <x v="0"/>
    <n v="446635122"/>
    <m/>
    <x v="0"/>
    <m/>
    <x v="0"/>
    <s v=""/>
    <s v=""/>
    <n v="39"/>
    <n v="69"/>
    <n v="0"/>
    <n v="300"/>
    <n v="60"/>
    <n v="7"/>
    <n v="7"/>
    <n v="20"/>
    <n v="6"/>
    <n v="3"/>
    <d v="2022-06-22T00:00:00"/>
    <n v="1"/>
    <x v="0"/>
    <x v="0"/>
    <x v="0"/>
    <x v="0"/>
  </r>
  <r>
    <s v="Francia"/>
    <m/>
    <x v="0"/>
    <n v="446635122"/>
    <m/>
    <x v="0"/>
    <m/>
    <x v="1"/>
    <s v=""/>
    <s v=""/>
    <n v="39"/>
    <n v="79"/>
    <n v="0"/>
    <n v="300"/>
    <n v="61"/>
    <n v="7"/>
    <n v="7"/>
    <n v="20"/>
    <n v="6"/>
    <n v="3"/>
    <d v="2022-06-22T00:00:00"/>
    <n v="1"/>
    <x v="0"/>
    <x v="0"/>
    <x v="1"/>
    <x v="0"/>
  </r>
  <r>
    <s v="Francia"/>
    <m/>
    <x v="0"/>
    <n v="446635122"/>
    <m/>
    <x v="0"/>
    <m/>
    <x v="2"/>
    <s v=""/>
    <s v=""/>
    <n v="39"/>
    <n v="83"/>
    <n v="0"/>
    <n v="300"/>
    <n v="62"/>
    <n v="7"/>
    <n v="7"/>
    <n v="20"/>
    <n v="6"/>
    <n v="3"/>
    <d v="2022-06-22T00:00:00"/>
    <n v="1"/>
    <x v="0"/>
    <x v="0"/>
    <x v="2"/>
    <x v="0"/>
  </r>
  <r>
    <s v="España"/>
    <m/>
    <x v="1"/>
    <n v="469826787"/>
    <m/>
    <x v="0"/>
    <n v="1"/>
    <x v="3"/>
    <s v=""/>
    <s v=""/>
    <n v="19"/>
    <n v="43"/>
    <n v="120"/>
    <n v="250"/>
    <n v="8"/>
    <n v="1"/>
    <n v="2"/>
    <n v="20"/>
    <n v="6"/>
    <n v="7"/>
    <d v="2022-07-23T00:00:00"/>
    <n v="1"/>
    <x v="1"/>
    <x v="0"/>
    <x v="0"/>
    <x v="0"/>
  </r>
  <r>
    <s v="Italia"/>
    <m/>
    <x v="2"/>
    <n v="422339587"/>
    <m/>
    <x v="0"/>
    <m/>
    <x v="3"/>
    <s v=""/>
    <s v=""/>
    <n v="35"/>
    <n v="107"/>
    <n v="380"/>
    <n v="816"/>
    <n v="60"/>
    <n v="8"/>
    <n v="7"/>
    <n v="20"/>
    <n v="7"/>
    <n v="5"/>
    <d v="2022-07-27T00:00:00"/>
    <n v="1.5"/>
    <x v="0"/>
    <x v="0"/>
    <x v="0"/>
    <x v="0"/>
  </r>
  <r>
    <s v="Italia"/>
    <m/>
    <x v="2"/>
    <n v="422339587"/>
    <n v="1"/>
    <x v="0"/>
    <m/>
    <x v="3"/>
    <s v=""/>
    <s v=""/>
    <n v="36"/>
    <n v="5"/>
    <n v="370"/>
    <n v="492"/>
    <n v="61"/>
    <n v="8"/>
    <n v="7"/>
    <n v="20"/>
    <n v="7"/>
    <n v="5"/>
    <d v="2022-07-27T00:00:00"/>
    <n v="1.5"/>
    <x v="0"/>
    <x v="0"/>
    <x v="1"/>
    <x v="0"/>
  </r>
  <r>
    <s v="Letonia"/>
    <m/>
    <x v="3"/>
    <n v="431224460"/>
    <m/>
    <x v="0"/>
    <m/>
    <x v="3"/>
    <s v=""/>
    <s v=""/>
    <n v="33"/>
    <n v="5"/>
    <n v="46250"/>
    <n v="22464"/>
    <n v="19"/>
    <n v="11"/>
    <n v="3"/>
    <n v="12"/>
    <n v="8"/>
    <n v="6"/>
    <d v="2022-08-06T00:00:00"/>
    <n v="3"/>
    <x v="1"/>
    <x v="1"/>
    <x v="1"/>
    <x v="1"/>
  </r>
  <r>
    <s v="España"/>
    <m/>
    <x v="4"/>
    <n v="468907924"/>
    <m/>
    <x v="1"/>
    <n v="1"/>
    <x v="3"/>
    <s v=""/>
    <s v=""/>
    <n v="18"/>
    <n v="3"/>
    <n v="440"/>
    <n v="310"/>
    <n v="15"/>
    <n v="1"/>
    <n v="4"/>
    <n v="20"/>
    <n v="7"/>
    <n v="7"/>
    <d v="2022-07-23T00:00:00"/>
    <n v="3"/>
    <x v="2"/>
    <x v="0"/>
    <x v="1"/>
    <x v="0"/>
  </r>
  <r>
    <s v="España"/>
    <m/>
    <x v="4"/>
    <n v="468907924"/>
    <m/>
    <x v="1"/>
    <n v="1"/>
    <x v="3"/>
    <s v=""/>
    <s v=""/>
    <n v="17"/>
    <n v="105"/>
    <n v="420"/>
    <n v="290"/>
    <n v="13"/>
    <n v="1"/>
    <n v="4"/>
    <n v="20"/>
    <n v="6"/>
    <n v="7"/>
    <d v="2022-07-23T00:00:00"/>
    <n v="3"/>
    <x v="2"/>
    <x v="0"/>
    <x v="0"/>
    <x v="0"/>
  </r>
  <r>
    <s v="Polonia"/>
    <m/>
    <x v="5"/>
    <n v="419134956"/>
    <n v="1"/>
    <x v="2"/>
    <m/>
    <x v="3"/>
    <s v=""/>
    <s v=""/>
    <n v="50"/>
    <n v="26"/>
    <n v="0"/>
    <n v="300"/>
    <n v="275"/>
    <n v="9"/>
    <n v="5"/>
    <n v="20"/>
    <n v="4"/>
    <n v="2"/>
    <d v="2022-07-09T00:00:00"/>
    <n v="5"/>
    <x v="3"/>
    <x v="0"/>
    <x v="0"/>
    <x v="0"/>
  </r>
  <r>
    <s v="Polonia"/>
    <m/>
    <x v="6"/>
    <n v="453102601"/>
    <m/>
    <x v="0"/>
    <m/>
    <x v="3"/>
    <s v=""/>
    <s v=""/>
    <n v="39"/>
    <n v="102"/>
    <n v="0"/>
    <n v="300"/>
    <n v="60"/>
    <n v="7"/>
    <n v="7"/>
    <n v="20"/>
    <n v="7"/>
    <n v="3"/>
    <d v="2022-07-20T00:00:00"/>
    <n v="5"/>
    <x v="0"/>
    <x v="0"/>
    <x v="0"/>
    <x v="0"/>
  </r>
  <r>
    <s v="Polonia"/>
    <m/>
    <x v="6"/>
    <n v="453102601"/>
    <m/>
    <x v="0"/>
    <m/>
    <x v="3"/>
    <s v=""/>
    <s v=""/>
    <n v="40"/>
    <n v="0"/>
    <n v="0"/>
    <n v="300"/>
    <n v="61"/>
    <n v="7"/>
    <n v="7"/>
    <n v="20"/>
    <n v="7"/>
    <n v="3"/>
    <d v="2022-07-20T00:00:00"/>
    <n v="5"/>
    <x v="0"/>
    <x v="0"/>
    <x v="1"/>
    <x v="0"/>
  </r>
  <r>
    <s v="Polonia"/>
    <m/>
    <x v="6"/>
    <n v="453102601"/>
    <m/>
    <x v="0"/>
    <m/>
    <x v="3"/>
    <s v=""/>
    <s v=""/>
    <n v="40"/>
    <n v="4"/>
    <n v="0"/>
    <n v="300"/>
    <n v="62"/>
    <n v="7"/>
    <n v="7"/>
    <n v="20"/>
    <n v="7"/>
    <n v="3"/>
    <d v="2022-07-20T00:00:00"/>
    <n v="5"/>
    <x v="0"/>
    <x v="0"/>
    <x v="2"/>
    <x v="0"/>
  </r>
  <r>
    <s v="Arabia Saudí"/>
    <m/>
    <x v="7"/>
    <n v="451067371"/>
    <m/>
    <x v="0"/>
    <m/>
    <x v="3"/>
    <s v=""/>
    <s v=""/>
    <n v="40"/>
    <n v="94"/>
    <n v="0"/>
    <n v="300"/>
    <n v="60"/>
    <n v="7"/>
    <n v="7"/>
    <n v="20"/>
    <n v="5"/>
    <n v="2"/>
    <d v="2022-07-23T00:00:00"/>
    <n v="5"/>
    <x v="2"/>
    <x v="0"/>
    <x v="0"/>
    <x v="0"/>
  </r>
  <r>
    <s v="Arabia Saudí"/>
    <m/>
    <x v="7"/>
    <n v="451067371"/>
    <m/>
    <x v="0"/>
    <m/>
    <x v="3"/>
    <s v=""/>
    <s v=""/>
    <n v="40"/>
    <n v="104"/>
    <n v="0"/>
    <n v="300"/>
    <n v="61"/>
    <n v="7"/>
    <n v="7"/>
    <n v="20"/>
    <n v="5"/>
    <n v="2"/>
    <d v="2022-07-23T00:00:00"/>
    <n v="5"/>
    <x v="2"/>
    <x v="0"/>
    <x v="1"/>
    <x v="0"/>
  </r>
  <r>
    <s v="Arabia Saudí"/>
    <m/>
    <x v="7"/>
    <n v="451067371"/>
    <m/>
    <x v="0"/>
    <m/>
    <x v="3"/>
    <s v=""/>
    <s v=""/>
    <n v="40"/>
    <n v="108"/>
    <n v="0"/>
    <n v="300"/>
    <n v="62"/>
    <n v="7"/>
    <n v="7"/>
    <n v="20"/>
    <n v="6"/>
    <n v="2"/>
    <d v="2022-07-23T00:00:00"/>
    <n v="5"/>
    <x v="2"/>
    <x v="0"/>
    <x v="2"/>
    <x v="0"/>
  </r>
  <r>
    <s v="República Checa"/>
    <m/>
    <x v="8"/>
    <n v="436089834"/>
    <m/>
    <x v="3"/>
    <m/>
    <x v="3"/>
    <s v=""/>
    <s v=""/>
    <n v="31"/>
    <n v="8"/>
    <n v="88150"/>
    <n v="33984"/>
    <n v="69"/>
    <n v="11"/>
    <n v="3"/>
    <n v="20"/>
    <n v="6"/>
    <n v="7"/>
    <d v="2022-08-10T00:00:00"/>
    <n v="6"/>
    <x v="0"/>
    <x v="1"/>
    <x v="2"/>
    <x v="1"/>
  </r>
  <r>
    <s v="España"/>
    <n v="6"/>
    <x v="9"/>
    <n v="441463617"/>
    <m/>
    <x v="3"/>
    <m/>
    <x v="3"/>
    <s v=""/>
    <s v=""/>
    <n v="28"/>
    <n v="46"/>
    <n v="235780"/>
    <n v="37660"/>
    <n v="182"/>
    <n v="9"/>
    <n v="5"/>
    <n v="20"/>
    <n v="8"/>
    <n v="8"/>
    <d v="2022-07-27T00:00:00"/>
    <n v="6.5"/>
    <x v="4"/>
    <x v="1"/>
    <x v="0"/>
    <x v="1"/>
  </r>
  <r>
    <s v="Holanda"/>
    <m/>
    <x v="10"/>
    <n v="435688371"/>
    <m/>
    <x v="4"/>
    <m/>
    <x v="3"/>
    <s v=""/>
    <s v=""/>
    <n v="31"/>
    <n v="33"/>
    <n v="89310"/>
    <n v="33036"/>
    <n v="68"/>
    <n v="11"/>
    <n v="2"/>
    <n v="20"/>
    <n v="7"/>
    <n v="7"/>
    <d v="2022-08-06T00:00:00"/>
    <n v="6.5"/>
    <x v="2"/>
    <x v="1"/>
    <x v="1"/>
    <x v="1"/>
  </r>
  <r>
    <s v="Holanda"/>
    <m/>
    <x v="10"/>
    <n v="435688371"/>
    <m/>
    <x v="4"/>
    <m/>
    <x v="3"/>
    <s v=""/>
    <s v=""/>
    <n v="31"/>
    <n v="23"/>
    <n v="88360"/>
    <n v="33036"/>
    <n v="67"/>
    <n v="11"/>
    <n v="2"/>
    <n v="20"/>
    <n v="7"/>
    <n v="7"/>
    <d v="2022-07-27T00:00:00"/>
    <n v="6.5"/>
    <x v="0"/>
    <x v="1"/>
    <x v="0"/>
    <x v="1"/>
  </r>
  <r>
    <s v="Islandia"/>
    <m/>
    <x v="11"/>
    <n v="435449364"/>
    <m/>
    <x v="0"/>
    <m/>
    <x v="3"/>
    <s v=""/>
    <s v=""/>
    <n v="31"/>
    <n v="16"/>
    <n v="97050"/>
    <n v="38052"/>
    <n v="68"/>
    <n v="11"/>
    <n v="5"/>
    <n v="20"/>
    <n v="7"/>
    <n v="7"/>
    <d v="2022-08-06T00:00:00"/>
    <n v="6.5"/>
    <x v="0"/>
    <x v="1"/>
    <x v="1"/>
    <x v="1"/>
  </r>
  <r>
    <s v="España"/>
    <n v="8"/>
    <x v="12"/>
    <n v="442222936"/>
    <m/>
    <x v="3"/>
    <m/>
    <x v="3"/>
    <s v=""/>
    <s v=""/>
    <n v="28"/>
    <n v="25"/>
    <n v="266030"/>
    <n v="61170"/>
    <n v="179"/>
    <n v="11"/>
    <n v="7"/>
    <n v="20"/>
    <n v="6"/>
    <n v="8"/>
    <d v="2022-08-10T00:00:00"/>
    <n v="7"/>
    <x v="5"/>
    <x v="1"/>
    <x v="2"/>
    <x v="1"/>
  </r>
  <r>
    <s v="Rumanía"/>
    <n v="5"/>
    <x v="13"/>
    <n v="442176787"/>
    <m/>
    <x v="3"/>
    <m/>
    <x v="3"/>
    <s v=""/>
    <s v=""/>
    <n v="28"/>
    <n v="57"/>
    <n v="284910"/>
    <n v="50352"/>
    <n v="177"/>
    <n v="9"/>
    <n v="4"/>
    <n v="20"/>
    <n v="8"/>
    <n v="8"/>
    <d v="2022-07-27T00:00:00"/>
    <n v="7"/>
    <x v="4"/>
    <x v="1"/>
    <x v="0"/>
    <x v="1"/>
  </r>
  <r>
    <s v="Rumanía"/>
    <n v="5"/>
    <x v="13"/>
    <n v="442176787"/>
    <m/>
    <x v="3"/>
    <m/>
    <x v="3"/>
    <s v=""/>
    <s v=""/>
    <n v="28"/>
    <n v="67"/>
    <n v="271890"/>
    <n v="50352"/>
    <n v="178"/>
    <n v="9"/>
    <n v="4"/>
    <n v="20"/>
    <n v="7"/>
    <n v="8"/>
    <d v="2022-08-06T00:00:00"/>
    <n v="7"/>
    <x v="3"/>
    <x v="1"/>
    <x v="1"/>
    <x v="1"/>
  </r>
  <r>
    <s v="República Checa"/>
    <m/>
    <x v="8"/>
    <n v="436089834"/>
    <m/>
    <x v="3"/>
    <m/>
    <x v="3"/>
    <s v=""/>
    <s v=""/>
    <n v="30"/>
    <n v="106"/>
    <n v="109350"/>
    <n v="35100"/>
    <n v="67"/>
    <n v="11"/>
    <n v="3"/>
    <n v="20"/>
    <n v="6"/>
    <n v="7"/>
    <d v="2022-07-27T00:00:00"/>
    <n v="7"/>
    <x v="2"/>
    <x v="1"/>
    <x v="0"/>
    <x v="1"/>
  </r>
  <r>
    <s v="República Checa"/>
    <m/>
    <x v="8"/>
    <n v="436089834"/>
    <m/>
    <x v="3"/>
    <m/>
    <x v="3"/>
    <s v=""/>
    <s v=""/>
    <n v="31"/>
    <n v="4"/>
    <n v="86450"/>
    <n v="33984"/>
    <n v="68"/>
    <n v="11"/>
    <n v="3"/>
    <n v="20"/>
    <n v="6"/>
    <n v="7"/>
    <d v="2022-08-06T00:00:00"/>
    <n v="7"/>
    <x v="6"/>
    <x v="1"/>
    <x v="1"/>
    <x v="1"/>
  </r>
  <r>
    <s v="Alemania"/>
    <n v="4"/>
    <x v="14"/>
    <n v="441501946"/>
    <m/>
    <x v="3"/>
    <m/>
    <x v="3"/>
    <s v=""/>
    <s v=""/>
    <n v="28"/>
    <n v="44"/>
    <n v="259970"/>
    <n v="51240"/>
    <n v="177"/>
    <n v="10"/>
    <n v="5"/>
    <n v="20"/>
    <n v="7"/>
    <n v="8"/>
    <d v="2022-07-27T00:00:00"/>
    <n v="7"/>
    <x v="4"/>
    <x v="1"/>
    <x v="0"/>
    <x v="1"/>
  </r>
  <r>
    <s v="Islandia"/>
    <m/>
    <x v="11"/>
    <n v="435449364"/>
    <m/>
    <x v="0"/>
    <m/>
    <x v="3"/>
    <s v=""/>
    <s v=""/>
    <n v="31"/>
    <n v="6"/>
    <n v="95930"/>
    <n v="38052"/>
    <n v="67"/>
    <n v="11"/>
    <n v="5"/>
    <n v="20"/>
    <n v="7"/>
    <n v="7"/>
    <d v="2022-07-27T00:00:00"/>
    <n v="7"/>
    <x v="6"/>
    <x v="1"/>
    <x v="0"/>
    <x v="1"/>
  </r>
  <r>
    <s v="Islandia"/>
    <m/>
    <x v="11"/>
    <n v="435449364"/>
    <m/>
    <x v="0"/>
    <m/>
    <x v="3"/>
    <s v=""/>
    <s v=""/>
    <n v="31"/>
    <n v="20"/>
    <n v="97800"/>
    <n v="38052"/>
    <n v="69"/>
    <n v="11"/>
    <n v="5"/>
    <n v="20"/>
    <n v="7"/>
    <n v="7"/>
    <d v="2022-08-10T00:00:00"/>
    <n v="7"/>
    <x v="6"/>
    <x v="1"/>
    <x v="2"/>
    <x v="1"/>
  </r>
  <r>
    <s v="Suiza"/>
    <m/>
    <x v="15"/>
    <n v="434933625"/>
    <m/>
    <x v="0"/>
    <m/>
    <x v="3"/>
    <s v=""/>
    <s v=""/>
    <n v="31"/>
    <n v="32"/>
    <n v="63030"/>
    <n v="24348"/>
    <n v="68"/>
    <n v="11"/>
    <n v="3"/>
    <n v="20"/>
    <n v="6"/>
    <n v="7"/>
    <d v="2022-08-06T00:00:00"/>
    <n v="7.5"/>
    <x v="5"/>
    <x v="1"/>
    <x v="1"/>
    <x v="1"/>
  </r>
  <r>
    <s v="Suiza"/>
    <m/>
    <x v="15"/>
    <n v="434933625"/>
    <m/>
    <x v="0"/>
    <m/>
    <x v="3"/>
    <s v=""/>
    <s v=""/>
    <n v="31"/>
    <n v="22"/>
    <n v="60950"/>
    <n v="24348"/>
    <n v="66"/>
    <n v="11"/>
    <n v="3"/>
    <n v="20"/>
    <n v="6"/>
    <n v="7"/>
    <d v="2022-07-23T00:00:00"/>
    <n v="7.5"/>
    <x v="0"/>
    <x v="1"/>
    <x v="0"/>
    <x v="1"/>
  </r>
  <r>
    <s v="Azerbaiyán"/>
    <n v="10"/>
    <x v="16"/>
    <n v="441405607"/>
    <m/>
    <x v="3"/>
    <m/>
    <x v="3"/>
    <s v=""/>
    <s v=""/>
    <n v="28"/>
    <n v="49"/>
    <n v="294780"/>
    <n v="64608"/>
    <n v="182"/>
    <n v="14"/>
    <n v="2"/>
    <n v="20"/>
    <n v="6"/>
    <n v="8"/>
    <d v="2022-07-27T00:00:00"/>
    <n v="7.5"/>
    <x v="7"/>
    <x v="1"/>
    <x v="0"/>
    <x v="1"/>
  </r>
  <r>
    <s v="Suiza"/>
    <m/>
    <x v="15"/>
    <n v="434933625"/>
    <m/>
    <x v="0"/>
    <m/>
    <x v="3"/>
    <s v=""/>
    <s v=""/>
    <n v="31"/>
    <n v="36"/>
    <n v="62370"/>
    <n v="24348"/>
    <n v="68"/>
    <n v="11"/>
    <n v="3"/>
    <n v="20"/>
    <n v="6"/>
    <n v="7"/>
    <d v="2022-08-10T00:00:00"/>
    <n v="8"/>
    <x v="0"/>
    <x v="1"/>
    <x v="2"/>
    <x v="1"/>
  </r>
  <r>
    <s v="Letonia"/>
    <m/>
    <x v="3"/>
    <n v="431224460"/>
    <m/>
    <x v="0"/>
    <m/>
    <x v="3"/>
    <s v=""/>
    <s v=""/>
    <n v="32"/>
    <n v="107"/>
    <n v="67700"/>
    <n v="26796"/>
    <n v="17"/>
    <n v="11"/>
    <n v="3"/>
    <n v="12"/>
    <n v="7"/>
    <n v="6"/>
    <d v="2022-07-23T00:00:00"/>
    <n v="8"/>
    <x v="7"/>
    <x v="1"/>
    <x v="0"/>
    <x v="1"/>
  </r>
  <r>
    <s v="Polonia"/>
    <m/>
    <x v="17"/>
    <n v="438527029"/>
    <m/>
    <x v="0"/>
    <m/>
    <x v="2"/>
    <s v=""/>
    <s v=""/>
    <n v="30"/>
    <n v="50"/>
    <n v="82670"/>
    <n v="34080"/>
    <n v="47"/>
    <n v="7"/>
    <n v="6"/>
    <n v="19"/>
    <n v="6"/>
    <n v="7"/>
    <d v="2022-08-06T00:00:00"/>
    <n v="8"/>
    <x v="1"/>
    <x v="1"/>
    <x v="1"/>
    <x v="2"/>
  </r>
  <r>
    <s v="Polonia"/>
    <m/>
    <x v="17"/>
    <n v="438527029"/>
    <m/>
    <x v="0"/>
    <m/>
    <x v="2"/>
    <s v=""/>
    <s v=""/>
    <n v="30"/>
    <n v="54"/>
    <n v="71380"/>
    <n v="34080"/>
    <n v="48"/>
    <n v="7"/>
    <n v="6"/>
    <n v="20"/>
    <n v="6"/>
    <n v="7"/>
    <d v="2022-08-06T00:00:00"/>
    <n v="8"/>
    <x v="1"/>
    <x v="1"/>
    <x v="2"/>
    <x v="2"/>
  </r>
  <r>
    <s v="España"/>
    <n v="6"/>
    <x v="9"/>
    <n v="441463617"/>
    <m/>
    <x v="3"/>
    <m/>
    <x v="3"/>
    <s v=""/>
    <s v=""/>
    <n v="28"/>
    <n v="56"/>
    <n v="218520"/>
    <n v="37660"/>
    <n v="183"/>
    <n v="9"/>
    <n v="5"/>
    <n v="20"/>
    <n v="6"/>
    <n v="8"/>
    <d v="2022-08-06T00:00:00"/>
    <n v="8"/>
    <x v="0"/>
    <x v="1"/>
    <x v="1"/>
    <x v="1"/>
  </r>
  <r>
    <s v="Alemania"/>
    <n v="4"/>
    <x v="14"/>
    <n v="441501946"/>
    <m/>
    <x v="3"/>
    <m/>
    <x v="3"/>
    <s v=""/>
    <s v=""/>
    <n v="28"/>
    <n v="54"/>
    <n v="272510"/>
    <n v="51240"/>
    <n v="178"/>
    <n v="10"/>
    <n v="5"/>
    <n v="20"/>
    <n v="7"/>
    <n v="8"/>
    <d v="2022-08-06T00:00:00"/>
    <n v="8"/>
    <x v="0"/>
    <x v="1"/>
    <x v="1"/>
    <x v="1"/>
  </r>
  <r>
    <s v="España"/>
    <n v="8"/>
    <x v="12"/>
    <n v="442222936"/>
    <m/>
    <x v="3"/>
    <m/>
    <x v="3"/>
    <s v=""/>
    <s v=""/>
    <n v="28"/>
    <n v="11"/>
    <n v="245390"/>
    <n v="61170"/>
    <n v="177"/>
    <n v="11"/>
    <n v="7"/>
    <n v="20"/>
    <n v="5"/>
    <n v="8"/>
    <d v="2022-07-27T00:00:00"/>
    <n v="8.5"/>
    <x v="7"/>
    <x v="1"/>
    <x v="0"/>
    <x v="1"/>
  </r>
  <r>
    <s v="Polonia"/>
    <m/>
    <x v="17"/>
    <n v="438527029"/>
    <m/>
    <x v="0"/>
    <m/>
    <x v="3"/>
    <s v=""/>
    <s v=""/>
    <n v="30"/>
    <n v="40"/>
    <n v="86400"/>
    <n v="34080"/>
    <n v="46"/>
    <n v="7"/>
    <n v="6"/>
    <n v="19"/>
    <n v="6"/>
    <n v="7"/>
    <d v="2022-07-27T00:00:00"/>
    <n v="8.5"/>
    <x v="1"/>
    <x v="1"/>
    <x v="0"/>
    <x v="2"/>
  </r>
  <r>
    <s v="España"/>
    <n v="8"/>
    <x v="12"/>
    <n v="442222936"/>
    <m/>
    <x v="3"/>
    <m/>
    <x v="3"/>
    <s v=""/>
    <s v=""/>
    <n v="28"/>
    <n v="21"/>
    <n v="273360"/>
    <n v="61170"/>
    <n v="178"/>
    <n v="11"/>
    <n v="7"/>
    <n v="20"/>
    <n v="6"/>
    <n v="8"/>
    <d v="2022-08-06T00:00:00"/>
    <n v="9"/>
    <x v="7"/>
    <x v="1"/>
    <x v="1"/>
    <x v="1"/>
  </r>
  <r>
    <s v="España"/>
    <n v="6"/>
    <x v="9"/>
    <n v="441463617"/>
    <m/>
    <x v="3"/>
    <m/>
    <x v="3"/>
    <s v=""/>
    <s v=""/>
    <n v="28"/>
    <n v="60"/>
    <n v="231250"/>
    <n v="37660"/>
    <n v="184"/>
    <n v="9"/>
    <n v="5"/>
    <n v="20"/>
    <n v="7"/>
    <n v="8"/>
    <d v="2022-08-10T00:00:00"/>
    <n v="9"/>
    <x v="7"/>
    <x v="1"/>
    <x v="2"/>
    <x v="1"/>
  </r>
  <r>
    <s v="Azerbaiyán"/>
    <n v="10"/>
    <x v="16"/>
    <n v="441405607"/>
    <m/>
    <x v="3"/>
    <m/>
    <x v="2"/>
    <s v=""/>
    <s v=""/>
    <n v="28"/>
    <n v="59"/>
    <n v="295170"/>
    <n v="64608"/>
    <n v="183"/>
    <n v="14"/>
    <n v="2"/>
    <n v="20"/>
    <n v="6"/>
    <n v="8"/>
    <d v="2022-08-06T00:00:00"/>
    <n v="9"/>
    <x v="7"/>
    <x v="1"/>
    <x v="1"/>
    <x v="1"/>
  </r>
  <r>
    <s v="Azerbaiyán"/>
    <n v="10"/>
    <x v="16"/>
    <n v="441405607"/>
    <m/>
    <x v="3"/>
    <m/>
    <x v="3"/>
    <s v=""/>
    <s v=""/>
    <n v="28"/>
    <n v="63"/>
    <n v="303280"/>
    <n v="64608"/>
    <n v="184"/>
    <n v="14"/>
    <n v="2"/>
    <n v="20"/>
    <n v="7"/>
    <n v="8"/>
    <d v="2022-08-06T00:00:00"/>
    <n v="9"/>
    <x v="7"/>
    <x v="1"/>
    <x v="2"/>
    <x v="1"/>
  </r>
  <r>
    <s v="Rumanía"/>
    <n v="5"/>
    <x v="13"/>
    <n v="442176787"/>
    <m/>
    <x v="3"/>
    <m/>
    <x v="3"/>
    <s v=""/>
    <s v=""/>
    <n v="28"/>
    <n v="71"/>
    <n v="263560"/>
    <n v="50352"/>
    <n v="179"/>
    <n v="9"/>
    <n v="4"/>
    <n v="20"/>
    <n v="6"/>
    <n v="8"/>
    <d v="2022-08-10T00:00:00"/>
    <n v="10"/>
    <x v="7"/>
    <x v="1"/>
    <x v="2"/>
    <x v="1"/>
  </r>
  <r>
    <s v="Argentina"/>
    <n v="11"/>
    <x v="18"/>
    <n v="442222377"/>
    <m/>
    <x v="3"/>
    <m/>
    <x v="3"/>
    <s v=""/>
    <s v=""/>
    <n v="28"/>
    <n v="21"/>
    <n v="302680"/>
    <n v="71364"/>
    <n v="178"/>
    <n v="11"/>
    <n v="6"/>
    <n v="20"/>
    <n v="7"/>
    <n v="8"/>
    <d v="2022-08-06T00:00:00"/>
    <n v="10"/>
    <x v="7"/>
    <x v="1"/>
    <x v="1"/>
    <x v="1"/>
  </r>
  <r>
    <s v="Argentina"/>
    <n v="11"/>
    <x v="18"/>
    <n v="442222377"/>
    <m/>
    <x v="3"/>
    <m/>
    <x v="3"/>
    <s v=""/>
    <s v=""/>
    <n v="28"/>
    <n v="11"/>
    <n v="308240"/>
    <n v="71364"/>
    <n v="177"/>
    <n v="11"/>
    <n v="6"/>
    <n v="20"/>
    <n v="8"/>
    <n v="8"/>
    <d v="2022-07-27T00:00:00"/>
    <n v="10.5"/>
    <x v="7"/>
    <x v="1"/>
    <x v="0"/>
    <x v="1"/>
  </r>
  <r>
    <s v="Italia"/>
    <m/>
    <x v="2"/>
    <n v="422339587"/>
    <n v="1"/>
    <x v="0"/>
    <m/>
    <x v="3"/>
    <s v=""/>
    <s v=""/>
    <n v="36"/>
    <n v="9"/>
    <n v="320"/>
    <n v="492"/>
    <n v="62"/>
    <n v="8"/>
    <n v="7"/>
    <n v="20"/>
    <n v="6"/>
    <n v="5"/>
    <d v="2022-07-27T00:00:00"/>
    <n v="1.5"/>
    <x v="0"/>
    <x v="0"/>
    <x v="2"/>
    <x v="0"/>
  </r>
  <r>
    <s v="España"/>
    <m/>
    <x v="4"/>
    <n v="468907924"/>
    <m/>
    <x v="1"/>
    <n v="1"/>
    <x v="3"/>
    <s v=""/>
    <s v=""/>
    <n v="18"/>
    <n v="7"/>
    <n v="410"/>
    <n v="310"/>
    <n v="15"/>
    <n v="1"/>
    <n v="4"/>
    <n v="20"/>
    <n v="6"/>
    <n v="7"/>
    <d v="2022-08-10T00:00:00"/>
    <n v="1.5"/>
    <x v="1"/>
    <x v="0"/>
    <x v="2"/>
    <x v="0"/>
  </r>
  <r>
    <s v="Letonia"/>
    <m/>
    <x v="3"/>
    <n v="431224460"/>
    <m/>
    <x v="0"/>
    <m/>
    <x v="3"/>
    <s v=""/>
    <s v=""/>
    <n v="33"/>
    <n v="9"/>
    <n v="45470"/>
    <n v="22464"/>
    <n v="19"/>
    <n v="11"/>
    <n v="3"/>
    <n v="13"/>
    <n v="7"/>
    <n v="6"/>
    <d v="2022-08-10T00:00:00"/>
    <n v="6.5"/>
    <x v="2"/>
    <x v="1"/>
    <x v="2"/>
    <x v="1"/>
  </r>
  <r>
    <s v="Holanda"/>
    <m/>
    <x v="10"/>
    <n v="435688371"/>
    <m/>
    <x v="4"/>
    <m/>
    <x v="3"/>
    <s v=""/>
    <s v=""/>
    <n v="31"/>
    <n v="37"/>
    <n v="82900"/>
    <n v="33036"/>
    <n v="69"/>
    <n v="11"/>
    <n v="2"/>
    <n v="20"/>
    <n v="6"/>
    <n v="7"/>
    <d v="2022-08-10T00:00:00"/>
    <n v="6.5"/>
    <x v="0"/>
    <x v="1"/>
    <x v="2"/>
    <x v="1"/>
  </r>
  <r>
    <s v="Argentina"/>
    <n v="11"/>
    <x v="18"/>
    <n v="442222377"/>
    <m/>
    <x v="3"/>
    <m/>
    <x v="3"/>
    <s v=""/>
    <s v=""/>
    <n v="28"/>
    <n v="25"/>
    <n v="299730"/>
    <n v="71364"/>
    <n v="179"/>
    <n v="11"/>
    <n v="6"/>
    <n v="20"/>
    <n v="7"/>
    <n v="8"/>
    <d v="2022-08-10T00:00:00"/>
    <n v="7.5"/>
    <x v="3"/>
    <x v="1"/>
    <x v="2"/>
    <x v="1"/>
  </r>
  <r>
    <s v="Alemania"/>
    <n v="4"/>
    <x v="14"/>
    <n v="441501946"/>
    <m/>
    <x v="3"/>
    <m/>
    <x v="3"/>
    <s v=""/>
    <s v=""/>
    <n v="28"/>
    <n v="58"/>
    <n v="281760"/>
    <n v="51240"/>
    <n v="179"/>
    <n v="10"/>
    <n v="5"/>
    <n v="20"/>
    <n v="7"/>
    <n v="8"/>
    <d v="2022-08-10T00:00:00"/>
    <n v="9.5"/>
    <x v="7"/>
    <x v="1"/>
    <x v="2"/>
    <x v="1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  <r>
    <m/>
    <m/>
    <x v="19"/>
    <m/>
    <m/>
    <x v="5"/>
    <m/>
    <x v="3"/>
    <m/>
    <m/>
    <m/>
    <m/>
    <m/>
    <m/>
    <m/>
    <m/>
    <m/>
    <m/>
    <m/>
    <m/>
    <m/>
    <m/>
    <x v="8"/>
    <x v="2"/>
    <x v="3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España"/>
    <n v="5"/>
    <x v="0"/>
    <n v="428964423"/>
    <m/>
    <x v="0"/>
    <n v="1"/>
    <s v=""/>
    <m/>
    <s v=""/>
    <n v="33"/>
    <n v="91"/>
    <n v="93850"/>
    <n v="30090"/>
    <n v="269"/>
    <n v="14"/>
    <n v="3"/>
    <n v="20"/>
    <n v="7"/>
    <n v="8"/>
    <d v="2022-09-14T00:00:00"/>
    <n v="11.5"/>
    <x v="0"/>
    <x v="0"/>
    <x v="0"/>
    <x v="0"/>
  </r>
  <r>
    <s v="España"/>
    <n v="6"/>
    <x v="1"/>
    <n v="425551707"/>
    <m/>
    <x v="1"/>
    <n v="1"/>
    <s v=""/>
    <m/>
    <s v=""/>
    <n v="35"/>
    <n v="44"/>
    <n v="37930"/>
    <n v="15350"/>
    <n v="294"/>
    <n v="15"/>
    <n v="4"/>
    <n v="20"/>
    <n v="7"/>
    <n v="7"/>
    <d v="2022-09-14T00:00:00"/>
    <n v="10.5"/>
    <x v="0"/>
    <x v="0"/>
    <x v="0"/>
    <x v="1"/>
  </r>
  <r>
    <s v="España"/>
    <m/>
    <x v="2"/>
    <n v="436695906"/>
    <m/>
    <x v="2"/>
    <m/>
    <s v=""/>
    <m/>
    <s v=""/>
    <n v="31"/>
    <n v="65"/>
    <n v="46230"/>
    <n v="14170"/>
    <n v="151"/>
    <n v="10"/>
    <n v="5"/>
    <n v="20"/>
    <n v="6"/>
    <n v="8"/>
    <d v="2022-09-03T00:00:00"/>
    <n v="9.5"/>
    <x v="1"/>
    <x v="0"/>
    <x v="0"/>
    <x v="2"/>
  </r>
  <r>
    <s v="España"/>
    <m/>
    <x v="3"/>
    <n v="425348003"/>
    <m/>
    <x v="2"/>
    <m/>
    <s v=""/>
    <m/>
    <s v=""/>
    <n v="35"/>
    <n v="54"/>
    <n v="12390"/>
    <n v="9570"/>
    <n v="181"/>
    <n v="13"/>
    <n v="2"/>
    <n v="20"/>
    <n v="3"/>
    <n v="5"/>
    <d v="2022-08-10T00:00:00"/>
    <n v="9.5"/>
    <x v="2"/>
    <x v="0"/>
    <x v="0"/>
    <x v="3"/>
  </r>
  <r>
    <s v="Brasil"/>
    <m/>
    <x v="4"/>
    <n v="431152208"/>
    <m/>
    <x v="3"/>
    <m/>
    <s v=""/>
    <n v="1"/>
    <s v=""/>
    <n v="33"/>
    <n v="16"/>
    <n v="29590"/>
    <n v="12096"/>
    <n v="27"/>
    <n v="11"/>
    <n v="5"/>
    <n v="15"/>
    <n v="7"/>
    <n v="7"/>
    <d v="2022-09-07T00:00:00"/>
    <n v="9.5"/>
    <x v="1"/>
    <x v="0"/>
    <x v="0"/>
    <x v="2"/>
  </r>
  <r>
    <s v="España"/>
    <m/>
    <x v="5"/>
    <n v="425763529"/>
    <m/>
    <x v="0"/>
    <m/>
    <s v=""/>
    <m/>
    <s v=""/>
    <n v="35"/>
    <n v="35"/>
    <n v="6380"/>
    <n v="6800"/>
    <n v="201"/>
    <n v="14"/>
    <n v="5"/>
    <n v="20"/>
    <n v="7"/>
    <n v="7"/>
    <d v="2022-09-14T00:00:00"/>
    <n v="8.5"/>
    <x v="3"/>
    <x v="1"/>
    <x v="0"/>
    <x v="4"/>
  </r>
  <r>
    <s v="España"/>
    <m/>
    <x v="6"/>
    <n v="435294829"/>
    <m/>
    <x v="2"/>
    <m/>
    <s v=""/>
    <n v="1"/>
    <s v=""/>
    <n v="32"/>
    <n v="6"/>
    <n v="43130"/>
    <n v="7390"/>
    <n v="182"/>
    <n v="8"/>
    <n v="1"/>
    <n v="20"/>
    <n v="5"/>
    <n v="8"/>
    <d v="2022-09-14T00:00:00"/>
    <n v="8.5"/>
    <x v="2"/>
    <x v="0"/>
    <x v="0"/>
    <x v="3"/>
  </r>
  <r>
    <s v="Suiza"/>
    <m/>
    <x v="7"/>
    <n v="439421251"/>
    <m/>
    <x v="3"/>
    <m/>
    <s v=""/>
    <m/>
    <s v=""/>
    <n v="29"/>
    <n v="78"/>
    <n v="37830"/>
    <n v="14772"/>
    <n v="83"/>
    <n v="8"/>
    <n v="3"/>
    <n v="20"/>
    <n v="6"/>
    <n v="8"/>
    <d v="2022-08-24T00:00:00"/>
    <n v="7.5"/>
    <x v="3"/>
    <x v="0"/>
    <x v="0"/>
    <x v="4"/>
  </r>
  <r>
    <s v="España"/>
    <n v="1"/>
    <x v="8"/>
    <n v="424047074"/>
    <m/>
    <x v="4"/>
    <n v="1"/>
    <s v=""/>
    <m/>
    <s v=""/>
    <n v="35"/>
    <n v="91"/>
    <n v="26780"/>
    <n v="12430"/>
    <n v="300"/>
    <n v="16"/>
    <n v="3"/>
    <n v="20"/>
    <n v="5"/>
    <n v="7"/>
    <d v="2022-09-14T00:00:00"/>
    <n v="7.5"/>
    <x v="4"/>
    <x v="0"/>
    <x v="0"/>
    <x v="1"/>
  </r>
  <r>
    <s v="España"/>
    <m/>
    <x v="9"/>
    <n v="435350188"/>
    <m/>
    <x v="1"/>
    <n v="1"/>
    <s v=""/>
    <m/>
    <s v=""/>
    <n v="31"/>
    <n v="58"/>
    <n v="108660"/>
    <n v="22560"/>
    <n v="232"/>
    <n v="12"/>
    <n v="6"/>
    <n v="20"/>
    <n v="6"/>
    <n v="8"/>
    <d v="2022-09-14T00:00:00"/>
    <n v="7.5"/>
    <x v="5"/>
    <x v="0"/>
    <x v="0"/>
    <x v="0"/>
  </r>
  <r>
    <s v="España"/>
    <m/>
    <x v="10"/>
    <n v="431230656"/>
    <m/>
    <x v="4"/>
    <m/>
    <s v=""/>
    <m/>
    <s v=""/>
    <n v="33"/>
    <n v="51"/>
    <n v="14190"/>
    <n v="12170"/>
    <n v="121"/>
    <n v="8"/>
    <n v="3"/>
    <n v="20"/>
    <n v="6"/>
    <n v="7"/>
    <d v="2022-08-20T00:00:00"/>
    <n v="4.5"/>
    <x v="6"/>
    <x v="0"/>
    <x v="0"/>
    <x v="5"/>
  </r>
  <r>
    <s v="España"/>
    <m/>
    <x v="11"/>
    <n v="461786415"/>
    <m/>
    <x v="2"/>
    <n v="1"/>
    <s v=""/>
    <m/>
    <s v=""/>
    <n v="20"/>
    <n v="78"/>
    <n v="4690"/>
    <n v="1270"/>
    <n v="57"/>
    <n v="2"/>
    <n v="2"/>
    <n v="20"/>
    <n v="4"/>
    <n v="8"/>
    <d v="2022-07-23T00:00:00"/>
    <n v="4.5"/>
    <x v="0"/>
    <x v="1"/>
    <x v="0"/>
    <x v="6"/>
  </r>
  <r>
    <s v="España"/>
    <m/>
    <x v="12"/>
    <n v="442335004"/>
    <m/>
    <x v="1"/>
    <m/>
    <s v=""/>
    <m/>
    <s v=""/>
    <n v="28"/>
    <n v="78"/>
    <n v="85730"/>
    <n v="35480"/>
    <n v="121"/>
    <n v="4"/>
    <n v="4"/>
    <n v="20"/>
    <n v="6"/>
    <n v="8"/>
    <d v="2022-07-23T00:00:00"/>
    <n v="2.5"/>
    <x v="6"/>
    <x v="0"/>
    <x v="0"/>
    <x v="7"/>
  </r>
  <r>
    <s v="España"/>
    <m/>
    <x v="9"/>
    <n v="435350188"/>
    <m/>
    <x v="1"/>
    <n v="1"/>
    <m/>
    <m/>
    <s v=""/>
    <n v="31"/>
    <n v="9"/>
    <n v="129900"/>
    <n v="22560"/>
    <n v="225"/>
    <n v="11"/>
    <n v="6"/>
    <n v="20"/>
    <n v="8"/>
    <n v="8"/>
    <d v="2022-07-27T00:00:00"/>
    <n v="11"/>
    <x v="0"/>
    <x v="0"/>
    <x v="1"/>
    <x v="0"/>
  </r>
  <r>
    <s v="España"/>
    <n v="5"/>
    <x v="0"/>
    <n v="428964423"/>
    <m/>
    <x v="0"/>
    <n v="1"/>
    <m/>
    <m/>
    <s v=""/>
    <n v="33"/>
    <n v="42"/>
    <n v="92060"/>
    <n v="30090"/>
    <n v="262"/>
    <n v="14"/>
    <n v="3"/>
    <n v="20"/>
    <n v="7"/>
    <n v="8"/>
    <d v="2022-07-23T00:00:00"/>
    <n v="11"/>
    <x v="0"/>
    <x v="0"/>
    <x v="1"/>
    <x v="0"/>
  </r>
  <r>
    <s v="España"/>
    <n v="5"/>
    <x v="0"/>
    <n v="428964423"/>
    <m/>
    <x v="0"/>
    <n v="1"/>
    <m/>
    <m/>
    <s v=""/>
    <n v="33"/>
    <n v="87"/>
    <n v="90540"/>
    <n v="30090"/>
    <n v="268"/>
    <n v="14"/>
    <n v="3"/>
    <n v="20"/>
    <n v="7"/>
    <n v="8"/>
    <d v="2022-09-10T00:00:00"/>
    <n v="11"/>
    <x v="0"/>
    <x v="0"/>
    <x v="2"/>
    <x v="0"/>
  </r>
  <r>
    <s v="España"/>
    <n v="3"/>
    <x v="13"/>
    <n v="424287978"/>
    <m/>
    <x v="4"/>
    <n v="1"/>
    <s v=""/>
    <n v="1"/>
    <s v=""/>
    <n v="35"/>
    <n v="73"/>
    <n v="31920"/>
    <n v="12630"/>
    <n v="298"/>
    <n v="15"/>
    <n v="4"/>
    <n v="20"/>
    <n v="6"/>
    <n v="7"/>
    <d v="2022-09-14T00:00:00"/>
    <n v="11"/>
    <x v="0"/>
    <x v="0"/>
    <x v="0"/>
    <x v="1"/>
  </r>
  <r>
    <s v="España"/>
    <m/>
    <x v="14"/>
    <n v="432169917"/>
    <m/>
    <x v="2"/>
    <m/>
    <m/>
    <m/>
    <s v=""/>
    <n v="32"/>
    <n v="27"/>
    <n v="50380"/>
    <n v="12620"/>
    <n v="159"/>
    <n v="11"/>
    <n v="5"/>
    <n v="20"/>
    <n v="7"/>
    <n v="8"/>
    <d v="2022-07-27T00:00:00"/>
    <n v="11"/>
    <x v="1"/>
    <x v="0"/>
    <x v="1"/>
    <x v="2"/>
  </r>
  <r>
    <s v="España"/>
    <m/>
    <x v="14"/>
    <n v="432169917"/>
    <m/>
    <x v="2"/>
    <m/>
    <m/>
    <m/>
    <s v=""/>
    <n v="32"/>
    <n v="72"/>
    <n v="48580"/>
    <n v="12620"/>
    <n v="166"/>
    <n v="12"/>
    <n v="5"/>
    <n v="20"/>
    <n v="7"/>
    <n v="8"/>
    <d v="2022-09-10T00:00:00"/>
    <n v="11"/>
    <x v="1"/>
    <x v="0"/>
    <x v="2"/>
    <x v="2"/>
  </r>
  <r>
    <s v="España"/>
    <m/>
    <x v="14"/>
    <n v="432169917"/>
    <m/>
    <x v="2"/>
    <m/>
    <s v=""/>
    <m/>
    <s v=""/>
    <n v="32"/>
    <n v="76"/>
    <n v="49400"/>
    <n v="12620"/>
    <n v="166"/>
    <n v="12"/>
    <n v="5"/>
    <n v="20"/>
    <n v="8"/>
    <n v="8"/>
    <d v="2022-09-14T00:00:00"/>
    <n v="11"/>
    <x v="1"/>
    <x v="0"/>
    <x v="0"/>
    <x v="2"/>
  </r>
  <r>
    <s v="Italia"/>
    <m/>
    <x v="15"/>
    <n v="435816080"/>
    <m/>
    <x v="1"/>
    <m/>
    <m/>
    <m/>
    <m/>
    <n v="30"/>
    <n v="105"/>
    <n v="257810"/>
    <n v="37752"/>
    <n v="88"/>
    <n v="12"/>
    <n v="4"/>
    <n v="20"/>
    <n v="8"/>
    <n v="8"/>
    <d v="2022-08-10T00:00:00"/>
    <n v="10.5"/>
    <x v="0"/>
    <x v="0"/>
    <x v="3"/>
    <x v="7"/>
  </r>
  <r>
    <s v="España"/>
    <n v="1"/>
    <x v="8"/>
    <n v="424047074"/>
    <m/>
    <x v="4"/>
    <n v="1"/>
    <m/>
    <m/>
    <m/>
    <n v="35"/>
    <n v="55"/>
    <n v="34690"/>
    <n v="12430"/>
    <n v="295"/>
    <n v="15"/>
    <n v="3"/>
    <n v="20"/>
    <n v="8"/>
    <n v="7"/>
    <d v="2022-08-06T00:00:00"/>
    <n v="10.5"/>
    <x v="0"/>
    <x v="0"/>
    <x v="3"/>
    <x v="1"/>
  </r>
  <r>
    <s v="España"/>
    <m/>
    <x v="16"/>
    <n v="437682998"/>
    <m/>
    <x v="2"/>
    <n v="1"/>
    <m/>
    <m/>
    <s v=""/>
    <n v="29"/>
    <n v="104"/>
    <n v="166600"/>
    <n v="17260"/>
    <n v="206"/>
    <n v="12"/>
    <n v="4"/>
    <n v="20"/>
    <n v="8"/>
    <n v="8"/>
    <d v="2022-07-27T00:00:00"/>
    <n v="10.5"/>
    <x v="0"/>
    <x v="0"/>
    <x v="1"/>
    <x v="0"/>
  </r>
  <r>
    <s v="España"/>
    <n v="6"/>
    <x v="1"/>
    <n v="425551707"/>
    <m/>
    <x v="1"/>
    <n v="1"/>
    <m/>
    <m/>
    <s v=""/>
    <n v="35"/>
    <n v="40"/>
    <n v="38070"/>
    <n v="15350"/>
    <n v="293"/>
    <n v="15"/>
    <n v="4"/>
    <n v="20"/>
    <n v="7"/>
    <n v="7"/>
    <d v="2022-09-10T00:00:00"/>
    <n v="10"/>
    <x v="0"/>
    <x v="0"/>
    <x v="2"/>
    <x v="1"/>
  </r>
  <r>
    <s v="España"/>
    <n v="3"/>
    <x v="13"/>
    <n v="424287978"/>
    <m/>
    <x v="4"/>
    <n v="1"/>
    <m/>
    <n v="1"/>
    <s v=""/>
    <n v="35"/>
    <n v="69"/>
    <n v="34370"/>
    <n v="12630"/>
    <n v="297"/>
    <n v="14"/>
    <n v="4"/>
    <n v="20"/>
    <n v="8"/>
    <n v="7"/>
    <d v="2022-09-10T00:00:00"/>
    <n v="10"/>
    <x v="0"/>
    <x v="0"/>
    <x v="2"/>
    <x v="1"/>
  </r>
  <r>
    <s v="España"/>
    <m/>
    <x v="14"/>
    <n v="432169917"/>
    <m/>
    <x v="2"/>
    <m/>
    <m/>
    <m/>
    <m/>
    <n v="32"/>
    <n v="40"/>
    <n v="46730"/>
    <n v="12620"/>
    <n v="161"/>
    <n v="12"/>
    <n v="5"/>
    <n v="20"/>
    <n v="6"/>
    <n v="8"/>
    <d v="2022-08-10T00:00:00"/>
    <n v="10"/>
    <x v="1"/>
    <x v="0"/>
    <x v="3"/>
    <x v="2"/>
  </r>
  <r>
    <s v="España"/>
    <m/>
    <x v="16"/>
    <n v="437682998"/>
    <m/>
    <x v="2"/>
    <n v="1"/>
    <m/>
    <m/>
    <m/>
    <n v="30"/>
    <n v="5"/>
    <n v="140300"/>
    <n v="19050"/>
    <n v="208"/>
    <n v="12"/>
    <n v="4"/>
    <n v="20"/>
    <n v="8"/>
    <n v="8"/>
    <d v="2022-08-10T00:00:00"/>
    <n v="10"/>
    <x v="0"/>
    <x v="0"/>
    <x v="3"/>
    <x v="0"/>
  </r>
  <r>
    <s v="España"/>
    <m/>
    <x v="2"/>
    <n v="436695906"/>
    <m/>
    <x v="2"/>
    <m/>
    <m/>
    <m/>
    <s v=""/>
    <n v="31"/>
    <n v="61"/>
    <n v="47180"/>
    <n v="14170"/>
    <n v="150"/>
    <n v="10"/>
    <n v="5"/>
    <n v="20"/>
    <n v="6"/>
    <n v="8"/>
    <d v="2022-09-03T00:00:00"/>
    <n v="9.5"/>
    <x v="1"/>
    <x v="0"/>
    <x v="2"/>
    <x v="2"/>
  </r>
  <r>
    <s v="España"/>
    <n v="6"/>
    <x v="1"/>
    <n v="425551707"/>
    <m/>
    <x v="1"/>
    <n v="1"/>
    <m/>
    <m/>
    <m/>
    <n v="35"/>
    <n v="8"/>
    <n v="42380"/>
    <n v="15350"/>
    <n v="289"/>
    <n v="14"/>
    <n v="4"/>
    <n v="20"/>
    <n v="7"/>
    <n v="7"/>
    <d v="2022-08-10T00:00:00"/>
    <n v="9.5"/>
    <x v="6"/>
    <x v="0"/>
    <x v="3"/>
    <x v="1"/>
  </r>
  <r>
    <s v="España"/>
    <n v="5"/>
    <x v="0"/>
    <n v="428964423"/>
    <m/>
    <x v="0"/>
    <n v="1"/>
    <m/>
    <m/>
    <m/>
    <n v="33"/>
    <n v="55"/>
    <n v="90480"/>
    <n v="30090"/>
    <n v="263"/>
    <n v="14"/>
    <n v="3"/>
    <n v="20"/>
    <n v="7"/>
    <n v="8"/>
    <d v="2022-08-10T00:00:00"/>
    <n v="9.5"/>
    <x v="6"/>
    <x v="0"/>
    <x v="3"/>
    <x v="0"/>
  </r>
  <r>
    <s v="España"/>
    <m/>
    <x v="3"/>
    <n v="425348003"/>
    <m/>
    <x v="2"/>
    <m/>
    <n v="5"/>
    <m/>
    <m/>
    <n v="35"/>
    <n v="18"/>
    <n v="18170"/>
    <n v="9570"/>
    <n v="176"/>
    <n v="13"/>
    <n v="2"/>
    <n v="20"/>
    <n v="7"/>
    <n v="7"/>
    <d v="2022-08-10T00:00:00"/>
    <n v="9.5"/>
    <x v="2"/>
    <x v="0"/>
    <x v="3"/>
    <x v="3"/>
  </r>
  <r>
    <s v="España"/>
    <m/>
    <x v="3"/>
    <n v="425348003"/>
    <m/>
    <x v="2"/>
    <m/>
    <n v="1"/>
    <m/>
    <s v=""/>
    <n v="35"/>
    <n v="50"/>
    <n v="14340"/>
    <n v="9570"/>
    <n v="181"/>
    <n v="13"/>
    <n v="2"/>
    <n v="20"/>
    <n v="4"/>
    <n v="5"/>
    <d v="2022-08-10T00:00:00"/>
    <n v="9.5"/>
    <x v="2"/>
    <x v="0"/>
    <x v="2"/>
    <x v="3"/>
  </r>
  <r>
    <s v="Brasil"/>
    <m/>
    <x v="4"/>
    <n v="431152208"/>
    <m/>
    <x v="3"/>
    <m/>
    <m/>
    <m/>
    <s v=""/>
    <n v="32"/>
    <n v="79"/>
    <n v="47190"/>
    <n v="16320"/>
    <n v="20"/>
    <n v="11"/>
    <n v="5"/>
    <n v="13"/>
    <n v="7"/>
    <n v="8"/>
    <d v="2022-07-27T00:00:00"/>
    <n v="9.5"/>
    <x v="1"/>
    <x v="0"/>
    <x v="1"/>
    <x v="2"/>
  </r>
  <r>
    <s v="Brasil"/>
    <m/>
    <x v="4"/>
    <n v="431152208"/>
    <m/>
    <x v="3"/>
    <m/>
    <m/>
    <n v="1"/>
    <s v=""/>
    <n v="33"/>
    <n v="12"/>
    <n v="28980"/>
    <n v="12096"/>
    <n v="27"/>
    <n v="11"/>
    <n v="5"/>
    <n v="15"/>
    <n v="7"/>
    <n v="8"/>
    <d v="2022-09-07T00:00:00"/>
    <n v="9.5"/>
    <x v="1"/>
    <x v="0"/>
    <x v="2"/>
    <x v="2"/>
  </r>
  <r>
    <s v="España"/>
    <m/>
    <x v="6"/>
    <n v="435294829"/>
    <m/>
    <x v="2"/>
    <m/>
    <m/>
    <n v="1"/>
    <s v=""/>
    <n v="32"/>
    <n v="2"/>
    <n v="47800"/>
    <n v="7390"/>
    <n v="181"/>
    <n v="8"/>
    <n v="1"/>
    <n v="20"/>
    <n v="6"/>
    <n v="8"/>
    <d v="2022-09-07T00:00:00"/>
    <n v="9.5"/>
    <x v="2"/>
    <x v="0"/>
    <x v="2"/>
    <x v="3"/>
  </r>
  <r>
    <s v="Italia"/>
    <m/>
    <x v="15"/>
    <n v="435816080"/>
    <m/>
    <x v="1"/>
    <m/>
    <s v=""/>
    <m/>
    <s v=""/>
    <n v="31"/>
    <n v="29"/>
    <n v="189890"/>
    <n v="33288"/>
    <n v="93"/>
    <n v="12"/>
    <n v="4"/>
    <n v="20"/>
    <n v="7"/>
    <n v="8"/>
    <d v="2022-09-14T00:00:00"/>
    <n v="9"/>
    <x v="6"/>
    <x v="0"/>
    <x v="0"/>
    <x v="7"/>
  </r>
  <r>
    <s v="España"/>
    <m/>
    <x v="6"/>
    <n v="435294829"/>
    <m/>
    <x v="2"/>
    <m/>
    <m/>
    <m/>
    <m/>
    <n v="31"/>
    <n v="82"/>
    <n v="68800"/>
    <n v="7850"/>
    <n v="176"/>
    <n v="8"/>
    <n v="1"/>
    <n v="20"/>
    <n v="7"/>
    <n v="8"/>
    <d v="2022-08-06T00:00:00"/>
    <n v="9"/>
    <x v="2"/>
    <x v="0"/>
    <x v="3"/>
    <x v="3"/>
  </r>
  <r>
    <s v="España"/>
    <m/>
    <x v="16"/>
    <n v="437682998"/>
    <m/>
    <x v="2"/>
    <n v="1"/>
    <s v=""/>
    <m/>
    <s v=""/>
    <n v="30"/>
    <n v="41"/>
    <n v="137080"/>
    <n v="19050"/>
    <n v="213"/>
    <n v="12"/>
    <n v="4"/>
    <n v="20"/>
    <n v="7"/>
    <n v="8"/>
    <d v="2022-09-14T00:00:00"/>
    <n v="9"/>
    <x v="6"/>
    <x v="0"/>
    <x v="0"/>
    <x v="0"/>
  </r>
  <r>
    <s v="España"/>
    <m/>
    <x v="2"/>
    <n v="436695906"/>
    <m/>
    <x v="2"/>
    <m/>
    <m/>
    <m/>
    <s v=""/>
    <n v="31"/>
    <n v="16"/>
    <n v="42430"/>
    <n v="14170"/>
    <n v="144"/>
    <n v="10"/>
    <n v="5"/>
    <n v="20"/>
    <n v="5"/>
    <n v="8"/>
    <d v="2022-07-27T00:00:00"/>
    <n v="8.5"/>
    <x v="1"/>
    <x v="0"/>
    <x v="1"/>
    <x v="2"/>
  </r>
  <r>
    <s v="Italia"/>
    <m/>
    <x v="15"/>
    <n v="435816080"/>
    <m/>
    <x v="1"/>
    <m/>
    <m/>
    <m/>
    <s v=""/>
    <n v="30"/>
    <n v="92"/>
    <n v="256700"/>
    <n v="37752"/>
    <n v="86"/>
    <n v="12"/>
    <n v="4"/>
    <n v="20"/>
    <n v="7"/>
    <n v="8"/>
    <d v="2022-07-27T00:00:00"/>
    <n v="8.5"/>
    <x v="4"/>
    <x v="0"/>
    <x v="1"/>
    <x v="7"/>
  </r>
  <r>
    <s v="España"/>
    <m/>
    <x v="5"/>
    <n v="425763529"/>
    <m/>
    <x v="0"/>
    <m/>
    <m/>
    <m/>
    <m/>
    <n v="34"/>
    <n v="111"/>
    <n v="6640"/>
    <n v="9950"/>
    <n v="196"/>
    <n v="13"/>
    <n v="5"/>
    <n v="20"/>
    <n v="6"/>
    <n v="7"/>
    <d v="2022-08-06T00:00:00"/>
    <n v="8.5"/>
    <x v="3"/>
    <x v="1"/>
    <x v="3"/>
    <x v="4"/>
  </r>
  <r>
    <s v="España"/>
    <m/>
    <x v="5"/>
    <n v="425763529"/>
    <m/>
    <x v="0"/>
    <m/>
    <m/>
    <m/>
    <s v=""/>
    <n v="35"/>
    <n v="31"/>
    <n v="6040"/>
    <n v="6800"/>
    <n v="201"/>
    <n v="14"/>
    <n v="5"/>
    <n v="20"/>
    <n v="7"/>
    <n v="7"/>
    <d v="2022-09-10T00:00:00"/>
    <n v="8.5"/>
    <x v="3"/>
    <x v="1"/>
    <x v="2"/>
    <x v="4"/>
  </r>
  <r>
    <s v="España"/>
    <n v="6"/>
    <x v="1"/>
    <n v="425551707"/>
    <m/>
    <x v="1"/>
    <n v="1"/>
    <m/>
    <m/>
    <s v=""/>
    <n v="34"/>
    <n v="107"/>
    <n v="45540"/>
    <n v="22210"/>
    <n v="287"/>
    <n v="14"/>
    <n v="4"/>
    <n v="20"/>
    <n v="7"/>
    <n v="7"/>
    <d v="2022-07-23T00:00:00"/>
    <n v="8.5"/>
    <x v="4"/>
    <x v="0"/>
    <x v="1"/>
    <x v="1"/>
  </r>
  <r>
    <s v="España"/>
    <m/>
    <x v="3"/>
    <n v="425348003"/>
    <m/>
    <x v="2"/>
    <m/>
    <m/>
    <m/>
    <s v=""/>
    <n v="35"/>
    <n v="5"/>
    <n v="30070"/>
    <n v="9570"/>
    <n v="174"/>
    <n v="13"/>
    <n v="2"/>
    <n v="20"/>
    <n v="7"/>
    <n v="7"/>
    <d v="2022-07-23T00:00:00"/>
    <n v="8.5"/>
    <x v="2"/>
    <x v="0"/>
    <x v="1"/>
    <x v="3"/>
  </r>
  <r>
    <s v="Brasil"/>
    <m/>
    <x v="4"/>
    <n v="431152208"/>
    <m/>
    <x v="3"/>
    <m/>
    <m/>
    <n v="1"/>
    <m/>
    <n v="32"/>
    <n v="92"/>
    <n v="40500"/>
    <n v="16320"/>
    <n v="22"/>
    <n v="11"/>
    <n v="5"/>
    <n v="14"/>
    <n v="5"/>
    <n v="8"/>
    <d v="2022-08-10T00:00:00"/>
    <n v="8.5"/>
    <x v="1"/>
    <x v="0"/>
    <x v="3"/>
    <x v="2"/>
  </r>
  <r>
    <s v="España"/>
    <m/>
    <x v="2"/>
    <n v="436695906"/>
    <m/>
    <x v="2"/>
    <m/>
    <m/>
    <m/>
    <m/>
    <n v="31"/>
    <n v="29"/>
    <n v="40810"/>
    <n v="14170"/>
    <n v="146"/>
    <n v="10"/>
    <n v="5"/>
    <n v="20"/>
    <n v="5"/>
    <n v="8"/>
    <d v="2022-08-10T00:00:00"/>
    <n v="8"/>
    <x v="1"/>
    <x v="0"/>
    <x v="3"/>
    <x v="2"/>
  </r>
  <r>
    <s v="España"/>
    <m/>
    <x v="5"/>
    <n v="425763529"/>
    <m/>
    <x v="0"/>
    <m/>
    <m/>
    <m/>
    <s v=""/>
    <n v="34"/>
    <n v="98"/>
    <n v="6310"/>
    <n v="9950"/>
    <n v="194"/>
    <n v="13"/>
    <n v="5"/>
    <n v="20"/>
    <n v="6"/>
    <n v="7"/>
    <d v="2022-07-27T00:00:00"/>
    <n v="8"/>
    <x v="3"/>
    <x v="1"/>
    <x v="1"/>
    <x v="4"/>
  </r>
  <r>
    <s v="Suiza"/>
    <m/>
    <x v="7"/>
    <n v="439421251"/>
    <m/>
    <x v="3"/>
    <m/>
    <m/>
    <m/>
    <m/>
    <n v="29"/>
    <n v="42"/>
    <n v="42040"/>
    <n v="14772"/>
    <n v="77"/>
    <n v="8"/>
    <n v="3"/>
    <n v="20"/>
    <n v="7"/>
    <n v="8"/>
    <d v="2022-08-10T00:00:00"/>
    <n v="8"/>
    <x v="3"/>
    <x v="0"/>
    <x v="3"/>
    <x v="4"/>
  </r>
  <r>
    <s v="España"/>
    <m/>
    <x v="9"/>
    <n v="435350188"/>
    <m/>
    <x v="1"/>
    <n v="1"/>
    <n v="3"/>
    <m/>
    <m/>
    <n v="31"/>
    <n v="22"/>
    <n v="88930"/>
    <n v="22560"/>
    <n v="227"/>
    <n v="11"/>
    <n v="6"/>
    <n v="20"/>
    <n v="8"/>
    <n v="8"/>
    <d v="2022-08-06T00:00:00"/>
    <n v="8"/>
    <x v="7"/>
    <x v="0"/>
    <x v="3"/>
    <x v="0"/>
  </r>
  <r>
    <s v="España"/>
    <m/>
    <x v="17"/>
    <n v="435756737"/>
    <m/>
    <x v="4"/>
    <n v="1"/>
    <m/>
    <m/>
    <s v=""/>
    <n v="31"/>
    <n v="101"/>
    <n v="50580"/>
    <n v="5190"/>
    <n v="228"/>
    <n v="9"/>
    <n v="4"/>
    <n v="20"/>
    <n v="8"/>
    <n v="8"/>
    <d v="2022-09-10T00:00:00"/>
    <n v="8"/>
    <x v="4"/>
    <x v="0"/>
    <x v="2"/>
    <x v="3"/>
  </r>
  <r>
    <s v="España"/>
    <m/>
    <x v="17"/>
    <n v="435756737"/>
    <m/>
    <x v="4"/>
    <n v="1"/>
    <s v=""/>
    <m/>
    <s v=""/>
    <n v="31"/>
    <n v="105"/>
    <n v="50960"/>
    <n v="5190"/>
    <n v="228"/>
    <n v="9"/>
    <n v="4"/>
    <n v="20"/>
    <n v="8"/>
    <n v="8"/>
    <d v="2022-09-14T00:00:00"/>
    <n v="8"/>
    <x v="7"/>
    <x v="0"/>
    <x v="0"/>
    <x v="3"/>
  </r>
  <r>
    <s v="Italia"/>
    <m/>
    <x v="15"/>
    <n v="435816080"/>
    <m/>
    <x v="1"/>
    <m/>
    <m/>
    <m/>
    <s v=""/>
    <n v="31"/>
    <n v="25"/>
    <n v="180960"/>
    <n v="33288"/>
    <n v="92"/>
    <n v="12"/>
    <n v="4"/>
    <n v="20"/>
    <n v="7"/>
    <n v="8"/>
    <d v="2022-09-10T00:00:00"/>
    <n v="7.5"/>
    <x v="6"/>
    <x v="0"/>
    <x v="2"/>
    <x v="7"/>
  </r>
  <r>
    <s v="Suiza"/>
    <m/>
    <x v="7"/>
    <n v="439421251"/>
    <m/>
    <x v="3"/>
    <m/>
    <m/>
    <m/>
    <s v=""/>
    <n v="29"/>
    <n v="74"/>
    <n v="37680"/>
    <n v="14772"/>
    <n v="82"/>
    <n v="8"/>
    <n v="3"/>
    <n v="20"/>
    <n v="6"/>
    <n v="8"/>
    <d v="2022-08-24T00:00:00"/>
    <n v="7.5"/>
    <x v="3"/>
    <x v="0"/>
    <x v="2"/>
    <x v="4"/>
  </r>
  <r>
    <s v="España"/>
    <n v="4"/>
    <x v="18"/>
    <n v="434388447"/>
    <m/>
    <x v="4"/>
    <n v="1"/>
    <m/>
    <m/>
    <m/>
    <n v="31"/>
    <n v="77"/>
    <n v="72910"/>
    <n v="10950"/>
    <n v="235"/>
    <n v="9"/>
    <n v="4"/>
    <n v="20"/>
    <n v="6"/>
    <n v="8"/>
    <d v="2022-08-10T00:00:00"/>
    <n v="7.5"/>
    <x v="2"/>
    <x v="0"/>
    <x v="3"/>
    <x v="8"/>
  </r>
  <r>
    <s v="España"/>
    <n v="3"/>
    <x v="13"/>
    <n v="424287978"/>
    <m/>
    <x v="4"/>
    <n v="1"/>
    <m/>
    <m/>
    <m/>
    <n v="35"/>
    <n v="37"/>
    <n v="35320"/>
    <n v="12630"/>
    <n v="293"/>
    <n v="14"/>
    <n v="4"/>
    <n v="20"/>
    <n v="7"/>
    <n v="7"/>
    <d v="2022-08-10T00:00:00"/>
    <n v="7.5"/>
    <x v="4"/>
    <x v="0"/>
    <x v="3"/>
    <x v="1"/>
  </r>
  <r>
    <s v="España"/>
    <m/>
    <x v="17"/>
    <n v="435756737"/>
    <m/>
    <x v="4"/>
    <n v="1"/>
    <m/>
    <m/>
    <m/>
    <n v="31"/>
    <n v="69"/>
    <n v="49370"/>
    <n v="5190"/>
    <n v="223"/>
    <n v="9"/>
    <n v="4"/>
    <n v="20"/>
    <n v="7"/>
    <n v="8"/>
    <d v="2022-08-06T00:00:00"/>
    <n v="7.5"/>
    <x v="5"/>
    <x v="0"/>
    <x v="3"/>
    <x v="3"/>
  </r>
  <r>
    <s v="España"/>
    <m/>
    <x v="16"/>
    <n v="437682998"/>
    <m/>
    <x v="2"/>
    <n v="1"/>
    <m/>
    <m/>
    <s v=""/>
    <n v="30"/>
    <n v="37"/>
    <n v="135810"/>
    <n v="19050"/>
    <n v="213"/>
    <n v="12"/>
    <n v="4"/>
    <n v="20"/>
    <n v="7"/>
    <n v="8"/>
    <d v="2022-09-10T00:00:00"/>
    <n v="7.5"/>
    <x v="7"/>
    <x v="0"/>
    <x v="2"/>
    <x v="0"/>
  </r>
  <r>
    <s v="España"/>
    <m/>
    <x v="19"/>
    <n v="461301434"/>
    <m/>
    <x v="2"/>
    <n v="1"/>
    <m/>
    <m/>
    <m/>
    <n v="20"/>
    <n v="71"/>
    <n v="26450"/>
    <n v="3730"/>
    <n v="58"/>
    <n v="2"/>
    <n v="7"/>
    <n v="20"/>
    <n v="7"/>
    <n v="9"/>
    <d v="2022-08-10T00:00:00"/>
    <n v="7"/>
    <x v="0"/>
    <x v="0"/>
    <x v="3"/>
    <x v="0"/>
  </r>
  <r>
    <s v="España"/>
    <m/>
    <x v="19"/>
    <n v="461301434"/>
    <m/>
    <x v="2"/>
    <n v="1"/>
    <m/>
    <m/>
    <s v=""/>
    <n v="20"/>
    <n v="103"/>
    <n v="21910"/>
    <n v="3730"/>
    <n v="62"/>
    <n v="2"/>
    <n v="7"/>
    <n v="20"/>
    <n v="5"/>
    <n v="8"/>
    <d v="2022-08-10T00:00:00"/>
    <n v="7"/>
    <x v="0"/>
    <x v="0"/>
    <x v="2"/>
    <x v="0"/>
  </r>
  <r>
    <s v="España"/>
    <m/>
    <x v="19"/>
    <n v="461301434"/>
    <m/>
    <x v="2"/>
    <n v="1"/>
    <s v=""/>
    <m/>
    <s v=""/>
    <n v="20"/>
    <n v="107"/>
    <n v="20530"/>
    <n v="3730"/>
    <n v="63"/>
    <n v="2"/>
    <n v="7"/>
    <n v="20"/>
    <n v="4"/>
    <n v="8"/>
    <d v="2022-08-10T00:00:00"/>
    <n v="7"/>
    <x v="0"/>
    <x v="0"/>
    <x v="0"/>
    <x v="0"/>
  </r>
  <r>
    <s v="Suiza"/>
    <m/>
    <x v="7"/>
    <n v="439421251"/>
    <m/>
    <x v="3"/>
    <m/>
    <m/>
    <m/>
    <s v=""/>
    <n v="29"/>
    <n v="29"/>
    <n v="39830"/>
    <n v="14772"/>
    <n v="76"/>
    <n v="8"/>
    <n v="3"/>
    <n v="20"/>
    <n v="6"/>
    <n v="8"/>
    <d v="2022-07-23T00:00:00"/>
    <n v="7"/>
    <x v="3"/>
    <x v="0"/>
    <x v="1"/>
    <x v="4"/>
  </r>
  <r>
    <s v="España"/>
    <n v="1"/>
    <x v="8"/>
    <n v="424047074"/>
    <m/>
    <x v="4"/>
    <n v="1"/>
    <m/>
    <m/>
    <s v=""/>
    <n v="35"/>
    <n v="87"/>
    <n v="27810"/>
    <n v="12430"/>
    <n v="300"/>
    <n v="16"/>
    <n v="3"/>
    <n v="20"/>
    <n v="6"/>
    <n v="7"/>
    <d v="2022-09-10T00:00:00"/>
    <n v="7"/>
    <x v="2"/>
    <x v="0"/>
    <x v="2"/>
    <x v="1"/>
  </r>
  <r>
    <s v="España"/>
    <m/>
    <x v="17"/>
    <n v="435756737"/>
    <m/>
    <x v="4"/>
    <n v="1"/>
    <m/>
    <m/>
    <s v=""/>
    <n v="31"/>
    <n v="56"/>
    <n v="47140"/>
    <n v="5190"/>
    <n v="221"/>
    <n v="8"/>
    <n v="4"/>
    <n v="20"/>
    <n v="7"/>
    <n v="8"/>
    <d v="2022-07-27T00:00:00"/>
    <n v="7"/>
    <x v="2"/>
    <x v="0"/>
    <x v="1"/>
    <x v="3"/>
  </r>
  <r>
    <s v="España"/>
    <m/>
    <x v="6"/>
    <n v="435294829"/>
    <m/>
    <x v="2"/>
    <m/>
    <m/>
    <m/>
    <s v=""/>
    <n v="31"/>
    <n v="69"/>
    <n v="69210"/>
    <n v="7850"/>
    <n v="175"/>
    <n v="8"/>
    <n v="1"/>
    <n v="20"/>
    <n v="7"/>
    <n v="8"/>
    <d v="2022-07-27T00:00:00"/>
    <n v="7"/>
    <x v="5"/>
    <x v="0"/>
    <x v="1"/>
    <x v="3"/>
  </r>
  <r>
    <s v="España"/>
    <m/>
    <x v="19"/>
    <n v="461301434"/>
    <m/>
    <x v="2"/>
    <n v="1"/>
    <m/>
    <m/>
    <s v=""/>
    <n v="20"/>
    <n v="58"/>
    <n v="25450"/>
    <n v="3730"/>
    <n v="56"/>
    <n v="2"/>
    <n v="7"/>
    <n v="20"/>
    <n v="7"/>
    <n v="9"/>
    <d v="2022-07-27T00:00:00"/>
    <n v="6.5"/>
    <x v="0"/>
    <x v="0"/>
    <x v="1"/>
    <x v="0"/>
  </r>
  <r>
    <s v="España"/>
    <n v="1"/>
    <x v="8"/>
    <n v="424047074"/>
    <m/>
    <x v="4"/>
    <n v="1"/>
    <m/>
    <m/>
    <s v=""/>
    <n v="35"/>
    <n v="42"/>
    <n v="35800"/>
    <n v="12430"/>
    <n v="293"/>
    <n v="15"/>
    <n v="3"/>
    <n v="20"/>
    <n v="7"/>
    <n v="7"/>
    <d v="2022-07-23T00:00:00"/>
    <n v="6.5"/>
    <x v="5"/>
    <x v="0"/>
    <x v="1"/>
    <x v="1"/>
  </r>
  <r>
    <s v="España"/>
    <m/>
    <x v="9"/>
    <n v="435350188"/>
    <m/>
    <x v="1"/>
    <n v="1"/>
    <m/>
    <m/>
    <s v=""/>
    <n v="31"/>
    <n v="54"/>
    <n v="114710"/>
    <n v="22560"/>
    <n v="231"/>
    <n v="12"/>
    <n v="6"/>
    <n v="20"/>
    <n v="6"/>
    <n v="8"/>
    <d v="2022-09-10T00:00:00"/>
    <n v="6.5"/>
    <x v="5"/>
    <x v="0"/>
    <x v="2"/>
    <x v="0"/>
  </r>
  <r>
    <s v="España"/>
    <n v="4"/>
    <x v="18"/>
    <n v="434388447"/>
    <m/>
    <x v="4"/>
    <n v="1"/>
    <m/>
    <n v="3"/>
    <s v=""/>
    <n v="31"/>
    <n v="64"/>
    <n v="72720"/>
    <n v="10950"/>
    <n v="233"/>
    <n v="8"/>
    <n v="4"/>
    <n v="20"/>
    <n v="6"/>
    <n v="8"/>
    <d v="2022-07-27T00:00:00"/>
    <n v="6.5"/>
    <x v="7"/>
    <x v="0"/>
    <x v="1"/>
    <x v="8"/>
  </r>
  <r>
    <s v="España"/>
    <n v="4"/>
    <x v="18"/>
    <n v="434388447"/>
    <m/>
    <x v="4"/>
    <n v="1"/>
    <m/>
    <m/>
    <s v=""/>
    <n v="31"/>
    <n v="109"/>
    <n v="70640"/>
    <n v="10950"/>
    <n v="239"/>
    <n v="9"/>
    <n v="4"/>
    <n v="20"/>
    <n v="6"/>
    <n v="8"/>
    <d v="2022-09-10T00:00:00"/>
    <n v="6"/>
    <x v="6"/>
    <x v="0"/>
    <x v="2"/>
    <x v="8"/>
  </r>
  <r>
    <s v="España"/>
    <n v="4"/>
    <x v="18"/>
    <n v="434388447"/>
    <m/>
    <x v="4"/>
    <n v="1"/>
    <s v=""/>
    <m/>
    <s v=""/>
    <n v="32"/>
    <n v="1"/>
    <n v="57710"/>
    <n v="9890"/>
    <n v="240"/>
    <n v="9"/>
    <n v="4"/>
    <n v="20"/>
    <n v="6"/>
    <n v="8"/>
    <d v="2022-09-10T00:00:00"/>
    <n v="6"/>
    <x v="6"/>
    <x v="0"/>
    <x v="0"/>
    <x v="8"/>
  </r>
  <r>
    <s v="España"/>
    <n v="3"/>
    <x v="13"/>
    <n v="424287978"/>
    <m/>
    <x v="4"/>
    <n v="1"/>
    <m/>
    <m/>
    <s v=""/>
    <n v="35"/>
    <n v="24"/>
    <n v="36670"/>
    <n v="12630"/>
    <n v="291"/>
    <n v="14"/>
    <n v="4"/>
    <n v="20"/>
    <n v="7"/>
    <n v="7"/>
    <d v="2022-07-23T00:00:00"/>
    <n v="6"/>
    <x v="7"/>
    <x v="0"/>
    <x v="1"/>
    <x v="1"/>
  </r>
  <r>
    <s v="Suiza"/>
    <m/>
    <x v="20"/>
    <n v="334269782"/>
    <n v="1"/>
    <x v="3"/>
    <m/>
    <m/>
    <m/>
    <s v=""/>
    <n v="52"/>
    <n v="17"/>
    <n v="0"/>
    <n v="300"/>
    <n v="240"/>
    <n v="15"/>
    <n v="5"/>
    <n v="20"/>
    <n v="2"/>
    <n v="2"/>
    <d v="2018-10-24T00:00:00"/>
    <n v="5"/>
    <x v="0"/>
    <x v="1"/>
    <x v="1"/>
    <x v="6"/>
  </r>
  <r>
    <s v="Suiza"/>
    <m/>
    <x v="20"/>
    <n v="334269782"/>
    <n v="1"/>
    <x v="3"/>
    <m/>
    <m/>
    <m/>
    <m/>
    <n v="52"/>
    <n v="30"/>
    <n v="0"/>
    <n v="300"/>
    <n v="242"/>
    <n v="15"/>
    <n v="5"/>
    <n v="20"/>
    <n v="2"/>
    <n v="2"/>
    <d v="2018-10-24T00:00:00"/>
    <n v="5"/>
    <x v="0"/>
    <x v="1"/>
    <x v="3"/>
    <x v="6"/>
  </r>
  <r>
    <s v="Suiza"/>
    <m/>
    <x v="20"/>
    <n v="334269782"/>
    <n v="1"/>
    <x v="3"/>
    <m/>
    <m/>
    <m/>
    <s v=""/>
    <n v="52"/>
    <n v="62"/>
    <n v="0"/>
    <n v="300"/>
    <n v="247"/>
    <n v="15"/>
    <n v="5"/>
    <n v="20"/>
    <n v="3"/>
    <n v="2"/>
    <d v="2018-10-24T00:00:00"/>
    <n v="5"/>
    <x v="0"/>
    <x v="1"/>
    <x v="2"/>
    <x v="6"/>
  </r>
  <r>
    <s v="Suiza"/>
    <m/>
    <x v="20"/>
    <n v="334269782"/>
    <n v="1"/>
    <x v="3"/>
    <m/>
    <s v=""/>
    <m/>
    <s v=""/>
    <n v="52"/>
    <n v="66"/>
    <n v="0"/>
    <n v="300"/>
    <n v="247"/>
    <n v="15"/>
    <n v="5"/>
    <n v="20"/>
    <n v="5"/>
    <n v="2"/>
    <d v="2018-10-24T00:00:00"/>
    <n v="5"/>
    <x v="0"/>
    <x v="1"/>
    <x v="0"/>
    <x v="6"/>
  </r>
  <r>
    <s v="España"/>
    <m/>
    <x v="21"/>
    <n v="447466242"/>
    <m/>
    <x v="1"/>
    <n v="1"/>
    <m/>
    <m/>
    <s v=""/>
    <n v="26"/>
    <n v="73"/>
    <n v="2970"/>
    <n v="510"/>
    <n v="139"/>
    <n v="2"/>
    <n v="5"/>
    <n v="20"/>
    <n v="8"/>
    <n v="9"/>
    <d v="2022-07-23T00:00:00"/>
    <n v="5"/>
    <x v="1"/>
    <x v="1"/>
    <x v="1"/>
    <x v="6"/>
  </r>
  <r>
    <s v="España"/>
    <m/>
    <x v="21"/>
    <n v="447466242"/>
    <m/>
    <x v="1"/>
    <n v="1"/>
    <m/>
    <m/>
    <m/>
    <n v="26"/>
    <n v="86"/>
    <n v="2930"/>
    <n v="510"/>
    <n v="141"/>
    <n v="2"/>
    <n v="5"/>
    <n v="20"/>
    <n v="8"/>
    <n v="9"/>
    <d v="2022-07-23T00:00:00"/>
    <n v="5"/>
    <x v="1"/>
    <x v="1"/>
    <x v="3"/>
    <x v="6"/>
  </r>
  <r>
    <s v="España"/>
    <m/>
    <x v="21"/>
    <n v="447466242"/>
    <m/>
    <x v="1"/>
    <n v="1"/>
    <m/>
    <m/>
    <s v=""/>
    <n v="27"/>
    <n v="6"/>
    <n v="2660"/>
    <n v="610"/>
    <n v="146"/>
    <n v="2"/>
    <n v="5"/>
    <n v="20"/>
    <n v="7"/>
    <n v="8"/>
    <d v="2022-07-23T00:00:00"/>
    <n v="5"/>
    <x v="1"/>
    <x v="1"/>
    <x v="2"/>
    <x v="6"/>
  </r>
  <r>
    <s v="España"/>
    <m/>
    <x v="21"/>
    <n v="447466242"/>
    <m/>
    <x v="1"/>
    <n v="1"/>
    <s v=""/>
    <m/>
    <s v=""/>
    <n v="27"/>
    <n v="10"/>
    <n v="2710"/>
    <n v="610"/>
    <n v="146"/>
    <n v="2"/>
    <n v="5"/>
    <n v="20"/>
    <n v="7"/>
    <n v="8"/>
    <d v="2022-07-23T00:00:00"/>
    <n v="5"/>
    <x v="1"/>
    <x v="1"/>
    <x v="0"/>
    <x v="6"/>
  </r>
  <r>
    <s v="España"/>
    <m/>
    <x v="10"/>
    <n v="431230656"/>
    <m/>
    <x v="4"/>
    <m/>
    <m/>
    <m/>
    <s v=""/>
    <n v="33"/>
    <n v="47"/>
    <n v="16420"/>
    <n v="12170"/>
    <n v="120"/>
    <n v="8"/>
    <n v="3"/>
    <n v="20"/>
    <n v="8"/>
    <n v="7"/>
    <d v="2022-08-20T00:00:00"/>
    <n v="4.5"/>
    <x v="6"/>
    <x v="0"/>
    <x v="2"/>
    <x v="5"/>
  </r>
  <r>
    <s v="España"/>
    <m/>
    <x v="11"/>
    <n v="461786415"/>
    <m/>
    <x v="2"/>
    <n v="1"/>
    <m/>
    <m/>
    <s v=""/>
    <n v="20"/>
    <n v="29"/>
    <n v="5360"/>
    <n v="1270"/>
    <n v="50"/>
    <n v="2"/>
    <n v="2"/>
    <n v="20"/>
    <n v="4"/>
    <n v="9"/>
    <d v="2022-07-23T00:00:00"/>
    <n v="4.5"/>
    <x v="0"/>
    <x v="1"/>
    <x v="1"/>
    <x v="6"/>
  </r>
  <r>
    <s v="España"/>
    <m/>
    <x v="11"/>
    <n v="461786415"/>
    <m/>
    <x v="2"/>
    <n v="1"/>
    <m/>
    <m/>
    <m/>
    <n v="20"/>
    <n v="42"/>
    <n v="5450"/>
    <n v="1270"/>
    <n v="52"/>
    <n v="2"/>
    <n v="2"/>
    <n v="20"/>
    <n v="4"/>
    <n v="9"/>
    <d v="2022-07-23T00:00:00"/>
    <n v="4.5"/>
    <x v="0"/>
    <x v="1"/>
    <x v="3"/>
    <x v="6"/>
  </r>
  <r>
    <s v="España"/>
    <m/>
    <x v="11"/>
    <n v="461786415"/>
    <m/>
    <x v="2"/>
    <n v="1"/>
    <m/>
    <m/>
    <s v=""/>
    <n v="20"/>
    <n v="74"/>
    <n v="5460"/>
    <n v="1270"/>
    <n v="57"/>
    <n v="2"/>
    <n v="2"/>
    <n v="20"/>
    <n v="5"/>
    <n v="8"/>
    <d v="2022-07-23T00:00:00"/>
    <n v="4.5"/>
    <x v="0"/>
    <x v="1"/>
    <x v="2"/>
    <x v="6"/>
  </r>
  <r>
    <s v="España"/>
    <m/>
    <x v="10"/>
    <n v="431230656"/>
    <m/>
    <x v="4"/>
    <m/>
    <n v="1"/>
    <m/>
    <s v=""/>
    <n v="33"/>
    <n v="2"/>
    <n v="13410"/>
    <n v="12170"/>
    <n v="114"/>
    <n v="8"/>
    <n v="3"/>
    <n v="20"/>
    <n v="5"/>
    <n v="8"/>
    <d v="2022-07-23T00:00:00"/>
    <n v="3.5"/>
    <x v="6"/>
    <x v="0"/>
    <x v="1"/>
    <x v="5"/>
  </r>
  <r>
    <s v="España"/>
    <m/>
    <x v="10"/>
    <n v="431230656"/>
    <m/>
    <x v="4"/>
    <m/>
    <m/>
    <m/>
    <m/>
    <n v="33"/>
    <n v="15"/>
    <n v="15170"/>
    <n v="12170"/>
    <n v="116"/>
    <n v="8"/>
    <n v="3"/>
    <n v="20"/>
    <n v="5"/>
    <n v="8"/>
    <d v="2022-08-03T00:00:00"/>
    <n v="3.5"/>
    <x v="6"/>
    <x v="0"/>
    <x v="3"/>
    <x v="5"/>
  </r>
  <r>
    <s v="España"/>
    <m/>
    <x v="22"/>
    <n v="444830705"/>
    <m/>
    <x v="0"/>
    <n v="1"/>
    <m/>
    <m/>
    <s v=""/>
    <n v="27"/>
    <n v="30"/>
    <n v="1640"/>
    <n v="370"/>
    <n v="155"/>
    <n v="2"/>
    <n v="4"/>
    <n v="20"/>
    <n v="4"/>
    <n v="8"/>
    <d v="2022-07-20T00:00:00"/>
    <n v="3"/>
    <x v="1"/>
    <x v="1"/>
    <x v="1"/>
    <x v="6"/>
  </r>
  <r>
    <s v="España"/>
    <m/>
    <x v="22"/>
    <n v="444830705"/>
    <m/>
    <x v="0"/>
    <n v="1"/>
    <m/>
    <m/>
    <m/>
    <n v="27"/>
    <n v="43"/>
    <n v="1710"/>
    <n v="370"/>
    <n v="157"/>
    <n v="2"/>
    <n v="4"/>
    <n v="20"/>
    <n v="5"/>
    <n v="8"/>
    <d v="2022-07-20T00:00:00"/>
    <n v="3"/>
    <x v="1"/>
    <x v="1"/>
    <x v="3"/>
    <x v="6"/>
  </r>
  <r>
    <s v="España"/>
    <m/>
    <x v="22"/>
    <n v="444830705"/>
    <m/>
    <x v="0"/>
    <n v="1"/>
    <m/>
    <m/>
    <s v=""/>
    <n v="27"/>
    <n v="75"/>
    <n v="1350"/>
    <n v="370"/>
    <n v="161"/>
    <n v="2"/>
    <n v="4"/>
    <n v="20"/>
    <n v="3"/>
    <n v="7"/>
    <d v="2022-07-20T00:00:00"/>
    <n v="3"/>
    <x v="1"/>
    <x v="1"/>
    <x v="2"/>
    <x v="6"/>
  </r>
  <r>
    <s v="España"/>
    <m/>
    <x v="22"/>
    <n v="444830705"/>
    <m/>
    <x v="0"/>
    <n v="1"/>
    <s v=""/>
    <m/>
    <s v=""/>
    <n v="27"/>
    <n v="79"/>
    <n v="1350"/>
    <n v="370"/>
    <n v="162"/>
    <n v="2"/>
    <n v="4"/>
    <n v="20"/>
    <n v="3"/>
    <n v="7"/>
    <d v="2022-07-20T00:00:00"/>
    <n v="3"/>
    <x v="1"/>
    <x v="1"/>
    <x v="0"/>
    <x v="6"/>
  </r>
  <r>
    <s v="España"/>
    <m/>
    <x v="23"/>
    <n v="470786338"/>
    <m/>
    <x v="4"/>
    <n v="1"/>
    <m/>
    <m/>
    <s v=""/>
    <n v="17"/>
    <n v="73"/>
    <n v="940"/>
    <n v="310"/>
    <n v="1"/>
    <n v="2"/>
    <n v="4"/>
    <n v="20"/>
    <n v="5"/>
    <n v="5"/>
    <d v="2022-07-23T00:00:00"/>
    <n v="3"/>
    <x v="6"/>
    <x v="1"/>
    <x v="1"/>
    <x v="6"/>
  </r>
  <r>
    <s v="España"/>
    <m/>
    <x v="23"/>
    <n v="470786338"/>
    <m/>
    <x v="4"/>
    <n v="1"/>
    <m/>
    <m/>
    <m/>
    <n v="17"/>
    <n v="86"/>
    <n v="930"/>
    <n v="310"/>
    <n v="3"/>
    <n v="2"/>
    <n v="4"/>
    <n v="20"/>
    <n v="5"/>
    <n v="6"/>
    <d v="2022-07-23T00:00:00"/>
    <n v="3"/>
    <x v="6"/>
    <x v="1"/>
    <x v="3"/>
    <x v="6"/>
  </r>
  <r>
    <s v="España"/>
    <m/>
    <x v="23"/>
    <n v="470786338"/>
    <m/>
    <x v="4"/>
    <n v="1"/>
    <m/>
    <m/>
    <s v=""/>
    <n v="18"/>
    <n v="6"/>
    <n v="640"/>
    <n v="310"/>
    <n v="8"/>
    <n v="2"/>
    <n v="4"/>
    <n v="20"/>
    <n v="2"/>
    <n v="7"/>
    <d v="2022-07-23T00:00:00"/>
    <n v="3"/>
    <x v="6"/>
    <x v="1"/>
    <x v="2"/>
    <x v="6"/>
  </r>
  <r>
    <s v="España"/>
    <m/>
    <x v="23"/>
    <n v="470786338"/>
    <m/>
    <x v="4"/>
    <n v="1"/>
    <s v=""/>
    <m/>
    <s v=""/>
    <n v="18"/>
    <n v="10"/>
    <n v="540"/>
    <n v="310"/>
    <n v="8"/>
    <n v="2"/>
    <n v="4"/>
    <n v="20"/>
    <n v="2"/>
    <n v="7"/>
    <d v="2022-07-23T00:00:00"/>
    <n v="3"/>
    <x v="6"/>
    <x v="1"/>
    <x v="0"/>
    <x v="6"/>
  </r>
  <r>
    <s v="España"/>
    <m/>
    <x v="12"/>
    <n v="442335004"/>
    <m/>
    <x v="1"/>
    <m/>
    <m/>
    <m/>
    <s v=""/>
    <n v="28"/>
    <n v="29"/>
    <n v="73400"/>
    <n v="35480"/>
    <n v="114"/>
    <n v="4"/>
    <n v="4"/>
    <n v="20"/>
    <n v="4"/>
    <n v="9"/>
    <d v="2022-07-23T00:00:00"/>
    <n v="2.5"/>
    <x v="6"/>
    <x v="0"/>
    <x v="1"/>
    <x v="7"/>
  </r>
  <r>
    <s v="España"/>
    <m/>
    <x v="12"/>
    <n v="442335004"/>
    <m/>
    <x v="1"/>
    <m/>
    <m/>
    <m/>
    <m/>
    <n v="28"/>
    <n v="42"/>
    <n v="74640"/>
    <n v="35480"/>
    <n v="116"/>
    <n v="4"/>
    <n v="4"/>
    <n v="20"/>
    <n v="4"/>
    <n v="8"/>
    <d v="2022-07-23T00:00:00"/>
    <n v="2.5"/>
    <x v="6"/>
    <x v="0"/>
    <x v="3"/>
    <x v="7"/>
  </r>
  <r>
    <s v="España"/>
    <m/>
    <x v="12"/>
    <n v="442335004"/>
    <m/>
    <x v="1"/>
    <m/>
    <m/>
    <m/>
    <s v=""/>
    <n v="28"/>
    <n v="74"/>
    <n v="79360"/>
    <n v="35480"/>
    <n v="120"/>
    <n v="4"/>
    <n v="4"/>
    <n v="20"/>
    <n v="5"/>
    <n v="8"/>
    <d v="2022-07-23T00:00:00"/>
    <n v="2.5"/>
    <x v="6"/>
    <x v="0"/>
    <x v="2"/>
    <x v="7"/>
  </r>
  <r>
    <s v="España"/>
    <m/>
    <x v="24"/>
    <n v="416592860"/>
    <m/>
    <x v="2"/>
    <m/>
    <m/>
    <m/>
    <s v=""/>
    <n v="39"/>
    <n v="23"/>
    <n v="1210"/>
    <n v="570"/>
    <n v="71"/>
    <n v="11"/>
    <n v="6"/>
    <n v="20"/>
    <n v="6"/>
    <n v="3"/>
    <d v="2022-06-29T00:00:00"/>
    <n v="1"/>
    <x v="7"/>
    <x v="1"/>
    <x v="1"/>
    <x v="6"/>
  </r>
  <r>
    <s v="España"/>
    <m/>
    <x v="24"/>
    <n v="416592860"/>
    <m/>
    <x v="2"/>
    <m/>
    <m/>
    <m/>
    <m/>
    <n v="39"/>
    <n v="36"/>
    <n v="1070"/>
    <n v="570"/>
    <n v="73"/>
    <n v="11"/>
    <n v="6"/>
    <n v="20"/>
    <n v="7"/>
    <n v="3"/>
    <d v="2022-06-29T00:00:00"/>
    <n v="1"/>
    <x v="7"/>
    <x v="1"/>
    <x v="3"/>
    <x v="6"/>
  </r>
  <r>
    <s v="España"/>
    <m/>
    <x v="24"/>
    <n v="416592860"/>
    <m/>
    <x v="2"/>
    <m/>
    <m/>
    <m/>
    <s v=""/>
    <n v="39"/>
    <n v="68"/>
    <n v="480"/>
    <n v="570"/>
    <n v="78"/>
    <n v="11"/>
    <n v="6"/>
    <n v="20"/>
    <n v="3"/>
    <n v="3"/>
    <d v="2022-06-29T00:00:00"/>
    <n v="1"/>
    <x v="7"/>
    <x v="1"/>
    <x v="2"/>
    <x v="6"/>
  </r>
  <r>
    <s v="España"/>
    <m/>
    <x v="24"/>
    <n v="416592860"/>
    <m/>
    <x v="2"/>
    <m/>
    <s v=""/>
    <m/>
    <s v=""/>
    <n v="39"/>
    <n v="72"/>
    <n v="440"/>
    <n v="570"/>
    <n v="78"/>
    <n v="11"/>
    <n v="6"/>
    <n v="20"/>
    <n v="3"/>
    <n v="3"/>
    <d v="2022-06-29T00:00:00"/>
    <n v="1"/>
    <x v="7"/>
    <x v="1"/>
    <x v="0"/>
    <x v="6"/>
  </r>
  <r>
    <s v="España"/>
    <m/>
    <x v="25"/>
    <n v="471245580"/>
    <m/>
    <x v="3"/>
    <n v="1"/>
    <m/>
    <m/>
    <n v="1"/>
    <n v="17"/>
    <n v="2"/>
    <n v="2240"/>
    <n v="430"/>
    <n v="0"/>
    <n v="2"/>
    <n v="4"/>
    <n v="20"/>
    <n v="6"/>
    <n v="4"/>
    <m/>
    <m/>
    <x v="8"/>
    <x v="1"/>
    <x v="3"/>
    <x v="6"/>
  </r>
  <r>
    <s v="España"/>
    <m/>
    <x v="26"/>
    <n v="471429052"/>
    <m/>
    <x v="3"/>
    <n v="1"/>
    <m/>
    <m/>
    <s v=""/>
    <n v="17"/>
    <n v="111"/>
    <n v="490"/>
    <n v="270"/>
    <n v="2"/>
    <n v="1"/>
    <n v="4"/>
    <n v="20"/>
    <n v="6"/>
    <n v="5"/>
    <m/>
    <m/>
    <x v="8"/>
    <x v="1"/>
    <x v="2"/>
    <x v="6"/>
  </r>
  <r>
    <s v="España"/>
    <m/>
    <x v="26"/>
    <n v="471429052"/>
    <m/>
    <x v="3"/>
    <n v="1"/>
    <s v=""/>
    <m/>
    <s v=""/>
    <n v="18"/>
    <n v="3"/>
    <n v="460"/>
    <n v="270"/>
    <n v="3"/>
    <n v="1"/>
    <n v="4"/>
    <n v="20"/>
    <n v="5"/>
    <n v="6"/>
    <m/>
    <m/>
    <x v="8"/>
    <x v="1"/>
    <x v="0"/>
    <x v="6"/>
  </r>
  <r>
    <m/>
    <m/>
    <x v="27"/>
    <m/>
    <m/>
    <x v="5"/>
    <m/>
    <m/>
    <m/>
    <m/>
    <m/>
    <m/>
    <m/>
    <m/>
    <m/>
    <m/>
    <m/>
    <m/>
    <m/>
    <m/>
    <m/>
    <m/>
    <x v="9"/>
    <x v="1"/>
    <x v="4"/>
    <x v="6"/>
  </r>
  <r>
    <m/>
    <m/>
    <x v="27"/>
    <m/>
    <m/>
    <x v="5"/>
    <m/>
    <m/>
    <m/>
    <m/>
    <m/>
    <m/>
    <m/>
    <m/>
    <m/>
    <m/>
    <m/>
    <m/>
    <m/>
    <m/>
    <m/>
    <m/>
    <x v="9"/>
    <x v="1"/>
    <x v="4"/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España"/>
    <n v="18"/>
    <x v="0"/>
    <n v="439110683"/>
    <m/>
    <x v="0"/>
    <m/>
    <s v=""/>
    <s v=""/>
    <m/>
    <n v="29"/>
    <n v="23"/>
    <n v="181400"/>
    <n v="30160"/>
    <n v="1"/>
    <n v="8"/>
    <n v="4"/>
    <n v="4"/>
    <x v="0"/>
    <x v="0"/>
    <d v="2022-07-27T00:00:00"/>
    <n v="7.5"/>
    <s v="MC"/>
    <x v="0"/>
    <x v="0"/>
    <x v="0"/>
  </r>
  <r>
    <s v="España"/>
    <n v="18"/>
    <x v="0"/>
    <n v="439110683"/>
    <m/>
    <x v="0"/>
    <m/>
    <s v=""/>
    <m/>
    <s v=""/>
    <n v="29"/>
    <n v="33"/>
    <n v="170200"/>
    <n v="30160"/>
    <n v="2"/>
    <n v="8"/>
    <n v="4"/>
    <n v="5"/>
    <x v="0"/>
    <x v="0"/>
    <d v="2022-08-10T00:00:00"/>
    <n v="7"/>
    <s v="MC"/>
    <x v="0"/>
    <x v="1"/>
    <x v="0"/>
  </r>
  <r>
    <s v="España"/>
    <n v="18"/>
    <x v="0"/>
    <n v="439110683"/>
    <m/>
    <x v="0"/>
    <m/>
    <s v=""/>
    <m/>
    <s v=""/>
    <n v="29"/>
    <n v="65"/>
    <n v="193750"/>
    <n v="30160"/>
    <n v="7"/>
    <n v="8"/>
    <n v="4"/>
    <n v="8"/>
    <x v="1"/>
    <x v="0"/>
    <d v="2022-08-31T00:00:00"/>
    <n v="5"/>
    <s v="ED"/>
    <x v="0"/>
    <x v="2"/>
    <x v="0"/>
  </r>
  <r>
    <s v="España"/>
    <n v="18"/>
    <x v="0"/>
    <n v="439110683"/>
    <m/>
    <x v="0"/>
    <m/>
    <s v=""/>
    <m/>
    <m/>
    <n v="29"/>
    <n v="74"/>
    <n v="173500"/>
    <n v="30160"/>
    <n v="8"/>
    <n v="8"/>
    <n v="4"/>
    <n v="9"/>
    <x v="0"/>
    <x v="0"/>
    <d v="2022-09-21T00:00:00"/>
    <n v="6"/>
    <s v="DEL"/>
    <x v="0"/>
    <x v="3"/>
    <x v="0"/>
  </r>
  <r>
    <s v="España"/>
    <n v="10"/>
    <x v="1"/>
    <n v="438775015"/>
    <m/>
    <x v="1"/>
    <n v="1"/>
    <s v=""/>
    <s v=""/>
    <m/>
    <n v="29"/>
    <n v="51"/>
    <n v="438800"/>
    <n v="36610"/>
    <n v="198"/>
    <n v="8"/>
    <n v="6"/>
    <n v="20"/>
    <x v="2"/>
    <x v="1"/>
    <d v="2022-07-30T00:00:00"/>
    <n v="11.5"/>
    <s v="DEL"/>
    <x v="0"/>
    <x v="0"/>
    <x v="1"/>
  </r>
  <r>
    <s v="España"/>
    <n v="10"/>
    <x v="1"/>
    <n v="438775015"/>
    <m/>
    <x v="1"/>
    <n v="1"/>
    <s v=""/>
    <m/>
    <s v=""/>
    <n v="29"/>
    <n v="61"/>
    <n v="437290"/>
    <n v="36610"/>
    <n v="200"/>
    <n v="9"/>
    <n v="6"/>
    <n v="20"/>
    <x v="2"/>
    <x v="1"/>
    <d v="2022-08-10T00:00:00"/>
    <n v="12.5"/>
    <s v="DEL"/>
    <x v="0"/>
    <x v="1"/>
    <x v="1"/>
  </r>
  <r>
    <s v="España"/>
    <n v="10"/>
    <x v="1"/>
    <n v="438775015"/>
    <m/>
    <x v="1"/>
    <n v="1"/>
    <s v=""/>
    <m/>
    <s v=""/>
    <n v="29"/>
    <n v="93"/>
    <n v="430970"/>
    <n v="36610"/>
    <n v="204"/>
    <n v="9"/>
    <n v="6"/>
    <n v="20"/>
    <x v="3"/>
    <x v="1"/>
    <d v="2022-09-10T00:00:00"/>
    <n v="11.5"/>
    <s v="DEL"/>
    <x v="0"/>
    <x v="2"/>
    <x v="1"/>
  </r>
  <r>
    <s v="España"/>
    <n v="10"/>
    <x v="1"/>
    <n v="438775015"/>
    <m/>
    <x v="1"/>
    <n v="1"/>
    <s v=""/>
    <m/>
    <m/>
    <n v="29"/>
    <n v="102"/>
    <n v="445760"/>
    <n v="36610"/>
    <n v="206"/>
    <n v="9"/>
    <n v="6"/>
    <n v="20"/>
    <x v="2"/>
    <x v="1"/>
    <d v="2022-09-21T00:00:00"/>
    <n v="4.5"/>
    <s v="LI"/>
    <x v="0"/>
    <x v="3"/>
    <x v="1"/>
  </r>
  <r>
    <s v="España"/>
    <m/>
    <x v="2"/>
    <n v="440428825"/>
    <m/>
    <x v="0"/>
    <m/>
    <s v=""/>
    <m/>
    <s v=""/>
    <n v="29"/>
    <n v="36"/>
    <n v="185090"/>
    <n v="14520"/>
    <n v="1"/>
    <n v="8"/>
    <n v="3"/>
    <n v="3"/>
    <x v="2"/>
    <x v="0"/>
    <d v="2022-08-10T00:00:00"/>
    <n v="8.5"/>
    <s v="EI"/>
    <x v="0"/>
    <x v="1"/>
    <x v="2"/>
  </r>
  <r>
    <s v="España"/>
    <n v="3"/>
    <x v="2"/>
    <n v="440428825"/>
    <m/>
    <x v="0"/>
    <m/>
    <s v=""/>
    <n v="2"/>
    <s v=""/>
    <n v="29"/>
    <n v="68"/>
    <n v="186250"/>
    <n v="14520"/>
    <n v="5"/>
    <n v="8"/>
    <n v="3"/>
    <n v="7"/>
    <x v="2"/>
    <x v="0"/>
    <d v="2022-09-10T00:00:00"/>
    <n v="7"/>
    <s v="LD"/>
    <x v="0"/>
    <x v="2"/>
    <x v="2"/>
  </r>
  <r>
    <s v="España"/>
    <n v="3"/>
    <x v="2"/>
    <n v="440428825"/>
    <m/>
    <x v="0"/>
    <m/>
    <s v=""/>
    <n v="2"/>
    <m/>
    <n v="29"/>
    <n v="77"/>
    <n v="182480"/>
    <n v="14520"/>
    <n v="7"/>
    <n v="8"/>
    <n v="3"/>
    <n v="8"/>
    <x v="3"/>
    <x v="1"/>
    <d v="2022-09-21T00:00:00"/>
    <n v="5.5"/>
    <s v="MC"/>
    <x v="0"/>
    <x v="3"/>
    <x v="2"/>
  </r>
  <r>
    <s v="España"/>
    <n v="2"/>
    <x v="3"/>
    <n v="442533611"/>
    <m/>
    <x v="0"/>
    <m/>
    <s v=""/>
    <s v=""/>
    <m/>
    <n v="29"/>
    <n v="14"/>
    <n v="97110"/>
    <n v="21470"/>
    <n v="23"/>
    <n v="8"/>
    <n v="5"/>
    <n v="14"/>
    <x v="2"/>
    <x v="1"/>
    <d v="2022-07-30T00:00:00"/>
    <n v="8.5"/>
    <s v="LI"/>
    <x v="0"/>
    <x v="0"/>
    <x v="3"/>
  </r>
  <r>
    <s v="España"/>
    <n v="2"/>
    <x v="3"/>
    <n v="442533611"/>
    <m/>
    <x v="0"/>
    <m/>
    <s v=""/>
    <m/>
    <s v=""/>
    <n v="29"/>
    <n v="24"/>
    <n v="92130"/>
    <n v="21470"/>
    <n v="25"/>
    <n v="8"/>
    <n v="5"/>
    <n v="14"/>
    <x v="3"/>
    <x v="1"/>
    <d v="2022-08-10T00:00:00"/>
    <n v="7"/>
    <s v="ED"/>
    <x v="0"/>
    <x v="1"/>
    <x v="3"/>
  </r>
  <r>
    <s v="España"/>
    <n v="2"/>
    <x v="3"/>
    <n v="442533611"/>
    <m/>
    <x v="0"/>
    <m/>
    <s v=""/>
    <m/>
    <s v=""/>
    <n v="29"/>
    <n v="56"/>
    <n v="104000"/>
    <n v="21470"/>
    <n v="29"/>
    <n v="8"/>
    <n v="5"/>
    <n v="15"/>
    <x v="4"/>
    <x v="1"/>
    <d v="2022-09-10T00:00:00"/>
    <n v="8.5"/>
    <s v="LI"/>
    <x v="0"/>
    <x v="2"/>
    <x v="3"/>
  </r>
  <r>
    <s v="España"/>
    <n v="2"/>
    <x v="3"/>
    <n v="442533611"/>
    <m/>
    <x v="0"/>
    <m/>
    <s v=""/>
    <m/>
    <m/>
    <n v="29"/>
    <n v="65"/>
    <n v="98130"/>
    <n v="21470"/>
    <n v="31"/>
    <n v="8"/>
    <n v="5"/>
    <n v="16"/>
    <x v="2"/>
    <x v="1"/>
    <d v="2022-09-21T00:00:00"/>
    <n v="8"/>
    <s v="ED"/>
    <x v="0"/>
    <x v="3"/>
    <x v="3"/>
  </r>
  <r>
    <s v="Italia"/>
    <n v="11"/>
    <x v="4"/>
    <n v="435567808"/>
    <m/>
    <x v="2"/>
    <m/>
    <s v=""/>
    <s v=""/>
    <m/>
    <n v="31"/>
    <n v="46"/>
    <n v="113230"/>
    <n v="17016"/>
    <n v="44"/>
    <n v="8"/>
    <n v="2"/>
    <n v="19"/>
    <x v="3"/>
    <x v="0"/>
    <d v="2022-07-30T00:00:00"/>
    <n v="9"/>
    <s v="ED"/>
    <x v="0"/>
    <x v="0"/>
    <x v="2"/>
  </r>
  <r>
    <s v="Italia"/>
    <n v="11"/>
    <x v="4"/>
    <n v="435567808"/>
    <m/>
    <x v="2"/>
    <m/>
    <s v=""/>
    <n v="1"/>
    <s v=""/>
    <n v="31"/>
    <n v="56"/>
    <n v="103470"/>
    <n v="17016"/>
    <n v="46"/>
    <n v="8"/>
    <n v="2"/>
    <n v="19"/>
    <x v="1"/>
    <x v="0"/>
    <d v="2022-08-10T00:00:00"/>
    <n v="7"/>
    <s v="LD"/>
    <x v="0"/>
    <x v="1"/>
    <x v="2"/>
  </r>
  <r>
    <s v="Italia"/>
    <n v="11"/>
    <x v="4"/>
    <n v="435567808"/>
    <m/>
    <x v="2"/>
    <m/>
    <s v=""/>
    <n v="1"/>
    <s v=""/>
    <n v="31"/>
    <n v="88"/>
    <n v="108870"/>
    <n v="17016"/>
    <n v="50"/>
    <n v="9"/>
    <n v="2"/>
    <n v="20"/>
    <x v="3"/>
    <x v="0"/>
    <d v="2022-09-10T00:00:00"/>
    <n v="9"/>
    <s v="ED"/>
    <x v="0"/>
    <x v="2"/>
    <x v="2"/>
  </r>
  <r>
    <s v="Italia"/>
    <n v="11"/>
    <x v="4"/>
    <n v="435567808"/>
    <m/>
    <x v="2"/>
    <m/>
    <s v=""/>
    <n v="2"/>
    <m/>
    <n v="31"/>
    <n v="97"/>
    <n v="110550"/>
    <n v="17016"/>
    <n v="51"/>
    <n v="9"/>
    <n v="2"/>
    <n v="20"/>
    <x v="3"/>
    <x v="0"/>
    <d v="2022-09-21T00:00:00"/>
    <n v="7"/>
    <s v="LD"/>
    <x v="0"/>
    <x v="3"/>
    <x v="2"/>
  </r>
  <r>
    <s v="España"/>
    <n v="14"/>
    <x v="5"/>
    <n v="435277760"/>
    <m/>
    <x v="0"/>
    <m/>
    <s v=""/>
    <s v=""/>
    <m/>
    <n v="31"/>
    <n v="21"/>
    <n v="110200"/>
    <n v="20340"/>
    <n v="21"/>
    <n v="11"/>
    <n v="2"/>
    <n v="13"/>
    <x v="2"/>
    <x v="0"/>
    <d v="2022-07-30T00:00:00"/>
    <n v="7.5"/>
    <s v="DC"/>
    <x v="0"/>
    <x v="0"/>
    <x v="0"/>
  </r>
  <r>
    <s v="España"/>
    <n v="14"/>
    <x v="5"/>
    <n v="435277760"/>
    <m/>
    <x v="0"/>
    <m/>
    <s v=""/>
    <m/>
    <s v=""/>
    <n v="31"/>
    <n v="31"/>
    <n v="99580"/>
    <n v="20340"/>
    <n v="23"/>
    <n v="11"/>
    <n v="2"/>
    <n v="14"/>
    <x v="3"/>
    <x v="0"/>
    <d v="2022-08-10T00:00:00"/>
    <n v="8.5"/>
    <s v="MC"/>
    <x v="0"/>
    <x v="1"/>
    <x v="0"/>
  </r>
  <r>
    <s v="España"/>
    <n v="14"/>
    <x v="5"/>
    <n v="435277760"/>
    <m/>
    <x v="0"/>
    <m/>
    <s v=""/>
    <m/>
    <s v=""/>
    <n v="31"/>
    <n v="63"/>
    <n v="110010"/>
    <n v="20340"/>
    <n v="27"/>
    <n v="12"/>
    <n v="2"/>
    <n v="15"/>
    <x v="2"/>
    <x v="0"/>
    <d v="2022-09-10T00:00:00"/>
    <n v="9"/>
    <s v="MC"/>
    <x v="0"/>
    <x v="2"/>
    <x v="0"/>
  </r>
  <r>
    <s v="España"/>
    <n v="14"/>
    <x v="5"/>
    <n v="435277760"/>
    <m/>
    <x v="0"/>
    <m/>
    <s v=""/>
    <m/>
    <m/>
    <n v="31"/>
    <n v="72"/>
    <n v="106340"/>
    <n v="20340"/>
    <n v="28"/>
    <n v="12"/>
    <n v="2"/>
    <n v="15"/>
    <x v="3"/>
    <x v="0"/>
    <d v="2022-09-17T00:00:00"/>
    <n v="8.5"/>
    <s v="MC"/>
    <x v="0"/>
    <x v="3"/>
    <x v="0"/>
  </r>
  <r>
    <s v="España"/>
    <n v="5"/>
    <x v="6"/>
    <n v="436973227"/>
    <m/>
    <x v="3"/>
    <m/>
    <s v=""/>
    <s v=""/>
    <m/>
    <n v="30"/>
    <n v="24"/>
    <n v="130010"/>
    <n v="27010"/>
    <n v="50"/>
    <n v="8"/>
    <n v="3"/>
    <n v="20"/>
    <x v="3"/>
    <x v="0"/>
    <d v="2022-07-30T00:00:00"/>
    <n v="7.5"/>
    <s v="DC"/>
    <x v="0"/>
    <x v="0"/>
    <x v="0"/>
  </r>
  <r>
    <s v="España"/>
    <n v="5"/>
    <x v="6"/>
    <n v="436973227"/>
    <m/>
    <x v="3"/>
    <m/>
    <s v=""/>
    <m/>
    <s v=""/>
    <n v="30"/>
    <n v="34"/>
    <n v="122820"/>
    <n v="27010"/>
    <n v="52"/>
    <n v="8"/>
    <n v="3"/>
    <n v="20"/>
    <x v="3"/>
    <x v="0"/>
    <d v="2022-08-06T00:00:00"/>
    <n v="8"/>
    <s v="MC"/>
    <x v="0"/>
    <x v="1"/>
    <x v="0"/>
  </r>
  <r>
    <s v="España"/>
    <n v="5"/>
    <x v="6"/>
    <n v="436973227"/>
    <m/>
    <x v="3"/>
    <m/>
    <s v=""/>
    <m/>
    <s v=""/>
    <n v="30"/>
    <n v="66"/>
    <n v="145560"/>
    <n v="27010"/>
    <n v="56"/>
    <n v="8"/>
    <n v="3"/>
    <n v="20"/>
    <x v="2"/>
    <x v="0"/>
    <d v="2022-09-10T00:00:00"/>
    <n v="10"/>
    <s v="MC"/>
    <x v="0"/>
    <x v="2"/>
    <x v="0"/>
  </r>
  <r>
    <s v="España"/>
    <n v="5"/>
    <x v="6"/>
    <n v="436973227"/>
    <m/>
    <x v="3"/>
    <m/>
    <s v=""/>
    <m/>
    <m/>
    <n v="30"/>
    <n v="75"/>
    <n v="147330"/>
    <n v="27010"/>
    <n v="58"/>
    <n v="8"/>
    <n v="3"/>
    <n v="20"/>
    <x v="4"/>
    <x v="0"/>
    <d v="2022-09-17T00:00:00"/>
    <n v="10"/>
    <s v="MC"/>
    <x v="0"/>
    <x v="3"/>
    <x v="0"/>
  </r>
  <r>
    <s v="Dinamarca"/>
    <n v="13"/>
    <x v="7"/>
    <n v="464895917"/>
    <m/>
    <x v="4"/>
    <m/>
    <s v=""/>
    <m/>
    <s v=""/>
    <n v="19"/>
    <n v="4"/>
    <n v="13550"/>
    <n v="5532"/>
    <n v="1"/>
    <n v="2"/>
    <n v="3"/>
    <n v="3"/>
    <x v="3"/>
    <x v="1"/>
    <d v="2022-08-10T00:00:00"/>
    <n v="1.5"/>
    <s v="DEL"/>
    <x v="1"/>
    <x v="1"/>
    <x v="4"/>
  </r>
  <r>
    <s v="Dinamarca"/>
    <n v="13"/>
    <x v="7"/>
    <n v="464895917"/>
    <m/>
    <x v="4"/>
    <m/>
    <s v=""/>
    <n v="1"/>
    <s v=""/>
    <n v="19"/>
    <n v="36"/>
    <n v="13630"/>
    <n v="5532"/>
    <n v="5"/>
    <n v="2"/>
    <n v="3"/>
    <n v="7"/>
    <x v="3"/>
    <x v="1"/>
    <d v="2022-09-07T00:00:00"/>
    <n v="2.5"/>
    <s v="POR"/>
    <x v="1"/>
    <x v="2"/>
    <x v="4"/>
  </r>
  <r>
    <s v="Dinamarca"/>
    <n v="13"/>
    <x v="7"/>
    <n v="464895917"/>
    <m/>
    <x v="4"/>
    <m/>
    <s v=""/>
    <n v="1"/>
    <m/>
    <n v="19"/>
    <n v="45"/>
    <n v="13600"/>
    <n v="5532"/>
    <n v="7"/>
    <n v="2"/>
    <n v="3"/>
    <n v="8"/>
    <x v="3"/>
    <x v="1"/>
    <d v="2022-09-21T00:00:00"/>
    <n v="3"/>
    <s v="MC"/>
    <x v="1"/>
    <x v="3"/>
    <x v="4"/>
  </r>
  <r>
    <s v="Alemania"/>
    <n v="3"/>
    <x v="8"/>
    <n v="429737286"/>
    <m/>
    <x v="0"/>
    <m/>
    <s v=""/>
    <s v=""/>
    <m/>
    <n v="33"/>
    <n v="105"/>
    <n v="17880"/>
    <n v="7416"/>
    <n v="110"/>
    <n v="9"/>
    <n v="6"/>
    <n v="20"/>
    <x v="1"/>
    <x v="0"/>
    <d v="2022-07-30T00:00:00"/>
    <n v="7"/>
    <s v="LD"/>
    <x v="1"/>
    <x v="0"/>
    <x v="4"/>
  </r>
  <r>
    <s v="Alemania"/>
    <n v="3"/>
    <x v="8"/>
    <n v="429737286"/>
    <m/>
    <x v="0"/>
    <m/>
    <s v=""/>
    <m/>
    <s v=""/>
    <n v="34"/>
    <n v="3"/>
    <n v="9330"/>
    <n v="5508"/>
    <n v="111"/>
    <n v="9"/>
    <n v="6"/>
    <n v="20"/>
    <x v="3"/>
    <x v="0"/>
    <d v="2022-08-10T00:00:00"/>
    <n v="6.5"/>
    <s v="LI"/>
    <x v="1"/>
    <x v="1"/>
    <x v="4"/>
  </r>
  <r>
    <s v="España"/>
    <n v="4"/>
    <x v="9"/>
    <n v="435346337"/>
    <m/>
    <x v="4"/>
    <m/>
    <s v=""/>
    <s v=""/>
    <m/>
    <n v="31"/>
    <n v="29"/>
    <n v="76330"/>
    <n v="18060"/>
    <n v="21"/>
    <n v="9"/>
    <n v="4"/>
    <n v="13"/>
    <x v="0"/>
    <x v="0"/>
    <d v="2022-07-27T00:00:00"/>
    <n v="5.5"/>
    <s v="ED"/>
    <x v="0"/>
    <x v="0"/>
    <x v="0"/>
  </r>
  <r>
    <s v="España"/>
    <n v="4"/>
    <x v="9"/>
    <n v="435346337"/>
    <m/>
    <x v="4"/>
    <m/>
    <s v=""/>
    <m/>
    <s v=""/>
    <n v="31"/>
    <n v="39"/>
    <n v="86110"/>
    <n v="18060"/>
    <n v="23"/>
    <n v="9"/>
    <n v="4"/>
    <n v="14"/>
    <x v="1"/>
    <x v="0"/>
    <d v="2022-08-10T00:00:00"/>
    <n v="7.5"/>
    <s v="MC"/>
    <x v="0"/>
    <x v="1"/>
    <x v="0"/>
  </r>
  <r>
    <s v="España"/>
    <n v="4"/>
    <x v="9"/>
    <n v="435346337"/>
    <m/>
    <x v="4"/>
    <m/>
    <s v=""/>
    <m/>
    <s v=""/>
    <n v="31"/>
    <n v="71"/>
    <n v="91850"/>
    <n v="18060"/>
    <n v="27"/>
    <n v="10"/>
    <n v="4"/>
    <n v="15"/>
    <x v="3"/>
    <x v="0"/>
    <d v="2022-09-07T00:00:00"/>
    <n v="7.5"/>
    <s v="DC"/>
    <x v="0"/>
    <x v="2"/>
    <x v="0"/>
  </r>
  <r>
    <s v="España"/>
    <n v="4"/>
    <x v="9"/>
    <n v="435346337"/>
    <m/>
    <x v="4"/>
    <m/>
    <s v=""/>
    <m/>
    <m/>
    <n v="31"/>
    <n v="80"/>
    <n v="93890"/>
    <n v="18060"/>
    <n v="29"/>
    <n v="10"/>
    <n v="4"/>
    <n v="15"/>
    <x v="3"/>
    <x v="0"/>
    <d v="2022-09-21T00:00:00"/>
    <n v="8.5"/>
    <s v="MC"/>
    <x v="0"/>
    <x v="3"/>
    <x v="0"/>
  </r>
  <r>
    <s v="España"/>
    <n v="15"/>
    <x v="10"/>
    <n v="429023091"/>
    <m/>
    <x v="2"/>
    <m/>
    <s v=""/>
    <s v=""/>
    <m/>
    <n v="33"/>
    <n v="46"/>
    <n v="49630"/>
    <n v="14700"/>
    <n v="52"/>
    <n v="13"/>
    <n v="4"/>
    <n v="20"/>
    <x v="3"/>
    <x v="0"/>
    <d v="2022-07-30T00:00:00"/>
    <n v="9.5"/>
    <s v="MC"/>
    <x v="0"/>
    <x v="0"/>
    <x v="0"/>
  </r>
  <r>
    <s v="España"/>
    <n v="15"/>
    <x v="10"/>
    <n v="429023091"/>
    <m/>
    <x v="2"/>
    <m/>
    <s v=""/>
    <m/>
    <s v=""/>
    <n v="33"/>
    <n v="56"/>
    <n v="45830"/>
    <n v="14700"/>
    <n v="53"/>
    <n v="13"/>
    <n v="4"/>
    <n v="20"/>
    <x v="3"/>
    <x v="0"/>
    <d v="2022-08-10T00:00:00"/>
    <n v="9"/>
    <s v="MC"/>
    <x v="0"/>
    <x v="1"/>
    <x v="0"/>
  </r>
  <r>
    <s v="España"/>
    <n v="15"/>
    <x v="10"/>
    <n v="429023091"/>
    <m/>
    <x v="2"/>
    <m/>
    <s v=""/>
    <m/>
    <s v=""/>
    <n v="33"/>
    <n v="88"/>
    <n v="45420"/>
    <n v="14700"/>
    <n v="58"/>
    <n v="13"/>
    <n v="4"/>
    <n v="20"/>
    <x v="3"/>
    <x v="0"/>
    <d v="2022-09-10T00:00:00"/>
    <n v="8.5"/>
    <s v="MC"/>
    <x v="0"/>
    <x v="2"/>
    <x v="0"/>
  </r>
  <r>
    <s v="España"/>
    <n v="15"/>
    <x v="10"/>
    <n v="429023091"/>
    <m/>
    <x v="2"/>
    <m/>
    <s v=""/>
    <m/>
    <n v="1"/>
    <n v="33"/>
    <n v="97"/>
    <n v="45660"/>
    <n v="14700"/>
    <n v="59"/>
    <n v="13"/>
    <n v="4"/>
    <n v="20"/>
    <x v="3"/>
    <x v="0"/>
    <d v="2022-09-21T00:00:00"/>
    <n v="7.5"/>
    <s v="DEL"/>
    <x v="0"/>
    <x v="3"/>
    <x v="0"/>
  </r>
  <r>
    <s v="Francia"/>
    <n v="12"/>
    <x v="11"/>
    <n v="433112817"/>
    <m/>
    <x v="0"/>
    <m/>
    <s v=""/>
    <s v=""/>
    <m/>
    <n v="32"/>
    <n v="26"/>
    <n v="40660"/>
    <n v="13752"/>
    <n v="54"/>
    <n v="10"/>
    <n v="4"/>
    <n v="20"/>
    <x v="2"/>
    <x v="0"/>
    <d v="2022-07-30T00:00:00"/>
    <n v="8.5"/>
    <s v="LD"/>
    <x v="0"/>
    <x v="0"/>
    <x v="5"/>
  </r>
  <r>
    <s v="Francia"/>
    <n v="12"/>
    <x v="11"/>
    <n v="433112817"/>
    <m/>
    <x v="0"/>
    <m/>
    <s v=""/>
    <m/>
    <s v=""/>
    <n v="32"/>
    <n v="36"/>
    <n v="39540"/>
    <n v="13752"/>
    <n v="56"/>
    <n v="10"/>
    <n v="4"/>
    <n v="20"/>
    <x v="3"/>
    <x v="0"/>
    <d v="2022-08-10T00:00:00"/>
    <n v="8"/>
    <s v="EI"/>
    <x v="0"/>
    <x v="1"/>
    <x v="5"/>
  </r>
  <r>
    <s v="Francia"/>
    <n v="12"/>
    <x v="11"/>
    <n v="433112817"/>
    <m/>
    <x v="0"/>
    <m/>
    <s v=""/>
    <m/>
    <s v=""/>
    <n v="32"/>
    <n v="68"/>
    <n v="40320"/>
    <n v="13752"/>
    <n v="60"/>
    <n v="11"/>
    <n v="4"/>
    <n v="20"/>
    <x v="2"/>
    <x v="0"/>
    <d v="2022-09-10T00:00:00"/>
    <n v="8.5"/>
    <s v="LI"/>
    <x v="0"/>
    <x v="2"/>
    <x v="5"/>
  </r>
  <r>
    <s v="Francia"/>
    <n v="12"/>
    <x v="11"/>
    <n v="433112817"/>
    <m/>
    <x v="0"/>
    <m/>
    <s v=""/>
    <m/>
    <m/>
    <n v="32"/>
    <n v="77"/>
    <n v="41430"/>
    <n v="13752"/>
    <n v="62"/>
    <n v="11"/>
    <n v="4"/>
    <n v="20"/>
    <x v="2"/>
    <x v="0"/>
    <d v="2022-09-21T00:00:00"/>
    <n v="5.5"/>
    <s v="DEL"/>
    <x v="0"/>
    <x v="3"/>
    <x v="5"/>
  </r>
  <r>
    <s v="Alemania"/>
    <n v="8"/>
    <x v="12"/>
    <n v="432101324"/>
    <m/>
    <x v="3"/>
    <m/>
    <s v=""/>
    <s v=""/>
    <m/>
    <n v="32"/>
    <n v="38"/>
    <n v="71160"/>
    <n v="16740"/>
    <n v="43"/>
    <n v="11"/>
    <n v="3"/>
    <n v="19"/>
    <x v="3"/>
    <x v="0"/>
    <d v="2022-07-30T00:00:00"/>
    <n v="8.5"/>
    <s v="MC"/>
    <x v="0"/>
    <x v="0"/>
    <x v="2"/>
  </r>
  <r>
    <s v="Alemania"/>
    <n v="8"/>
    <x v="12"/>
    <n v="432101324"/>
    <m/>
    <x v="3"/>
    <m/>
    <s v=""/>
    <m/>
    <s v=""/>
    <n v="32"/>
    <n v="48"/>
    <n v="69480"/>
    <n v="16740"/>
    <n v="45"/>
    <n v="11"/>
    <n v="3"/>
    <n v="19"/>
    <x v="3"/>
    <x v="0"/>
    <d v="2022-08-06T00:00:00"/>
    <n v="8"/>
    <s v="EI"/>
    <x v="0"/>
    <x v="1"/>
    <x v="2"/>
  </r>
  <r>
    <s v="Alemania"/>
    <n v="8"/>
    <x v="12"/>
    <n v="432101324"/>
    <m/>
    <x v="3"/>
    <m/>
    <s v=""/>
    <n v="1"/>
    <s v=""/>
    <n v="32"/>
    <n v="80"/>
    <n v="68320"/>
    <n v="16740"/>
    <n v="49"/>
    <n v="12"/>
    <n v="3"/>
    <n v="20"/>
    <x v="3"/>
    <x v="0"/>
    <d v="2022-09-10T00:00:00"/>
    <n v="7.5"/>
    <s v="EI"/>
    <x v="0"/>
    <x v="2"/>
    <x v="2"/>
  </r>
  <r>
    <s v="Alemania"/>
    <n v="8"/>
    <x v="12"/>
    <n v="432101324"/>
    <m/>
    <x v="3"/>
    <m/>
    <s v=""/>
    <n v="1"/>
    <m/>
    <n v="32"/>
    <n v="89"/>
    <n v="66270"/>
    <n v="16740"/>
    <n v="51"/>
    <n v="12"/>
    <n v="3"/>
    <n v="20"/>
    <x v="3"/>
    <x v="0"/>
    <d v="2022-09-17T00:00:00"/>
    <n v="8"/>
    <s v="EI"/>
    <x v="0"/>
    <x v="3"/>
    <x v="2"/>
  </r>
  <r>
    <s v="Polonia"/>
    <n v="16"/>
    <x v="13"/>
    <n v="428365466"/>
    <m/>
    <x v="0"/>
    <m/>
    <s v=""/>
    <s v=""/>
    <m/>
    <n v="33"/>
    <n v="84"/>
    <n v="36850"/>
    <n v="8760"/>
    <n v="68"/>
    <n v="9"/>
    <n v="4"/>
    <n v="20"/>
    <x v="3"/>
    <x v="2"/>
    <d v="2022-07-30T00:00:00"/>
    <n v="9"/>
    <s v="ED"/>
    <x v="0"/>
    <x v="0"/>
    <x v="2"/>
  </r>
  <r>
    <s v="Polonia"/>
    <n v="16"/>
    <x v="13"/>
    <n v="428365466"/>
    <m/>
    <x v="0"/>
    <m/>
    <s v=""/>
    <m/>
    <s v=""/>
    <n v="33"/>
    <n v="94"/>
    <n v="36240"/>
    <n v="8760"/>
    <n v="70"/>
    <n v="9"/>
    <n v="4"/>
    <n v="20"/>
    <x v="3"/>
    <x v="2"/>
    <d v="2022-08-10T00:00:00"/>
    <n v="7"/>
    <s v="DEL"/>
    <x v="0"/>
    <x v="1"/>
    <x v="2"/>
  </r>
  <r>
    <s v="Polonia"/>
    <n v="16"/>
    <x v="13"/>
    <n v="428365466"/>
    <m/>
    <x v="0"/>
    <m/>
    <s v=""/>
    <m/>
    <s v=""/>
    <n v="34"/>
    <n v="14"/>
    <n v="18440"/>
    <n v="6372"/>
    <n v="74"/>
    <n v="10"/>
    <n v="4"/>
    <n v="20"/>
    <x v="2"/>
    <x v="2"/>
    <d v="2022-09-10T00:00:00"/>
    <n v="9"/>
    <s v="ED"/>
    <x v="0"/>
    <x v="2"/>
    <x v="2"/>
  </r>
  <r>
    <s v="Polonia"/>
    <n v="16"/>
    <x v="13"/>
    <n v="428365466"/>
    <m/>
    <x v="0"/>
    <m/>
    <s v=""/>
    <m/>
    <m/>
    <n v="34"/>
    <n v="23"/>
    <n v="18650"/>
    <n v="6372"/>
    <n v="76"/>
    <n v="10"/>
    <n v="4"/>
    <n v="20"/>
    <x v="4"/>
    <x v="2"/>
    <d v="2022-09-21T00:00:00"/>
    <n v="8"/>
    <s v="EI"/>
    <x v="0"/>
    <x v="3"/>
    <x v="2"/>
  </r>
  <r>
    <s v="España"/>
    <n v="17"/>
    <x v="14"/>
    <n v="440000802"/>
    <m/>
    <x v="2"/>
    <n v="1"/>
    <s v=""/>
    <s v=""/>
    <m/>
    <n v="29"/>
    <n v="8"/>
    <n v="389960"/>
    <n v="35000"/>
    <n v="192"/>
    <n v="8"/>
    <n v="5"/>
    <n v="20"/>
    <x v="2"/>
    <x v="1"/>
    <d v="2022-07-30T00:00:00"/>
    <n v="12"/>
    <s v="DEL"/>
    <x v="0"/>
    <x v="0"/>
    <x v="1"/>
  </r>
  <r>
    <s v="España"/>
    <n v="9"/>
    <x v="14"/>
    <n v="440000802"/>
    <m/>
    <x v="2"/>
    <n v="1"/>
    <s v=""/>
    <m/>
    <s v=""/>
    <n v="29"/>
    <n v="18"/>
    <n v="396650"/>
    <n v="35000"/>
    <n v="194"/>
    <n v="8"/>
    <n v="5"/>
    <n v="20"/>
    <x v="2"/>
    <x v="1"/>
    <d v="2022-08-06T00:00:00"/>
    <n v="12"/>
    <s v="DEL"/>
    <x v="0"/>
    <x v="1"/>
    <x v="1"/>
  </r>
  <r>
    <s v="España"/>
    <n v="9"/>
    <x v="14"/>
    <n v="440000802"/>
    <m/>
    <x v="2"/>
    <n v="1"/>
    <s v=""/>
    <m/>
    <s v=""/>
    <n v="29"/>
    <n v="50"/>
    <n v="387520"/>
    <n v="35000"/>
    <n v="198"/>
    <n v="8"/>
    <n v="5"/>
    <n v="20"/>
    <x v="2"/>
    <x v="1"/>
    <d v="2022-09-10T00:00:00"/>
    <n v="11.5"/>
    <s v="DEL"/>
    <x v="0"/>
    <x v="2"/>
    <x v="1"/>
  </r>
  <r>
    <s v="España"/>
    <n v="9"/>
    <x v="14"/>
    <n v="440000802"/>
    <m/>
    <x v="2"/>
    <n v="1"/>
    <s v=""/>
    <m/>
    <m/>
    <n v="29"/>
    <n v="59"/>
    <n v="378500"/>
    <n v="35000"/>
    <n v="200"/>
    <n v="8"/>
    <n v="5"/>
    <n v="20"/>
    <x v="2"/>
    <x v="1"/>
    <d v="2022-09-21T00:00:00"/>
    <n v="8"/>
    <s v="MC"/>
    <x v="0"/>
    <x v="3"/>
    <x v="1"/>
  </r>
  <r>
    <s v="Finlandia"/>
    <m/>
    <x v="15"/>
    <n v="369277515"/>
    <n v="1"/>
    <x v="0"/>
    <m/>
    <s v=""/>
    <s v=""/>
    <m/>
    <n v="50"/>
    <n v="35"/>
    <n v="0"/>
    <n v="300"/>
    <n v="245"/>
    <n v="12"/>
    <n v="6"/>
    <n v="20"/>
    <x v="5"/>
    <x v="3"/>
    <d v="2020-12-09T00:00:00"/>
    <n v="5"/>
    <s v="POR"/>
    <x v="1"/>
    <x v="0"/>
    <x v="4"/>
  </r>
  <r>
    <s v="Finlandia"/>
    <n v="50"/>
    <x v="15"/>
    <n v="369277515"/>
    <n v="1"/>
    <x v="0"/>
    <m/>
    <s v=""/>
    <m/>
    <s v=""/>
    <n v="50"/>
    <n v="45"/>
    <n v="0"/>
    <n v="300"/>
    <n v="247"/>
    <n v="12"/>
    <n v="6"/>
    <n v="20"/>
    <x v="5"/>
    <x v="3"/>
    <d v="2020-12-09T00:00:00"/>
    <n v="5"/>
    <s v="POR"/>
    <x v="1"/>
    <x v="1"/>
    <x v="4"/>
  </r>
  <r>
    <s v="Finlandia"/>
    <n v="50"/>
    <x v="15"/>
    <n v="369277515"/>
    <n v="1"/>
    <x v="0"/>
    <m/>
    <s v=""/>
    <m/>
    <s v=""/>
    <n v="50"/>
    <n v="77"/>
    <n v="0"/>
    <n v="300"/>
    <n v="251"/>
    <n v="12"/>
    <n v="6"/>
    <n v="20"/>
    <x v="3"/>
    <x v="3"/>
    <d v="2020-12-09T00:00:00"/>
    <n v="5"/>
    <s v="POR"/>
    <x v="1"/>
    <x v="2"/>
    <x v="4"/>
  </r>
  <r>
    <s v="Finlandia"/>
    <n v="50"/>
    <x v="15"/>
    <n v="369277515"/>
    <n v="1"/>
    <x v="0"/>
    <m/>
    <s v=""/>
    <m/>
    <m/>
    <n v="50"/>
    <n v="86"/>
    <n v="0"/>
    <n v="300"/>
    <n v="253"/>
    <n v="12"/>
    <n v="6"/>
    <n v="20"/>
    <x v="2"/>
    <x v="3"/>
    <d v="2022-09-14T00:00:00"/>
    <n v="5"/>
    <s v="POR"/>
    <x v="1"/>
    <x v="3"/>
    <x v="4"/>
  </r>
  <r>
    <s v="Suiza"/>
    <n v="1"/>
    <x v="16"/>
    <n v="456095772"/>
    <m/>
    <x v="0"/>
    <m/>
    <s v=""/>
    <m/>
    <s v=""/>
    <n v="22"/>
    <n v="89"/>
    <n v="32190"/>
    <n v="14412"/>
    <n v="1"/>
    <n v="5"/>
    <n v="5"/>
    <n v="4"/>
    <x v="3"/>
    <x v="1"/>
    <d v="2022-08-10T00:00:00"/>
    <n v="7.5"/>
    <s v="POR"/>
    <x v="0"/>
    <x v="1"/>
    <x v="6"/>
  </r>
  <r>
    <s v="Suiza"/>
    <n v="1"/>
    <x v="16"/>
    <n v="456095772"/>
    <m/>
    <x v="0"/>
    <m/>
    <s v=""/>
    <m/>
    <s v=""/>
    <n v="23"/>
    <n v="9"/>
    <n v="39150"/>
    <n v="17772"/>
    <n v="5"/>
    <n v="6"/>
    <n v="5"/>
    <n v="7"/>
    <x v="2"/>
    <x v="1"/>
    <d v="2022-09-10T00:00:00"/>
    <n v="8"/>
    <s v="POR"/>
    <x v="0"/>
    <x v="2"/>
    <x v="6"/>
  </r>
  <r>
    <s v="Suiza"/>
    <n v="1"/>
    <x v="16"/>
    <n v="456095772"/>
    <m/>
    <x v="0"/>
    <m/>
    <s v=""/>
    <m/>
    <m/>
    <n v="23"/>
    <n v="18"/>
    <n v="39170"/>
    <n v="17772"/>
    <n v="7"/>
    <n v="6"/>
    <n v="5"/>
    <n v="8"/>
    <x v="2"/>
    <x v="4"/>
    <d v="2022-09-21T00:00:00"/>
    <n v="8.5"/>
    <s v="POR"/>
    <x v="0"/>
    <x v="3"/>
    <x v="6"/>
  </r>
  <r>
    <s v="España"/>
    <n v="7"/>
    <x v="17"/>
    <n v="435269211"/>
    <m/>
    <x v="2"/>
    <m/>
    <s v=""/>
    <m/>
    <s v=""/>
    <n v="31"/>
    <n v="60"/>
    <n v="184430"/>
    <n v="22360"/>
    <n v="3"/>
    <n v="9"/>
    <n v="1"/>
    <n v="5"/>
    <x v="3"/>
    <x v="0"/>
    <d v="2022-09-10T00:00:00"/>
    <n v="9.5"/>
    <s v="DEL"/>
    <x v="0"/>
    <x v="2"/>
    <x v="1"/>
  </r>
  <r>
    <s v="España"/>
    <n v="7"/>
    <x v="17"/>
    <n v="435269211"/>
    <m/>
    <x v="2"/>
    <m/>
    <s v=""/>
    <m/>
    <m/>
    <n v="31"/>
    <n v="69"/>
    <n v="192870"/>
    <n v="22360"/>
    <n v="4"/>
    <n v="9"/>
    <n v="1"/>
    <n v="6"/>
    <x v="2"/>
    <x v="0"/>
    <d v="2022-09-17T00:00:00"/>
    <n v="10"/>
    <s v="DEL"/>
    <x v="0"/>
    <x v="3"/>
    <x v="1"/>
  </r>
  <r>
    <s v="España"/>
    <n v="6"/>
    <x v="18"/>
    <n v="438673045"/>
    <m/>
    <x v="4"/>
    <m/>
    <s v=""/>
    <m/>
    <s v=""/>
    <n v="29"/>
    <n v="70"/>
    <n v="201640"/>
    <n v="23720"/>
    <n v="33"/>
    <n v="9"/>
    <n v="5"/>
    <n v="16"/>
    <x v="2"/>
    <x v="1"/>
    <d v="2022-08-06T00:00:00"/>
    <n v="9.5"/>
    <s v="MC"/>
    <x v="0"/>
    <x v="1"/>
    <x v="0"/>
  </r>
  <r>
    <s v="España"/>
    <n v="6"/>
    <x v="18"/>
    <n v="438673045"/>
    <m/>
    <x v="4"/>
    <m/>
    <s v=""/>
    <m/>
    <s v=""/>
    <n v="29"/>
    <n v="102"/>
    <n v="175060"/>
    <n v="23720"/>
    <n v="37"/>
    <n v="9"/>
    <n v="5"/>
    <n v="17"/>
    <x v="1"/>
    <x v="1"/>
    <d v="2022-09-10T00:00:00"/>
    <n v="8"/>
    <s v="MC"/>
    <x v="0"/>
    <x v="2"/>
    <x v="0"/>
  </r>
  <r>
    <s v="España"/>
    <n v="6"/>
    <x v="18"/>
    <n v="438673045"/>
    <m/>
    <x v="4"/>
    <m/>
    <s v=""/>
    <m/>
    <m/>
    <n v="29"/>
    <n v="111"/>
    <n v="167550"/>
    <n v="23720"/>
    <n v="38"/>
    <n v="9"/>
    <n v="5"/>
    <n v="18"/>
    <x v="1"/>
    <x v="1"/>
    <d v="2022-09-17T00:00:00"/>
    <n v="7.5"/>
    <s v="MC"/>
    <x v="0"/>
    <x v="3"/>
    <x v="0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  <r>
    <m/>
    <m/>
    <x v="19"/>
    <m/>
    <m/>
    <x v="5"/>
    <m/>
    <m/>
    <m/>
    <m/>
    <m/>
    <m/>
    <m/>
    <m/>
    <m/>
    <m/>
    <m/>
    <m/>
    <x v="6"/>
    <x v="5"/>
    <m/>
    <m/>
    <m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2F785-8657-4AB2-99E6-A5574EF9AE5F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8">
        <item x="0"/>
        <item x="2"/>
        <item x="4"/>
        <item x="3"/>
        <item x="1"/>
        <item m="1" x="6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m="1" x="2"/>
        <item x="0"/>
        <item x="1"/>
        <item t="default"/>
      </items>
    </pivotField>
    <pivotField axis="axisPage" showAll="0">
      <items count="6">
        <item x="0"/>
        <item x="4"/>
        <item x="1"/>
        <item x="2"/>
        <item x="3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3" item="1" hier="-1"/>
    <pageField fld="24" item="0" hier="-1"/>
  </pageFields>
  <dataFields count="8">
    <dataField name="Cuenta de Nombre" fld="2" subtotal="count" baseField="0" baseItem="0"/>
    <dataField name="Promedio de Edad" fld="10" subtotal="average" baseField="5" baseItem="4" numFmtId="172"/>
    <dataField name="Promedio de Días" fld="11" subtotal="average" baseField="5" baseItem="3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3" numFmtId="172"/>
    <dataField name="Promedio de Experiencia" fld="15" subtotal="average" baseField="5" baseItem="2" numFmtId="172"/>
    <dataField name="Promedio de Resistencia" fld="19" subtotal="average" baseField="5" baseItem="3" numFmtId="172"/>
  </dataFields>
  <formats count="1">
    <format dxfId="66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B7170-80FE-46A5-8A94-A92EBB15D2E5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20:AI48" firstHeaderRow="1" firstDataRow="2" firstDataCol="2" rowPageCount="1" colPageCount="1"/>
  <pivotFields count="26">
    <pivotField showAll="0"/>
    <pivotField showAll="0"/>
    <pivotField axis="axisRow" outline="0" showAll="0" defaultSubtotal="0">
      <items count="28">
        <item x="25"/>
        <item x="2"/>
        <item x="15"/>
        <item x="5"/>
        <item x="24"/>
        <item x="20"/>
        <item x="19"/>
        <item x="21"/>
        <item x="10"/>
        <item x="7"/>
        <item x="8"/>
        <item x="26"/>
        <item x="9"/>
        <item x="1"/>
        <item x="11"/>
        <item x="22"/>
        <item x="18"/>
        <item x="0"/>
        <item x="3"/>
        <item x="23"/>
        <item x="4"/>
        <item x="13"/>
        <item x="17"/>
        <item x="14"/>
        <item x="6"/>
        <item x="16"/>
        <item x="12"/>
        <item x="27"/>
      </items>
    </pivotField>
    <pivotField showAll="0"/>
    <pivotField showAll="0"/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1">
        <item x="8"/>
        <item x="6"/>
        <item x="1"/>
        <item x="4"/>
        <item x="2"/>
        <item x="5"/>
        <item x="7"/>
        <item x="0"/>
        <item x="3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axis="axisRow" showAll="0">
      <items count="10">
        <item x="5"/>
        <item x="7"/>
        <item x="8"/>
        <item x="2"/>
        <item x="3"/>
        <item x="0"/>
        <item x="1"/>
        <item x="4"/>
        <item x="6"/>
        <item t="default"/>
      </items>
    </pivotField>
  </pivotFields>
  <rowFields count="3">
    <field x="25"/>
    <field x="2"/>
    <field x="5"/>
  </rowFields>
  <rowItems count="27">
    <i>
      <x/>
    </i>
    <i r="1">
      <x v="8"/>
      <x v="4"/>
    </i>
    <i>
      <x v="1"/>
    </i>
    <i r="1">
      <x v="2"/>
      <x v="3"/>
    </i>
    <i r="1">
      <x v="26"/>
      <x v="3"/>
    </i>
    <i>
      <x v="2"/>
    </i>
    <i r="1">
      <x v="16"/>
      <x v="4"/>
    </i>
    <i>
      <x v="3"/>
    </i>
    <i r="1">
      <x v="1"/>
      <x v="1"/>
    </i>
    <i r="1">
      <x v="20"/>
      <x/>
    </i>
    <i r="1">
      <x v="23"/>
      <x v="1"/>
    </i>
    <i>
      <x v="4"/>
    </i>
    <i r="1">
      <x v="18"/>
      <x v="1"/>
    </i>
    <i r="1">
      <x v="22"/>
      <x v="4"/>
    </i>
    <i r="1">
      <x v="24"/>
      <x v="1"/>
    </i>
    <i>
      <x v="5"/>
    </i>
    <i r="1">
      <x v="6"/>
      <x v="1"/>
    </i>
    <i r="1">
      <x v="12"/>
      <x v="3"/>
    </i>
    <i r="1">
      <x v="17"/>
      <x v="2"/>
    </i>
    <i r="1">
      <x v="25"/>
      <x v="1"/>
    </i>
    <i>
      <x v="6"/>
    </i>
    <i r="1">
      <x v="10"/>
      <x v="4"/>
    </i>
    <i r="1">
      <x v="13"/>
      <x v="3"/>
    </i>
    <i r="1">
      <x v="21"/>
      <x v="4"/>
    </i>
    <i>
      <x v="7"/>
    </i>
    <i r="1">
      <x v="9"/>
      <x/>
    </i>
    <i t="grand">
      <x/>
    </i>
  </rowItems>
  <colFields count="1">
    <field x="24"/>
  </colFields>
  <colItems count="5">
    <i>
      <x/>
    </i>
    <i>
      <x v="2"/>
    </i>
    <i>
      <x v="3"/>
    </i>
    <i>
      <x v="4"/>
    </i>
    <i t="grand">
      <x/>
    </i>
  </colItems>
  <pageFields count="1">
    <pageField fld="23" item="0" hier="-1"/>
  </pageFields>
  <dataFields count="1">
    <dataField name="Suma de Rendimiento último partid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5E89A-5FDA-43C6-A958-B417BCF50748}" name="TablaDiná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6">
        <item x="1"/>
        <item x="4"/>
        <item x="2"/>
        <item x="3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0" hier="-1"/>
  </pageFields>
  <dataFields count="8">
    <dataField name="Cuenta de Nombre" fld="2" subtotal="count" baseField="0" baseItem="0"/>
    <dataField name="Promedio de Edad" fld="10" subtotal="average" baseField="5" baseItem="3" numFmtId="172"/>
    <dataField name="Promedio de Días" fld="11" subtotal="average" baseField="5" baseItem="1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0" numFmtId="172"/>
    <dataField name="Promedio de Experiencia" fld="15" subtotal="average" baseField="5" baseItem="1" numFmtId="172"/>
    <dataField name="Promedio de Resistencia" fld="19" subtotal="average" baseField="5" baseItem="1" numFmtId="172"/>
  </dataFields>
  <formats count="1">
    <format dxfId="27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49191-6895-466D-953F-100F4A20A680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K20:AQ48" firstHeaderRow="1" firstDataRow="2" firstDataCol="2" rowPageCount="1" colPageCount="1"/>
  <pivotFields count="26">
    <pivotField showAll="0"/>
    <pivotField showAll="0"/>
    <pivotField axis="axisRow" outline="0" showAll="0" defaultSubtotal="0">
      <items count="28">
        <item x="25"/>
        <item x="2"/>
        <item x="15"/>
        <item x="5"/>
        <item x="24"/>
        <item x="20"/>
        <item x="19"/>
        <item x="21"/>
        <item x="10"/>
        <item x="7"/>
        <item x="8"/>
        <item x="26"/>
        <item x="9"/>
        <item x="1"/>
        <item x="11"/>
        <item x="22"/>
        <item x="18"/>
        <item x="0"/>
        <item x="3"/>
        <item x="23"/>
        <item x="4"/>
        <item x="13"/>
        <item x="17"/>
        <item x="14"/>
        <item x="6"/>
        <item x="16"/>
        <item x="12"/>
        <item x="27"/>
      </items>
    </pivotField>
    <pivotField showAll="0"/>
    <pivotField showAll="0"/>
    <pivotField axis="axisRow" showAll="0">
      <items count="7">
        <item x="3"/>
        <item x="2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1">
        <item x="8"/>
        <item x="6"/>
        <item x="1"/>
        <item x="4"/>
        <item x="2"/>
        <item x="5"/>
        <item x="7"/>
        <item x="0"/>
        <item x="3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axis="axisRow" showAll="0">
      <items count="10">
        <item x="5"/>
        <item x="7"/>
        <item x="8"/>
        <item x="2"/>
        <item x="3"/>
        <item x="0"/>
        <item x="1"/>
        <item x="4"/>
        <item x="6"/>
        <item t="default"/>
      </items>
    </pivotField>
  </pivotFields>
  <rowFields count="3">
    <field x="25"/>
    <field x="2"/>
    <field x="5"/>
  </rowFields>
  <rowItems count="27">
    <i>
      <x/>
    </i>
    <i r="1">
      <x v="8"/>
      <x v="4"/>
    </i>
    <i>
      <x v="1"/>
    </i>
    <i r="1">
      <x v="2"/>
      <x v="3"/>
    </i>
    <i r="1">
      <x v="26"/>
      <x v="3"/>
    </i>
    <i>
      <x v="2"/>
    </i>
    <i r="1">
      <x v="16"/>
      <x v="4"/>
    </i>
    <i>
      <x v="3"/>
    </i>
    <i r="1">
      <x v="1"/>
      <x v="1"/>
    </i>
    <i r="1">
      <x v="20"/>
      <x/>
    </i>
    <i r="1">
      <x v="23"/>
      <x v="1"/>
    </i>
    <i>
      <x v="4"/>
    </i>
    <i r="1">
      <x v="18"/>
      <x v="1"/>
    </i>
    <i r="1">
      <x v="22"/>
      <x v="4"/>
    </i>
    <i r="1">
      <x v="24"/>
      <x v="1"/>
    </i>
    <i>
      <x v="5"/>
    </i>
    <i r="1">
      <x v="6"/>
      <x v="1"/>
    </i>
    <i r="1">
      <x v="12"/>
      <x v="3"/>
    </i>
    <i r="1">
      <x v="17"/>
      <x v="2"/>
    </i>
    <i r="1">
      <x v="25"/>
      <x v="1"/>
    </i>
    <i>
      <x v="6"/>
    </i>
    <i r="1">
      <x v="10"/>
      <x v="4"/>
    </i>
    <i r="1">
      <x v="13"/>
      <x v="3"/>
    </i>
    <i r="1">
      <x v="21"/>
      <x v="4"/>
    </i>
    <i>
      <x v="7"/>
    </i>
    <i r="1">
      <x v="9"/>
      <x/>
    </i>
    <i t="grand">
      <x/>
    </i>
  </rowItems>
  <colFields count="1">
    <field x="24"/>
  </colFields>
  <colItems count="5">
    <i>
      <x/>
    </i>
    <i>
      <x v="2"/>
    </i>
    <i>
      <x v="3"/>
    </i>
    <i>
      <x v="4"/>
    </i>
    <i t="grand">
      <x/>
    </i>
  </colItems>
  <pageFields count="1">
    <pageField fld="23" item="0" hier="-1"/>
  </pageFields>
  <dataFields count="1">
    <dataField name="Suma de Forma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01085-AB46-4256-9B8B-6ACA9AA7B2BF}" name="TablaDinámica2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C3:AH25" firstHeaderRow="1" firstDataRow="3" firstDataCol="2" rowPageCount="1" colPageCount="1"/>
  <pivotFields count="26">
    <pivotField showAll="0"/>
    <pivotField showAll="0"/>
    <pivotField axis="axisRow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/>
    <pivotField showAll="0"/>
    <pivotField axis="axisRow" showAll="0">
      <items count="8">
        <item x="0"/>
        <item x="2"/>
        <item x="4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25"/>
    <field x="2"/>
    <field x="5"/>
  </rowFields>
  <rowItems count="20">
    <i>
      <x/>
    </i>
    <i r="1">
      <x v="1"/>
      <x v="5"/>
    </i>
    <i r="1">
      <x v="4"/>
      <x/>
    </i>
    <i r="1">
      <x v="10"/>
      <x/>
    </i>
    <i r="1">
      <x v="14"/>
      <x v="1"/>
    </i>
    <i r="1">
      <x v="20"/>
      <x v="2"/>
    </i>
    <i r="1">
      <x v="21"/>
      <x v="1"/>
    </i>
    <i r="1">
      <x v="22"/>
      <x/>
    </i>
    <i r="1">
      <x v="24"/>
      <x v="2"/>
    </i>
    <i>
      <x v="1"/>
    </i>
    <i r="1">
      <x v="2"/>
      <x/>
    </i>
    <i>
      <x v="2"/>
    </i>
    <i r="1">
      <x v="3"/>
      <x/>
    </i>
    <i r="1">
      <x v="9"/>
      <x v="2"/>
    </i>
    <i r="1">
      <x v="23"/>
      <x v="2"/>
    </i>
    <i>
      <x v="3"/>
    </i>
    <i r="1">
      <x v="13"/>
      <x v="4"/>
    </i>
    <i>
      <x v="4"/>
    </i>
    <i r="1">
      <x v="16"/>
      <x v="1"/>
    </i>
    <i t="grand">
      <x/>
    </i>
  </rowItems>
  <colFields count="2">
    <field x="-2"/>
    <field x="24"/>
  </colFields>
  <colItems count="4">
    <i>
      <x/>
      <x/>
    </i>
    <i r="1">
      <x v="2"/>
    </i>
    <i i="1">
      <x v="1"/>
      <x/>
    </i>
    <i r="1" i="1">
      <x v="2"/>
    </i>
  </colItems>
  <pageFields count="1">
    <pageField fld="23" item="0" hier="-1"/>
  </pageFields>
  <dataFields count="2">
    <dataField name="Suma de Forma" fld="18" baseField="0" baseItem="0"/>
    <dataField name="Suma de Rendimiento último partid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51692-AC14-4B17-9A9B-8666AACFF20D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20:AS45" firstHeaderRow="1" firstDataRow="3" firstDataCol="2" rowPageCount="1" colPageCount="1"/>
  <pivotFields count="26">
    <pivotField showAll="0"/>
    <pivotField showAll="0"/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howAll="0"/>
    <pivotField showAll="0"/>
    <pivotField axis="axisRow" showAll="0">
      <items count="8">
        <item x="0"/>
        <item x="2"/>
        <item x="4"/>
        <item x="3"/>
        <item x="1"/>
        <item m="1"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>
      <items count="8">
        <item x="5"/>
        <item x="0"/>
        <item x="1"/>
        <item x="3"/>
        <item x="2"/>
        <item x="4"/>
        <item x="6"/>
        <item t="default"/>
      </items>
    </pivotField>
    <pivotField showAll="0">
      <items count="7">
        <item x="3"/>
        <item x="2"/>
        <item x="0"/>
        <item x="1"/>
        <item x="4"/>
        <item x="5"/>
        <item t="default"/>
      </items>
    </pivotField>
    <pivotField showAll="0"/>
    <pivotField dataField="1" showAll="0"/>
    <pivotField showAll="0"/>
    <pivotField axis="axisPage" showAll="0">
      <items count="4">
        <item m="1" x="2"/>
        <item x="0"/>
        <item x="1"/>
        <item t="default"/>
      </items>
    </pivotField>
    <pivotField axis="axisCol" showAll="0">
      <items count="6">
        <item x="0"/>
        <item x="4"/>
        <item x="1"/>
        <item x="2"/>
        <item x="3"/>
        <item t="default"/>
      </items>
    </pivotField>
    <pivotField axis="axisRow" showAll="0">
      <items count="8">
        <item x="1"/>
        <item x="2"/>
        <item x="5"/>
        <item x="0"/>
        <item x="3"/>
        <item x="6"/>
        <item x="4"/>
        <item t="default"/>
      </items>
    </pivotField>
  </pivotFields>
  <rowFields count="3">
    <field x="25"/>
    <field x="2"/>
    <field x="5"/>
  </rowFields>
  <rowItems count="23">
    <i>
      <x/>
    </i>
    <i r="1">
      <x v="1"/>
      <x v="4"/>
    </i>
    <i r="1">
      <x v="14"/>
      <x v="1"/>
    </i>
    <i r="1">
      <x v="17"/>
      <x v="1"/>
    </i>
    <i>
      <x v="1"/>
    </i>
    <i r="1">
      <x v="2"/>
      <x/>
    </i>
    <i r="1">
      <x v="4"/>
      <x v="1"/>
    </i>
    <i r="1">
      <x v="12"/>
      <x v="3"/>
    </i>
    <i r="1">
      <x v="13"/>
      <x/>
    </i>
    <i>
      <x v="2"/>
    </i>
    <i r="1">
      <x v="11"/>
      <x/>
    </i>
    <i>
      <x v="3"/>
    </i>
    <i r="1">
      <x/>
      <x/>
    </i>
    <i r="1">
      <x v="5"/>
      <x/>
    </i>
    <i r="1">
      <x v="6"/>
      <x v="3"/>
    </i>
    <i r="1">
      <x v="9"/>
      <x v="2"/>
    </i>
    <i r="1">
      <x v="10"/>
      <x v="1"/>
    </i>
    <i r="1">
      <x v="18"/>
      <x v="2"/>
    </i>
    <i>
      <x v="4"/>
    </i>
    <i r="1">
      <x v="3"/>
      <x/>
    </i>
    <i>
      <x v="5"/>
    </i>
    <i r="1">
      <x v="16"/>
      <x/>
    </i>
    <i t="grand">
      <x/>
    </i>
  </rowItems>
  <colFields count="2">
    <field x="-2"/>
    <field x="24"/>
  </colFields>
  <colItems count="15">
    <i>
      <x/>
      <x/>
    </i>
    <i r="1">
      <x v="2"/>
    </i>
    <i r="1">
      <x v="3"/>
    </i>
    <i r="1">
      <x v="4"/>
    </i>
    <i i="1">
      <x v="1"/>
      <x/>
    </i>
    <i r="1" i="1">
      <x v="2"/>
    </i>
    <i r="1" i="1">
      <x v="3"/>
    </i>
    <i r="1" i="1">
      <x v="4"/>
    </i>
    <i i="2">
      <x v="2"/>
      <x/>
    </i>
    <i r="1" i="2">
      <x v="2"/>
    </i>
    <i r="1" i="2">
      <x v="3"/>
    </i>
    <i r="1" i="2">
      <x v="4"/>
    </i>
    <i t="grand">
      <x/>
    </i>
    <i t="grand" i="1">
      <x/>
    </i>
    <i t="grand" i="2">
      <x/>
    </i>
  </colItems>
  <pageFields count="1">
    <pageField fld="23" item="1" hier="-1"/>
  </pageFields>
  <dataFields count="3">
    <dataField name="Suma de Forma" fld="18" baseField="0" baseItem="0"/>
    <dataField name="Suma de TSI" fld="12" baseField="0" baseItem="0"/>
    <dataField name="Suma de Rendimiento último partid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B6DE3-8391-4E37-ACD0-CC0F2134A0E3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N4:AS31" firstHeaderRow="1" firstDataRow="3" firstDataCol="2" rowPageCount="1" colPageCount="1"/>
  <pivotFields count="26">
    <pivotField showAll="0"/>
    <pivotField showAll="0"/>
    <pivotField axis="axisRow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/>
    <pivotField showAll="0"/>
    <pivotField axis="axisRow" showAll="0">
      <items count="8">
        <item x="0"/>
        <item x="5"/>
        <item x="2"/>
        <item x="3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 defaultSubtotal="0">
      <items count="11">
        <item x="10"/>
        <item x="8"/>
        <item x="2"/>
        <item x="4"/>
        <item x="6"/>
        <item x="9"/>
        <item x="1"/>
        <item x="5"/>
        <item x="7"/>
        <item x="3"/>
        <item x="0"/>
      </items>
    </pivotField>
  </pivotFields>
  <rowFields count="3">
    <field x="25"/>
    <field x="2"/>
    <field x="5"/>
  </rowFields>
  <rowItems count="25">
    <i>
      <x/>
    </i>
    <i r="1">
      <x v="34"/>
      <x/>
    </i>
    <i>
      <x v="1"/>
    </i>
    <i r="1">
      <x v="29"/>
      <x v="4"/>
    </i>
    <i>
      <x v="2"/>
    </i>
    <i r="1">
      <x v="4"/>
      <x v="2"/>
    </i>
    <i>
      <x v="3"/>
    </i>
    <i r="1">
      <x v="16"/>
      <x v="3"/>
    </i>
    <i>
      <x v="4"/>
    </i>
    <i r="1">
      <x v="18"/>
      <x v="2"/>
    </i>
    <i>
      <x v="5"/>
    </i>
    <i r="1">
      <x v="32"/>
      <x v="2"/>
    </i>
    <i>
      <x v="6"/>
    </i>
    <i r="1">
      <x v="1"/>
      <x v="4"/>
    </i>
    <i r="1">
      <x v="35"/>
      <x v="1"/>
    </i>
    <i>
      <x v="7"/>
    </i>
    <i r="1">
      <x v="17"/>
      <x v="2"/>
    </i>
    <i r="1">
      <x v="19"/>
      <x v="1"/>
    </i>
    <i r="1">
      <x v="36"/>
      <x v="2"/>
    </i>
    <i>
      <x v="8"/>
    </i>
    <i r="1">
      <x v="25"/>
      <x v="3"/>
    </i>
    <i r="1">
      <x v="28"/>
      <x v="2"/>
    </i>
    <i>
      <x v="9"/>
    </i>
    <i r="1">
      <x v="10"/>
      <x v="3"/>
    </i>
    <i r="1">
      <x v="14"/>
      <x v="3"/>
    </i>
  </rowItems>
  <colFields count="2">
    <field x="24"/>
    <field x="-2"/>
  </colFields>
  <colItems count="4">
    <i>
      <x/>
      <x/>
    </i>
    <i r="1" i="1">
      <x v="1"/>
    </i>
    <i>
      <x v="2"/>
      <x/>
    </i>
    <i r="1" i="1">
      <x v="1"/>
    </i>
  </colItems>
  <pageFields count="1">
    <pageField fld="23" item="1" hier="-1"/>
  </pageFields>
  <dataFields count="2">
    <dataField name="Suma de Forma" fld="18" baseField="0" baseItem="0"/>
    <dataField name="Suma de TSI" fld="12" baseField="0" baseItem="0"/>
  </dataFields>
  <formats count="1">
    <format dxfId="57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73F4-BA40-4B66-B18E-A8236B89EB7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8">
        <item x="0"/>
        <item x="5"/>
        <item x="2"/>
        <item x="3"/>
        <item x="1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2" hier="-1"/>
    <pageField fld="23" item="1" hier="-1"/>
  </pageFields>
  <dataFields count="8">
    <dataField name="Cuenta de Nombre" fld="2" subtotal="count" baseField="0" baseItem="0"/>
    <dataField name="Promedio de Edad" fld="10" subtotal="average" baseField="5" baseItem="0" numFmtId="172"/>
    <dataField name="Promedio de Días" fld="11" subtotal="average" baseField="5" baseItem="0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0" numFmtId="172"/>
    <dataField name="Promedio de Experiencia" fld="15" subtotal="average" baseField="5" baseItem="0" numFmtId="172"/>
    <dataField name="Promedio de Resistencia" fld="19" subtotal="average" baseField="5" baseItem="0" numFmtId="172"/>
  </dataFields>
  <formats count="1">
    <format dxfId="58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4D113-F047-4588-B52B-7BC901204C1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B4:AJ9" firstHeaderRow="0" firstDataRow="1" firstDataCol="1" rowPageCount="2" colPageCount="1"/>
  <pivotFields count="25">
    <pivotField showAll="0"/>
    <pivotField showAll="0"/>
    <pivotField dataField="1" showAll="0"/>
    <pivotField showAll="0"/>
    <pivotField showAll="0"/>
    <pivotField axis="axisRow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dataField="1" showAll="0">
      <items count="11">
        <item x="6"/>
        <item x="3"/>
        <item x="5"/>
        <item x="7"/>
        <item x="0"/>
        <item x="1"/>
        <item x="2"/>
        <item x="8"/>
        <item x="4"/>
        <item x="9"/>
        <item t="default"/>
      </items>
    </pivotField>
    <pivotField dataField="1" showAll="0">
      <items count="24">
        <item x="13"/>
        <item x="16"/>
        <item x="20"/>
        <item x="2"/>
        <item x="15"/>
        <item x="11"/>
        <item x="5"/>
        <item x="10"/>
        <item x="17"/>
        <item x="12"/>
        <item x="6"/>
        <item x="4"/>
        <item x="0"/>
        <item x="3"/>
        <item x="9"/>
        <item x="14"/>
        <item x="18"/>
        <item x="7"/>
        <item x="1"/>
        <item x="21"/>
        <item x="8"/>
        <item x="19"/>
        <item x="22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1" hier="-1"/>
  </pageFields>
  <dataFields count="8">
    <dataField name="Cuenta de Nombre" fld="2" subtotal="count" baseField="0" baseItem="0"/>
    <dataField name="Promedio de Edad" fld="10" subtotal="average" baseField="5" baseItem="1" numFmtId="172"/>
    <dataField name="Promedio de Días" fld="11" subtotal="average" baseField="5" baseItem="1" numFmtId="172"/>
    <dataField name="Suma de TSI" fld="12" baseField="0" baseItem="0"/>
    <dataField name="Suma de Salario" fld="13" baseField="0" baseItem="0"/>
    <dataField name="Promedio de Forma" fld="18" subtotal="average" baseField="5" baseItem="1" numFmtId="172"/>
    <dataField name="Promedio de Experiencia" fld="15" subtotal="average" baseField="5" baseItem="1" numFmtId="172"/>
    <dataField name="Promedio de Resistencia" fld="19" subtotal="average" baseField="5" baseItem="1" numFmtId="172"/>
  </dataFields>
  <formats count="2">
    <format dxfId="50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4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9050D-26F1-4D5F-9601-45A615BBCD7E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B19:AG2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showAll="0">
      <items count="11">
        <item x="6"/>
        <item x="3"/>
        <item x="5"/>
        <item x="7"/>
        <item x="0"/>
        <item x="1"/>
        <item x="2"/>
        <item x="8"/>
        <item x="4"/>
        <item x="9"/>
        <item t="default"/>
      </items>
    </pivotField>
    <pivotField showAll="0">
      <items count="24">
        <item x="13"/>
        <item x="16"/>
        <item x="20"/>
        <item x="2"/>
        <item x="15"/>
        <item x="11"/>
        <item x="5"/>
        <item x="10"/>
        <item x="17"/>
        <item x="12"/>
        <item x="6"/>
        <item x="4"/>
        <item x="0"/>
        <item x="3"/>
        <item x="9"/>
        <item x="14"/>
        <item x="18"/>
        <item x="7"/>
        <item x="1"/>
        <item x="21"/>
        <item x="8"/>
        <item x="19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2"/>
        <item x="3"/>
        <item x="6"/>
        <item x="7"/>
        <item x="4"/>
        <item x="0"/>
        <item x="1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2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24" item="0" hier="-1"/>
    <pageField fld="23" item="1" hier="-1"/>
  </pageFields>
  <dataFields count="1">
    <dataField name="Suma de TSI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6CC43-D0B4-4CDB-9905-9CB4C91FB5A2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B5:AJ11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2" hier="-1"/>
    <pageField fld="23" item="0" hier="-1"/>
  </pageFields>
  <dataFields count="8">
    <dataField name="Cuenta de Nombre" fld="2" subtotal="count" baseField="0" baseItem="0"/>
    <dataField name="Suma de TSI" fld="12" baseField="0" baseItem="0"/>
    <dataField name="Suma de Salario" fld="13" baseField="0" baseItem="0"/>
    <dataField name="Promedio de Edad" fld="10" subtotal="average" baseField="5" baseItem="2" numFmtId="172"/>
    <dataField name="Promedio de Días" fld="11" subtotal="average" baseField="5" baseItem="0" numFmtId="172"/>
    <dataField name="Promedio de Forma" fld="18" subtotal="average" baseField="5" baseItem="3" numFmtId="172"/>
    <dataField name="Promedio de Experiencia" fld="15" subtotal="average" baseField="5" baseItem="0" numFmtId="172"/>
    <dataField name="Promedio de Resistencia" fld="19" subtotal="average" baseField="5" baseItem="0" numFmtId="172"/>
  </dataFields>
  <formats count="2">
    <format dxfId="42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41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C8139-EC9F-44D9-A523-59A2C49D17FF}" name="TablaDinámica1" cacheId="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B21:AG45" firstHeaderRow="1" firstDataRow="3" firstDataCol="2" rowPageCount="1" colPageCount="1"/>
  <pivotFields count="26">
    <pivotField showAll="0"/>
    <pivotField showAll="0"/>
    <pivotField axis="axisRow" outline="0" showAll="0" defaultSubtota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</items>
    </pivotField>
    <pivotField showAll="0"/>
    <pivotField showAll="0"/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">
        <item x="6"/>
        <item x="5"/>
        <item x="4"/>
        <item x="0"/>
        <item x="2"/>
        <item x="1"/>
        <item x="3"/>
        <item x="7"/>
        <item t="default"/>
      </items>
    </pivotField>
    <pivotField showAll="0"/>
    <pivotField showAll="0"/>
    <pivotField dataField="1" showAll="0"/>
    <pivotField showAll="0"/>
    <pivotField axis="axisPage" showAll="0">
      <items count="4"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8">
        <item x="4"/>
        <item x="6"/>
        <item x="1"/>
        <item x="2"/>
        <item x="0"/>
        <item x="5"/>
        <item x="3"/>
        <item t="default"/>
      </items>
    </pivotField>
  </pivotFields>
  <rowFields count="3">
    <field x="25"/>
    <field x="2"/>
    <field x="5"/>
  </rowFields>
  <rowItems count="22">
    <i>
      <x/>
    </i>
    <i r="1">
      <x v="1"/>
      <x v="1"/>
    </i>
    <i r="1">
      <x v="6"/>
      <x v="1"/>
    </i>
    <i r="1">
      <x v="13"/>
      <x v="3"/>
    </i>
    <i>
      <x v="1"/>
    </i>
    <i r="1">
      <x/>
      <x v="2"/>
    </i>
    <i r="1">
      <x v="11"/>
      <x v="1"/>
    </i>
    <i>
      <x v="2"/>
    </i>
    <i r="1">
      <x v="5"/>
      <x v="1"/>
    </i>
    <i r="1">
      <x v="8"/>
      <x v="1"/>
    </i>
    <i r="1">
      <x v="17"/>
      <x v="4"/>
    </i>
    <i r="1">
      <x v="18"/>
      <x v="3"/>
    </i>
    <i>
      <x v="3"/>
    </i>
    <i r="1">
      <x v="7"/>
      <x v="4"/>
    </i>
    <i r="1">
      <x v="16"/>
      <x v="2"/>
    </i>
    <i>
      <x v="4"/>
    </i>
    <i r="1">
      <x v="3"/>
      <x v="4"/>
    </i>
    <i r="1">
      <x v="19"/>
      <x v="4"/>
    </i>
    <i>
      <x v="5"/>
    </i>
    <i r="1">
      <x v="9"/>
      <x/>
    </i>
    <i r="1">
      <x v="12"/>
      <x/>
    </i>
    <i t="grand">
      <x/>
    </i>
  </rowItems>
  <colFields count="2">
    <field x="-2"/>
    <field x="24"/>
  </colFields>
  <colItems count="4">
    <i>
      <x/>
      <x/>
    </i>
    <i r="1">
      <x v="2"/>
    </i>
    <i i="1">
      <x v="1"/>
      <x/>
    </i>
    <i r="1" i="1">
      <x v="2"/>
    </i>
  </colItems>
  <pageFields count="1">
    <pageField fld="23" item="0" hier="-1"/>
  </pageFields>
  <dataFields count="2">
    <dataField name="Suma de Forma" fld="18" baseField="0" baseItem="0"/>
    <dataField name="Suma de Rendimiento último partid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F0648-B5BB-4078-B321-59A9918374C1}" name="TablaDinámica1" cacheId="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C4:AN23" firstHeaderRow="1" firstDataRow="3" firstDataCol="3" rowPageCount="2" colPageCount="1"/>
  <pivotFields count="26">
    <pivotField showAll="0"/>
    <pivotField showAll="0"/>
    <pivotField axis="axisRow" outline="0" showAll="0" defaultSubtotal="0">
      <items count="20">
        <item x="2"/>
        <item x="12"/>
        <item x="13"/>
        <item x="0"/>
        <item x="5"/>
        <item x="18"/>
        <item x="6"/>
        <item x="15"/>
        <item x="3"/>
        <item x="7"/>
        <item x="17"/>
        <item x="9"/>
        <item x="10"/>
        <item x="8"/>
        <item x="4"/>
        <item x="16"/>
        <item x="14"/>
        <item x="11"/>
        <item x="1"/>
        <item x="19"/>
      </items>
    </pivotField>
    <pivotField showAll="0"/>
    <pivotField showAll="0"/>
    <pivotField axis="axisRow" outline="0" showAll="0" defaultSubtotal="0">
      <items count="6">
        <item x="0"/>
        <item x="3"/>
        <item x="2"/>
        <item x="4"/>
        <item x="1"/>
        <item x="5"/>
      </items>
    </pivotField>
    <pivotField showAll="0"/>
    <pivotField axis="axisRow" showAll="0" defaultSubtotal="0">
      <items count="4">
        <item x="2"/>
        <item x="1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axis="axisPage" showAll="0">
      <items count="10">
        <item x="0"/>
        <item x="4"/>
        <item x="2"/>
        <item x="6"/>
        <item x="3"/>
        <item x="5"/>
        <item x="7"/>
        <item x="1"/>
        <item x="8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Row" showAll="0" defaultSubtotal="0">
      <items count="3">
        <item x="1"/>
        <item x="2"/>
        <item x="0"/>
      </items>
    </pivotField>
  </pivotFields>
  <rowFields count="4">
    <field x="25"/>
    <field x="2"/>
    <field x="5"/>
    <field x="7"/>
  </rowFields>
  <rowItems count="17">
    <i>
      <x/>
    </i>
    <i r="1">
      <x v="1"/>
      <x v="1"/>
      <x v="3"/>
    </i>
    <i r="1">
      <x v="2"/>
      <x v="1"/>
      <x v="3"/>
    </i>
    <i r="1">
      <x v="5"/>
      <x v="1"/>
      <x v="3"/>
    </i>
    <i r="1">
      <x v="7"/>
      <x/>
      <x v="3"/>
    </i>
    <i r="1">
      <x v="8"/>
      <x/>
      <x v="3"/>
    </i>
    <i r="1">
      <x v="11"/>
      <x v="1"/>
      <x v="3"/>
    </i>
    <i r="1">
      <x v="12"/>
      <x v="3"/>
      <x v="3"/>
    </i>
    <i r="1">
      <x v="13"/>
      <x v="1"/>
      <x v="3"/>
    </i>
    <i r="1">
      <x v="15"/>
      <x v="1"/>
      <x/>
    </i>
    <i r="3">
      <x v="3"/>
    </i>
    <i r="1">
      <x v="16"/>
      <x v="1"/>
      <x v="3"/>
    </i>
    <i r="1">
      <x v="17"/>
      <x/>
      <x v="3"/>
    </i>
    <i>
      <x v="1"/>
    </i>
    <i r="1">
      <x v="10"/>
      <x/>
      <x/>
    </i>
    <i r="3">
      <x v="3"/>
    </i>
    <i t="grand">
      <x/>
    </i>
  </rowItems>
  <colFields count="2">
    <field x="-2"/>
    <field x="24"/>
  </colFields>
  <colItems count="9">
    <i>
      <x/>
      <x/>
    </i>
    <i r="1">
      <x v="2"/>
    </i>
    <i r="1">
      <x v="3"/>
    </i>
    <i i="1">
      <x v="1"/>
      <x/>
    </i>
    <i r="1" i="1">
      <x v="2"/>
    </i>
    <i r="1" i="1">
      <x v="3"/>
    </i>
    <i i="2">
      <x v="2"/>
      <x/>
    </i>
    <i r="1" i="2">
      <x v="2"/>
    </i>
    <i r="1" i="2">
      <x v="3"/>
    </i>
  </colItems>
  <pageFields count="2">
    <pageField fld="23" item="1" hier="-1"/>
    <pageField fld="22" hier="-1"/>
  </pageFields>
  <dataFields count="3">
    <dataField name="Res" fld="19" baseField="0" baseItem="0"/>
    <dataField name="Form" fld="18" baseField="0" baseItem="0"/>
    <dataField name="Estrella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A99C52D-FC7D-42D7-9E92-63D8425DC8B0}" autoFormatId="16" applyNumberFormats="0" applyBorderFormats="0" applyFontFormats="0" applyPatternFormats="0" applyAlignmentFormats="0" applyWidthHeightFormats="0">
  <queryTableRefresh nextId="28" unboundColumnsRight="4">
    <queryTableFields count="27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9ECE940-BD69-4072-99BC-50ACA489A85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C2183669-3BEF-42E5-BEE4-B1DD784F451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9563A8D1-F37A-472B-9CB4-F7DA66DB82A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9"/>
      <queryTableField id="25" dataBound="0" tableColumnId="30"/>
      <queryTableField id="26" dataBound="0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1B1FC2E7-946C-4216-B414-7E0C63B24273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E93B0C4C-AF90-417E-A6FB-123B67A5F2B2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0" xr16:uid="{7328DA67-CFFA-4A5E-9214-95FEDB02BF6B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8B0643-4D45-4DBD-8CFF-B15C009FAF3F}" name="players_1_8_2022__10_08_04" displayName="players_1_8_2022__10_08_04" ref="A1:AA69" tableType="queryTable" totalsRowShown="0">
  <autoFilter ref="A1:AA69" xr:uid="{708B0643-4D45-4DBD-8CFF-B15C009FAF3F}"/>
  <sortState xmlns:xlrd2="http://schemas.microsoft.com/office/spreadsheetml/2017/richdata2" ref="A2:AA69">
    <sortCondition ref="C2:C69"/>
    <sortCondition ref="Y2:Y69"/>
  </sortState>
  <tableColumns count="27">
    <tableColumn id="1" xr3:uid="{B7834DF5-B458-4F16-A41D-66050A3D7F37}" uniqueName="1" name="Nacionalidad" queryTableFieldId="1" dataDxfId="65"/>
    <tableColumn id="2" xr3:uid="{3ED1B463-6E39-4A86-BA69-4925BAF1E107}" uniqueName="2" name="Dorsal" queryTableFieldId="2"/>
    <tableColumn id="3" xr3:uid="{42C7DF85-71D3-4F68-834B-9E37E576B776}" uniqueName="3" name="Nombre" queryTableFieldId="3" dataDxfId="64"/>
    <tableColumn id="4" xr3:uid="{6553F07C-AD9D-475C-B83B-2C2719DC6745}" uniqueName="4" name="ID del jugador" queryTableFieldId="4"/>
    <tableColumn id="5" xr3:uid="{EFF3AA0A-BFE1-4E70-B31D-834739010E8C}" uniqueName="5" name="Entrenador" queryTableFieldId="5"/>
    <tableColumn id="6" xr3:uid="{F366FB13-59EC-452D-A80C-7A38287E03E3}" uniqueName="6" name="Especialidad" queryTableFieldId="6" dataDxfId="63"/>
    <tableColumn id="7" xr3:uid="{36691114-01F6-4466-BA12-38E9454E0D05}" uniqueName="7" name="Bonificación por club de origen" queryTableFieldId="7"/>
    <tableColumn id="8" xr3:uid="{63DA3112-6F71-4563-824C-C3D98524296B}" uniqueName="8" name="Lesiones" queryTableFieldId="8" dataDxfId="62"/>
    <tableColumn id="9" xr3:uid="{FB52EB16-4EDE-4D8B-8AD3-AD5B36428C76}" uniqueName="9" name="Amonestaciones" queryTableFieldId="9" dataDxfId="61"/>
    <tableColumn id="10" xr3:uid="{026772A0-8692-4DAA-914A-DDBD4D474280}" uniqueName="10" name="En la lista de transferencias" queryTableFieldId="10"/>
    <tableColumn id="11" xr3:uid="{A82BC955-9AA9-453E-B021-A3C1D164A491}" uniqueName="11" name="Edad" queryTableFieldId="11"/>
    <tableColumn id="12" xr3:uid="{D61DAB09-CD25-40EB-9082-405DF5921E98}" uniqueName="12" name="Días" queryTableFieldId="12"/>
    <tableColumn id="13" xr3:uid="{90CB34BB-1870-4F0A-A05A-4DE1E4B3D0C2}" uniqueName="13" name="TSI" queryTableFieldId="13"/>
    <tableColumn id="14" xr3:uid="{5AEB05C0-75DA-4140-B94A-6308E93A6979}" uniqueName="14" name="Salario" queryTableFieldId="14"/>
    <tableColumn id="15" xr3:uid="{710E8729-6AFE-4008-A05F-C1884C135A7C}" uniqueName="15" name="Semanas en el club" queryTableFieldId="15"/>
    <tableColumn id="16" xr3:uid="{A09B19CE-F052-4029-817A-A8584B4BC3C9}" uniqueName="16" name="Experiencia" queryTableFieldId="16"/>
    <tableColumn id="17" xr3:uid="{6D999E15-A8E5-4235-9EAC-EE1EB2E9F5FD}" uniqueName="17" name="Liderazgo" queryTableFieldId="17"/>
    <tableColumn id="18" xr3:uid="{04317605-1FAB-4C38-9333-34678ED88922}" uniqueName="18" name="Fidelidad" queryTableFieldId="18"/>
    <tableColumn id="19" xr3:uid="{A1C59A8B-D84B-4ADE-B96A-CC3E7A130DAF}" uniqueName="19" name="Forma" queryTableFieldId="19"/>
    <tableColumn id="20" xr3:uid="{5A3BEC32-846D-4C0E-9D0C-B4AC76084147}" uniqueName="20" name="Resistencia" queryTableFieldId="20"/>
    <tableColumn id="21" xr3:uid="{525B3125-2529-4D3E-896F-6EC2A635E2D9}" uniqueName="21" name="Fecha último partido" queryTableFieldId="21" dataDxfId="60"/>
    <tableColumn id="22" xr3:uid="{B6468DA2-B493-4985-892E-AD89D1A85FBA}" uniqueName="22" name="Rendimiento último partido" queryTableFieldId="22"/>
    <tableColumn id="23" xr3:uid="{5A6635DD-AC35-4312-9D96-A3055C5C1A0D}" uniqueName="23" name="Demarcación último partido" queryTableFieldId="23" dataDxfId="59"/>
    <tableColumn id="24" xr3:uid="{D3BD5646-EEBE-4BF2-B93C-A18232D35800}" uniqueName="24" name="Importante" queryTableFieldId="24"/>
    <tableColumn id="25" xr3:uid="{727325BA-B805-4B99-B368-267F5377C3B6}" uniqueName="25" name="Semana" queryTableFieldId="25"/>
    <tableColumn id="26" xr3:uid="{E211BCB8-BA95-4DDE-BB23-B9FAB9774DDD}" uniqueName="26" name="POS" queryTableFieldId="26"/>
    <tableColumn id="27" xr3:uid="{C5C1E331-E205-44C6-A563-F56D2CEA7443}" uniqueName="27" name="Comentario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02E18B-09E2-482A-B216-D70F8CA2964D}" name="players_1_8_2022__10_00_33" displayName="players_1_8_2022__10_00_33" ref="A1:Z74" tableType="queryTable" totalsRowShown="0">
  <autoFilter ref="A1:Z74" xr:uid="{6102E18B-09E2-482A-B216-D70F8CA2964D}"/>
  <sortState xmlns:xlrd2="http://schemas.microsoft.com/office/spreadsheetml/2017/richdata2" ref="A2:Z74">
    <sortCondition ref="C2:C74"/>
  </sortState>
  <tableColumns count="26">
    <tableColumn id="1" xr3:uid="{D9B57684-0AB7-4C8C-A418-959CDE93337B}" uniqueName="1" name="Nacionalidad" queryTableFieldId="1" dataDxfId="56"/>
    <tableColumn id="2" xr3:uid="{BD5AF11B-07FA-498F-B98C-5F30144D81CB}" uniqueName="2" name="Dorsal" queryTableFieldId="2"/>
    <tableColumn id="3" xr3:uid="{96D02DDD-F914-49C8-AE5E-AEDFD1DF98BF}" uniqueName="3" name="Nombre" queryTableFieldId="3" dataDxfId="55"/>
    <tableColumn id="4" xr3:uid="{EDE0A98C-6426-4243-93E2-88B5BC4BEDF8}" uniqueName="4" name="ID del jugador" queryTableFieldId="4"/>
    <tableColumn id="5" xr3:uid="{BDCC4AC5-C831-48B0-A968-3043FECEA23A}" uniqueName="5" name="Entrenador" queryTableFieldId="5"/>
    <tableColumn id="6" xr3:uid="{A2583C25-BF8C-4DF7-B824-7482C705B327}" uniqueName="6" name="Especialidad" queryTableFieldId="6" dataDxfId="54"/>
    <tableColumn id="7" xr3:uid="{DDC92586-A502-4823-8E84-141F25CD287F}" uniqueName="7" name="Bonificación por club de origen" queryTableFieldId="7"/>
    <tableColumn id="8" xr3:uid="{EF9AE125-D84E-4C07-BA5F-E9B752342CA8}" uniqueName="8" name="Lesiones" queryTableFieldId="8" dataDxfId="53"/>
    <tableColumn id="9" xr3:uid="{5DC4EEA5-10C0-4FF3-912F-35BC16DDD60F}" uniqueName="9" name="Amonestaciones" queryTableFieldId="9"/>
    <tableColumn id="10" xr3:uid="{B233B471-22F6-4ED6-9D3A-B19AE030D78E}" uniqueName="10" name="En la lista de transferencias" queryTableFieldId="10"/>
    <tableColumn id="11" xr3:uid="{DD74E2B5-7C89-407F-B3ED-60DBADB4D570}" uniqueName="11" name="Edad" queryTableFieldId="11"/>
    <tableColumn id="12" xr3:uid="{8B63AD36-49C5-4B2E-8EEC-1B9C88FA4ECB}" uniqueName="12" name="Días" queryTableFieldId="12"/>
    <tableColumn id="13" xr3:uid="{F8661542-8F1C-4CB1-A456-B9A5CC00373E}" uniqueName="13" name="TSI" queryTableFieldId="13"/>
    <tableColumn id="14" xr3:uid="{144E9EA8-250F-42E3-905C-C8FB2D0B6762}" uniqueName="14" name="Salario" queryTableFieldId="14"/>
    <tableColumn id="15" xr3:uid="{1B958F5B-A157-4E1E-AE53-E87874CC2E7E}" uniqueName="15" name="Semanas en el club" queryTableFieldId="15"/>
    <tableColumn id="16" xr3:uid="{B368AAAA-5676-4F9F-A979-94E76FF729D4}" uniqueName="16" name="Experiencia" queryTableFieldId="16"/>
    <tableColumn id="17" xr3:uid="{510EA146-4102-4D28-B6DC-189CB5D5B8B5}" uniqueName="17" name="Liderazgo" queryTableFieldId="17"/>
    <tableColumn id="18" xr3:uid="{8721A619-B236-4527-AFAB-38CD706B64B0}" uniqueName="18" name="Fidelidad" queryTableFieldId="18"/>
    <tableColumn id="19" xr3:uid="{8A7BFC4A-1AE0-4DEB-8CC3-2D2207929653}" uniqueName="19" name="Forma" queryTableFieldId="19"/>
    <tableColumn id="20" xr3:uid="{AB79670C-9C98-4913-A8A5-EEE18803AD6F}" uniqueName="20" name="Resistencia" queryTableFieldId="20"/>
    <tableColumn id="21" xr3:uid="{FF446614-82ED-4D90-8F19-2F1FA6B9FEED}" uniqueName="21" name="Fecha último partido" queryTableFieldId="21" dataDxfId="52"/>
    <tableColumn id="22" xr3:uid="{18196895-E412-4B30-B408-4C8102A3F796}" uniqueName="22" name="Rendimiento último partido" queryTableFieldId="22"/>
    <tableColumn id="23" xr3:uid="{ED608A5B-4A8C-4DA8-A17A-63034DB1B944}" uniqueName="23" name="Demarcación último partido" queryTableFieldId="23" dataDxfId="51"/>
    <tableColumn id="24" xr3:uid="{8B882F89-57B6-4706-A537-0CCA93808487}" uniqueName="24" name="Importante" queryTableFieldId="24"/>
    <tableColumn id="25" xr3:uid="{22A577A7-6445-46FA-A163-EEE2F3199C7E}" uniqueName="25" name="Semana" queryTableFieldId="25"/>
    <tableColumn id="26" xr3:uid="{470D5617-80E2-41D5-86B1-82C8DA00F0BA}" uniqueName="26" name="POS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8661D-2E86-4FB4-94D3-8C3A345ED50D}" name="players_29_7_2022__16_34_44" displayName="players_29_7_2022__16_34_44" ref="A1:Z41" tableType="queryTable" totalsRowShown="0">
  <autoFilter ref="A1:Z41" xr:uid="{CB78661D-2E86-4FB4-94D3-8C3A345ED50D}"/>
  <sortState xmlns:xlrd2="http://schemas.microsoft.com/office/spreadsheetml/2017/richdata2" ref="A2:Z23">
    <sortCondition descending="1" ref="M2:M23"/>
  </sortState>
  <tableColumns count="26">
    <tableColumn id="1" xr3:uid="{7EE0D959-1C38-462B-9825-CF64773A1B39}" uniqueName="1" name="Nacionalidad" queryTableFieldId="1" dataDxfId="48"/>
    <tableColumn id="2" xr3:uid="{C57E3D57-9E58-40C7-9368-FDBB86FA13FB}" uniqueName="2" name="Dorsal" queryTableFieldId="2"/>
    <tableColumn id="3" xr3:uid="{2B1A0D4F-0342-415E-A408-752D20EA1141}" uniqueName="3" name="Nombre" queryTableFieldId="3" dataDxfId="47"/>
    <tableColumn id="4" xr3:uid="{3AB68031-5B2D-4C7F-9479-4FD9BD18EB84}" uniqueName="4" name="ID del jugador" queryTableFieldId="4"/>
    <tableColumn id="5" xr3:uid="{3208DF40-993A-476C-B3F3-CC4A4BEF6BB6}" uniqueName="5" name="Entrenador" queryTableFieldId="5"/>
    <tableColumn id="6" xr3:uid="{5EC6E59B-9A16-43C1-A138-25EBA94CB6D8}" uniqueName="6" name="Especialidad" queryTableFieldId="6" dataDxfId="46"/>
    <tableColumn id="7" xr3:uid="{C74673A3-6226-4D9C-A899-F8CC5637D3CC}" uniqueName="7" name="Bonificación por club de origen" queryTableFieldId="7"/>
    <tableColumn id="8" xr3:uid="{0D97B4C1-9235-4FAF-BFF4-F93089FCCDA5}" uniqueName="8" name="Lesiones" queryTableFieldId="8" dataDxfId="45"/>
    <tableColumn id="9" xr3:uid="{7CEE9FCD-6731-4DB0-81CD-E53C41768C37}" uniqueName="9" name="Amonestaciones" queryTableFieldId="9"/>
    <tableColumn id="10" xr3:uid="{8D4D17F0-42F9-4E2D-B95B-618C9D7E967C}" uniqueName="10" name="En la lista de transferencias" queryTableFieldId="10"/>
    <tableColumn id="11" xr3:uid="{CE5924E6-E335-4D02-AE32-4807B00673DB}" uniqueName="11" name="Edad" queryTableFieldId="11"/>
    <tableColumn id="12" xr3:uid="{458FEC77-D275-40A1-A24E-B86DF4113862}" uniqueName="12" name="Días" queryTableFieldId="12"/>
    <tableColumn id="13" xr3:uid="{6B91190E-5D5A-4D68-8268-C23A036B9BEB}" uniqueName="13" name="TSI" queryTableFieldId="13"/>
    <tableColumn id="14" xr3:uid="{039B71E6-CE7E-4646-AAF5-5C9639B56ECD}" uniqueName="14" name="Salario" queryTableFieldId="14"/>
    <tableColumn id="15" xr3:uid="{6373605F-281B-463E-B66B-421EB1CB6379}" uniqueName="15" name="Semanas en el club" queryTableFieldId="15"/>
    <tableColumn id="16" xr3:uid="{625683DE-14CE-4449-863A-0ACCE687A39F}" uniqueName="16" name="Experiencia" queryTableFieldId="16"/>
    <tableColumn id="17" xr3:uid="{0081023D-110E-4FA7-908A-ED99A60FB5C7}" uniqueName="17" name="Liderazgo" queryTableFieldId="17"/>
    <tableColumn id="18" xr3:uid="{A2F0FEFF-5684-42B1-BF16-953B82F32826}" uniqueName="18" name="Fidelidad" queryTableFieldId="18"/>
    <tableColumn id="19" xr3:uid="{4CFDD1B8-E795-45FB-9C74-C8CCF51FD7CF}" uniqueName="19" name="Forma" queryTableFieldId="19"/>
    <tableColumn id="20" xr3:uid="{10EC2D20-8009-4406-9EC6-307E225ADF6B}" uniqueName="20" name="Resistencia" queryTableFieldId="20"/>
    <tableColumn id="21" xr3:uid="{A5A299AE-501E-45B2-93CE-60EF68EE2692}" uniqueName="21" name="Fecha último partido" queryTableFieldId="21" dataDxfId="44"/>
    <tableColumn id="22" xr3:uid="{FB9D08B9-D36C-4EDF-BC27-C56A5F07FEF4}" uniqueName="22" name="Rendimiento último partido" queryTableFieldId="22"/>
    <tableColumn id="23" xr3:uid="{8859FB08-65B8-45E8-BF48-59BA9E401A9F}" uniqueName="23" name="Demarcación último partido" queryTableFieldId="23" dataDxfId="43"/>
    <tableColumn id="24" xr3:uid="{82426A45-8E2C-45CF-9B28-850B28D311DE}" uniqueName="24" name="Importante" queryTableFieldId="24"/>
    <tableColumn id="25" xr3:uid="{2844ADF9-D2BB-4DF9-9CA8-399C0942DB49}" uniqueName="25" name="Semana" queryTableFieldId="25"/>
    <tableColumn id="26" xr3:uid="{54378784-DDA6-462B-AFA9-C9CB44504949}" uniqueName="26" name="POS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D31F6-CC54-4BA9-A58A-E9BC1800A8F7}" name="players_29_7_2022__17_38_32" displayName="players_29_7_2022__17_38_32" ref="A1:Z63" tableType="queryTable" totalsRowShown="0">
  <autoFilter ref="A1:Z63" xr:uid="{023D31F6-CC54-4BA9-A58A-E9BC1800A8F7}"/>
  <sortState xmlns:xlrd2="http://schemas.microsoft.com/office/spreadsheetml/2017/richdata2" ref="A2:Z41">
    <sortCondition descending="1" ref="C2:C41"/>
  </sortState>
  <tableColumns count="26">
    <tableColumn id="1" xr3:uid="{20B4B2F7-4B6E-482F-972F-1D56AB3FCD21}" uniqueName="1" name="Nacionalidad" queryTableFieldId="1" dataDxfId="40"/>
    <tableColumn id="2" xr3:uid="{27B6336A-C4C6-4ACC-9F64-0AF9E65D7EAC}" uniqueName="2" name="Dorsal" queryTableFieldId="2"/>
    <tableColumn id="3" xr3:uid="{B7EA370C-EAB1-47B4-83DF-36F5194C6FBF}" uniqueName="3" name="Nombre" queryTableFieldId="3" dataDxfId="39"/>
    <tableColumn id="4" xr3:uid="{0088CC1B-8D34-4104-BD46-9CE9270D5970}" uniqueName="4" name="ID del jugador" queryTableFieldId="4"/>
    <tableColumn id="5" xr3:uid="{74FBDBB8-1680-4F23-B227-4284269EF7DF}" uniqueName="5" name="Entrenador" queryTableFieldId="5"/>
    <tableColumn id="6" xr3:uid="{21825F83-E076-4026-947E-4A7AD3EE11DD}" uniqueName="6" name="Especialidad" queryTableFieldId="6" dataDxfId="38"/>
    <tableColumn id="7" xr3:uid="{A20C214C-6E23-4337-850D-81A349A94861}" uniqueName="7" name="Bonificación por club de origen" queryTableFieldId="7"/>
    <tableColumn id="8" xr3:uid="{2E01EBB1-8D77-4CFA-9C87-355A1586EA68}" uniqueName="8" name="Lesiones" queryTableFieldId="8"/>
    <tableColumn id="9" xr3:uid="{FDD0D401-A80C-48A1-9AB2-4321497694CD}" uniqueName="9" name="Amonestaciones" queryTableFieldId="9" dataDxfId="37"/>
    <tableColumn id="10" xr3:uid="{8A56FB34-4D2F-4217-BBCA-B8861DDCBC71}" uniqueName="10" name="En la lista de transferencias" queryTableFieldId="10"/>
    <tableColumn id="11" xr3:uid="{532B0E2A-29BE-4C4F-923E-5178034641E0}" uniqueName="11" name="Edad" queryTableFieldId="11"/>
    <tableColumn id="12" xr3:uid="{FFC4B39E-630C-484D-9412-80E6D8F83030}" uniqueName="12" name="Días" queryTableFieldId="12"/>
    <tableColumn id="13" xr3:uid="{B84DE024-9281-4CB5-A7C9-E1D985C029EC}" uniqueName="13" name="TSI" queryTableFieldId="13"/>
    <tableColumn id="14" xr3:uid="{41C80FC9-0B2D-432A-89F6-ACDCEAF45BC7}" uniqueName="14" name="Salario" queryTableFieldId="14"/>
    <tableColumn id="15" xr3:uid="{E4B2E901-699D-4E4E-9A85-1EB14B76EA6D}" uniqueName="15" name="Semanas en el club" queryTableFieldId="15"/>
    <tableColumn id="16" xr3:uid="{993B7C40-D9C0-4AD9-8D16-B11F8A2EF4F9}" uniqueName="16" name="Experiencia" queryTableFieldId="16"/>
    <tableColumn id="17" xr3:uid="{C66342D7-B8BA-48A5-B46B-0BEF35D6CC3C}" uniqueName="17" name="Liderazgo" queryTableFieldId="17"/>
    <tableColumn id="18" xr3:uid="{F753FDEC-0D41-415B-8B44-E28E8B54EC13}" uniqueName="18" name="Fidelidad" queryTableFieldId="18"/>
    <tableColumn id="19" xr3:uid="{250E6B84-2745-4770-B3B0-9E3B868813B5}" uniqueName="19" name="Forma" queryTableFieldId="19"/>
    <tableColumn id="20" xr3:uid="{24C2CF35-0DAB-4C98-9A00-3B62D1E3C606}" uniqueName="20" name="Resistencia" queryTableFieldId="20"/>
    <tableColumn id="21" xr3:uid="{61884970-24BB-435E-87B4-B5B3013CAEE2}" uniqueName="21" name="Fecha último partido" queryTableFieldId="21" dataDxfId="36"/>
    <tableColumn id="22" xr3:uid="{A10D1E33-0739-4F18-91A7-2EE182E318C2}" uniqueName="22" name="Rendimiento último partido" queryTableFieldId="22"/>
    <tableColumn id="23" xr3:uid="{A88D1E67-D06A-4E63-9E17-B5B525A51BEF}" uniqueName="23" name="Demarcación último partido" queryTableFieldId="23" dataDxfId="35"/>
    <tableColumn id="29" xr3:uid="{C73FB2FE-366A-4165-B72E-58642C90E0C6}" uniqueName="29" name="Importante" queryTableFieldId="24"/>
    <tableColumn id="30" xr3:uid="{99F1B470-0609-428B-9F34-82714473490A}" uniqueName="30" name="Semana" queryTableFieldId="25"/>
    <tableColumn id="31" xr3:uid="{C6DCE7A9-5519-41DD-8CA8-C185E1876285}" uniqueName="31" name="POS" queryTableField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7F33E3-E20D-4132-A7DC-303A0434EE8A}" name="players_29_7_2022__17_49_51" displayName="players_29_7_2022__17_49_51" ref="A1:Z54" tableType="queryTable" totalsRowShown="0">
  <sortState xmlns:xlrd2="http://schemas.microsoft.com/office/spreadsheetml/2017/richdata2" ref="A2:Z54">
    <sortCondition ref="V2:V54"/>
  </sortState>
  <tableColumns count="26">
    <tableColumn id="1" xr3:uid="{0E449238-7AAD-4545-B6CE-4F04FF0BBC14}" uniqueName="1" name="Nacionalidad" queryTableFieldId="1" dataDxfId="34"/>
    <tableColumn id="2" xr3:uid="{529EC1C2-4E37-43F2-95FE-E87035996050}" uniqueName="2" name="Dorsal" queryTableFieldId="2"/>
    <tableColumn id="3" xr3:uid="{51227DF2-95D5-473F-B8A5-B8672B13CDA3}" uniqueName="3" name="Nombre" queryTableFieldId="3" dataDxfId="33"/>
    <tableColumn id="4" xr3:uid="{08E32460-2526-473E-B3AA-9AE8933A4147}" uniqueName="4" name="ID del jugador" queryTableFieldId="4"/>
    <tableColumn id="5" xr3:uid="{1632B1B0-6ADC-4D79-BAE5-21E027F5A450}" uniqueName="5" name="Entrenador" queryTableFieldId="5"/>
    <tableColumn id="6" xr3:uid="{3E1022E3-7439-4685-98B8-DACDC34B03ED}" uniqueName="6" name="Especialidad" queryTableFieldId="6" dataDxfId="32"/>
    <tableColumn id="7" xr3:uid="{49DC36DA-89B5-4AEE-84B6-0B5372E8D8C9}" uniqueName="7" name="Bonificación por club de origen" queryTableFieldId="7"/>
    <tableColumn id="8" xr3:uid="{90F498D4-06A9-4598-A615-ED1B523242B8}" uniqueName="8" name="Lesiones" queryTableFieldId="8"/>
    <tableColumn id="9" xr3:uid="{0F572480-3EC3-4998-9E62-894CA969A059}" uniqueName="9" name="Amonestaciones" queryTableFieldId="9" dataDxfId="31"/>
    <tableColumn id="10" xr3:uid="{F91DAD2E-6CAD-42AA-9B2C-D8F15DDBCD83}" uniqueName="10" name="En la lista de transferencias" queryTableFieldId="10" dataDxfId="30"/>
    <tableColumn id="11" xr3:uid="{73D12DCF-D1A5-47C2-9BA8-946257FB4AED}" uniqueName="11" name="Edad" queryTableFieldId="11"/>
    <tableColumn id="12" xr3:uid="{49C4C97F-D584-470E-BDE8-4875A7BD6A73}" uniqueName="12" name="Días" queryTableFieldId="12"/>
    <tableColumn id="13" xr3:uid="{262FF7FF-2090-4783-A7F1-55D9B9C34923}" uniqueName="13" name="TSI" queryTableFieldId="13"/>
    <tableColumn id="14" xr3:uid="{7932BF5E-C6E2-4739-8DE8-18C7B25EA8F4}" uniqueName="14" name="Salario" queryTableFieldId="14"/>
    <tableColumn id="15" xr3:uid="{F551DC89-44D1-433C-B59B-E124EE0E2E5B}" uniqueName="15" name="Semanas en el club" queryTableFieldId="15"/>
    <tableColumn id="16" xr3:uid="{6DAF3764-89F0-4B92-AD5E-DB0BE74AB96C}" uniqueName="16" name="Experiencia" queryTableFieldId="16"/>
    <tableColumn id="17" xr3:uid="{A3556610-32CD-4641-8FBF-D43E287209C0}" uniqueName="17" name="Liderazgo" queryTableFieldId="17"/>
    <tableColumn id="18" xr3:uid="{D90CF74C-4592-4D1C-9EAE-5B8B055AA3FC}" uniqueName="18" name="Fidelidad" queryTableFieldId="18"/>
    <tableColumn id="19" xr3:uid="{12928ECD-84DD-4168-91DC-75F08AFA2D31}" uniqueName="19" name="Forma" queryTableFieldId="19"/>
    <tableColumn id="20" xr3:uid="{65220EEA-F379-496C-AC2C-8E529B5EE31F}" uniqueName="20" name="Resistencia" queryTableFieldId="20"/>
    <tableColumn id="21" xr3:uid="{F18464EA-8F3D-40E9-AB45-95677A36ACF7}" uniqueName="21" name="Fecha último partido" queryTableFieldId="21" dataDxfId="29"/>
    <tableColumn id="22" xr3:uid="{1BED9A6C-7E77-430F-950C-681A013AED6B}" uniqueName="22" name="Rendimiento último partido" queryTableFieldId="22"/>
    <tableColumn id="23" xr3:uid="{5FD98C47-5EB3-44FD-8400-C603FE471E59}" uniqueName="23" name="Demarcación último partido" queryTableFieldId="23" dataDxfId="28"/>
    <tableColumn id="24" xr3:uid="{95B66269-4290-4B17-9E40-1B91375B26F3}" uniqueName="24" name="Importante" queryTableFieldId="24"/>
    <tableColumn id="25" xr3:uid="{259B42F5-B406-4E02-AF7A-1F6CA894B690}" uniqueName="25" name="Semana" queryTableFieldId="25"/>
    <tableColumn id="26" xr3:uid="{BF2B4967-010F-4972-98E6-D903DB9D7036}" uniqueName="26" name="POS" queryTableField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7A7D5E-4C6A-4F6B-B6AE-70FCC32AAF77}" name="players_29_7_2022__17_55_47" displayName="players_29_7_2022__17_55_47" ref="A1:Z104" tableType="queryTable" totalsRowShown="0">
  <autoFilter ref="A1:Z104" xr:uid="{AE7A7D5E-4C6A-4F6B-B6AE-70FCC32AAF77}"/>
  <sortState xmlns:xlrd2="http://schemas.microsoft.com/office/spreadsheetml/2017/richdata2" ref="A2:Z104">
    <sortCondition descending="1" ref="V67:V104"/>
  </sortState>
  <tableColumns count="26">
    <tableColumn id="1" xr3:uid="{761A34C1-D8D3-4B84-85AC-BA17C4E9A49B}" uniqueName="1" name="Nacionalidad" queryTableFieldId="1" dataDxfId="26"/>
    <tableColumn id="2" xr3:uid="{DC48F163-BFF4-44EB-B80C-AE6C13FBAF61}" uniqueName="2" name="Dorsal" queryTableFieldId="2"/>
    <tableColumn id="3" xr3:uid="{84188C65-D320-407D-AA48-F1CF723EA9DA}" uniqueName="3" name="Nombre" queryTableFieldId="3" dataDxfId="25"/>
    <tableColumn id="4" xr3:uid="{D1B57E1A-1A5E-44EF-8748-4BE5CFBBD540}" uniqueName="4" name="ID del jugador" queryTableFieldId="4"/>
    <tableColumn id="5" xr3:uid="{C329EFDE-580B-480D-855C-8DD49E265890}" uniqueName="5" name="Entrenador" queryTableFieldId="5"/>
    <tableColumn id="6" xr3:uid="{B2E510E0-DEED-44C9-8693-F4D77252EE13}" uniqueName="6" name="Especialidad" queryTableFieldId="6" dataDxfId="24"/>
    <tableColumn id="7" xr3:uid="{75ECE203-60CF-4BB1-8A19-9AE1E30A3C84}" uniqueName="7" name="Bonificación por club de origen" queryTableFieldId="7"/>
    <tableColumn id="8" xr3:uid="{A873E5D4-386F-4EBB-BA19-0F58B0F4E426}" uniqueName="8" name="Lesiones" queryTableFieldId="8"/>
    <tableColumn id="9" xr3:uid="{7769CEE3-4ACB-4D09-84B0-4C8002AF242B}" uniqueName="9" name="Amonestaciones" queryTableFieldId="9"/>
    <tableColumn id="10" xr3:uid="{C689C364-31BD-4085-A689-A1E999AF1216}" uniqueName="10" name="En la lista de transferencias" queryTableFieldId="10" dataDxfId="23"/>
    <tableColumn id="11" xr3:uid="{D2F795D8-0F32-4727-8802-FB5D7E0C48B2}" uniqueName="11" name="Edad" queryTableFieldId="11"/>
    <tableColumn id="12" xr3:uid="{DCAA8BEE-CDD9-4A95-8E4B-F8C1F918F513}" uniqueName="12" name="Días" queryTableFieldId="12"/>
    <tableColumn id="13" xr3:uid="{05D82C61-E9F7-4B39-81D8-E7F11537D3F6}" uniqueName="13" name="TSI" queryTableFieldId="13"/>
    <tableColumn id="14" xr3:uid="{3E6BC8AF-2AEC-40F2-A713-96D16F1B1F73}" uniqueName="14" name="Salario" queryTableFieldId="14"/>
    <tableColumn id="15" xr3:uid="{9E7AE84B-E68F-4645-9BAF-70F6F181E915}" uniqueName="15" name="Semanas en el club" queryTableFieldId="15"/>
    <tableColumn id="16" xr3:uid="{407686F9-83D3-4160-812B-A9E761EB9652}" uniqueName="16" name="Experiencia" queryTableFieldId="16"/>
    <tableColumn id="17" xr3:uid="{2DC13E5D-378A-4FD0-8D08-BC5F895BF552}" uniqueName="17" name="Liderazgo" queryTableFieldId="17"/>
    <tableColumn id="18" xr3:uid="{E6C8052D-8226-46A0-8B80-F9ACB969F3C4}" uniqueName="18" name="Fidelidad" queryTableFieldId="18"/>
    <tableColumn id="19" xr3:uid="{1EAF88B9-489E-4237-B9E9-05D06E68CE0E}" uniqueName="19" name="Forma" queryTableFieldId="19"/>
    <tableColumn id="20" xr3:uid="{D543AC0A-0911-4384-8360-2A5702A4696F}" uniqueName="20" name="Resistencia" queryTableFieldId="20"/>
    <tableColumn id="21" xr3:uid="{45BCEAE9-1353-4474-A9B5-CF42710B6B85}" uniqueName="21" name="Fecha último partido" queryTableFieldId="21" dataDxfId="22"/>
    <tableColumn id="22" xr3:uid="{453DB785-D95F-4BE2-937A-72971CA25C0F}" uniqueName="22" name="Rendimiento último partido" queryTableFieldId="22"/>
    <tableColumn id="23" xr3:uid="{6BCD64A3-5782-4228-A9EF-F3C8C3AC1B5F}" uniqueName="23" name="Demarcación último partido" queryTableFieldId="23" dataDxfId="21"/>
    <tableColumn id="24" xr3:uid="{A8054906-2685-4E5A-BD8F-593897C66363}" uniqueName="24" name="Importante" queryTableFieldId="24"/>
    <tableColumn id="25" xr3:uid="{96FA4D63-3DC3-4087-8FB5-AB397C8A0C48}" uniqueName="25" name="Semana" queryTableFieldId="25"/>
    <tableColumn id="26" xr3:uid="{293D60AF-23D0-49F7-BA70-FC88C44A629E}" uniqueName="26" name="POS" queryTableField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56A456-9DC9-4D9A-9EB3-66322067CACC}" name="players_29_7_2022__18_02_31" displayName="players_29_7_2022__18_02_31" ref="A1:Z51" tableType="queryTable" totalsRowShown="0">
  <sortState xmlns:xlrd2="http://schemas.microsoft.com/office/spreadsheetml/2017/richdata2" ref="A2:Z51">
    <sortCondition ref="C3:C51"/>
  </sortState>
  <tableColumns count="26">
    <tableColumn id="1" xr3:uid="{4F12A21B-9F45-40D8-A70A-EBB02958809B}" uniqueName="1" name="Nacionalidad" queryTableFieldId="1" dataDxfId="20"/>
    <tableColumn id="2" xr3:uid="{04860D57-062E-420A-929A-4121F6568A28}" uniqueName="2" name="Dorsal" queryTableFieldId="2" dataDxfId="19"/>
    <tableColumn id="3" xr3:uid="{12C2F19D-A58F-4B64-8B3C-422A94A7505A}" uniqueName="3" name="Nombre" queryTableFieldId="3" dataDxfId="18"/>
    <tableColumn id="4" xr3:uid="{8216F06B-49F7-44CB-8C05-AFAA8CDF6E60}" uniqueName="4" name="ID del jugador" queryTableFieldId="4"/>
    <tableColumn id="5" xr3:uid="{8F169C0C-7A4D-4E5E-8824-1A2C17D12804}" uniqueName="5" name="Entrenador" queryTableFieldId="5"/>
    <tableColumn id="6" xr3:uid="{78026D92-A413-4DD8-96B7-A44586CB03CF}" uniqueName="6" name="Especialidad" queryTableFieldId="6" dataDxfId="17"/>
    <tableColumn id="7" xr3:uid="{26687A9A-69EF-4D54-B9AB-2BD097B09E8E}" uniqueName="7" name="Bonificación por club de origen" queryTableFieldId="7"/>
    <tableColumn id="8" xr3:uid="{43E73170-1B71-4605-AB7D-4A27F76F87A3}" uniqueName="8" name="Lesiones" queryTableFieldId="8"/>
    <tableColumn id="9" xr3:uid="{0E57D14C-6705-42B6-A465-894EA36109E4}" uniqueName="9" name="Amonestaciones" queryTableFieldId="9"/>
    <tableColumn id="10" xr3:uid="{4FD83DC1-D962-448E-9EAA-C45AEA4C874E}" uniqueName="10" name="En la lista de transferencias" queryTableFieldId="10" dataDxfId="16"/>
    <tableColumn id="11" xr3:uid="{A1862F09-BCEE-4E32-816F-C3724DCA4A3B}" uniqueName="11" name="Edad" queryTableFieldId="11"/>
    <tableColumn id="12" xr3:uid="{14E25359-A67B-4DBB-A154-97B4E2BA453F}" uniqueName="12" name="Días" queryTableFieldId="12"/>
    <tableColumn id="13" xr3:uid="{FA66EF31-0FE6-4900-9F76-7D8A8C69E3D8}" uniqueName="13" name="TSI" queryTableFieldId="13"/>
    <tableColumn id="14" xr3:uid="{A233CD46-4E69-463F-8940-A9CC040AB419}" uniqueName="14" name="Salario" queryTableFieldId="14"/>
    <tableColumn id="15" xr3:uid="{AE68919F-C0DA-4A8F-98D0-C8D1EC1E7B1B}" uniqueName="15" name="Semanas en el club" queryTableFieldId="15"/>
    <tableColumn id="16" xr3:uid="{687AC0CD-7005-43AD-ACEB-B9D380C88BAA}" uniqueName="16" name="Experiencia" queryTableFieldId="16"/>
    <tableColumn id="17" xr3:uid="{1E97373A-09D1-47C3-80E8-0D5209924C2E}" uniqueName="17" name="Liderazgo" queryTableFieldId="17"/>
    <tableColumn id="18" xr3:uid="{9B7E001C-01DB-4D31-8766-9404579716F9}" uniqueName="18" name="Fidelidad" queryTableFieldId="18"/>
    <tableColumn id="19" xr3:uid="{10D65A87-E766-4F11-8487-B4A4FF288C41}" uniqueName="19" name="Forma" queryTableFieldId="19"/>
    <tableColumn id="20" xr3:uid="{637CE5B0-26A5-4442-9B82-2DBD03FB39AA}" uniqueName="20" name="Resistencia" queryTableFieldId="20"/>
    <tableColumn id="21" xr3:uid="{FF250F76-685A-40F3-B02C-DB9C730F494B}" uniqueName="21" name="Fecha último partido" queryTableFieldId="21" dataDxfId="15"/>
    <tableColumn id="22" xr3:uid="{CD26AFF1-63AC-42C7-B747-2406F3D0D600}" uniqueName="22" name="Rendimiento último partido" queryTableFieldId="22"/>
    <tableColumn id="23" xr3:uid="{2B390E11-25BF-408B-8A68-D8702B3521CC}" uniqueName="23" name="Demarcación último partido" queryTableFieldId="23" dataDxfId="14"/>
    <tableColumn id="24" xr3:uid="{C6295466-9200-4D9A-BA2A-0A5BA6DC0BCA}" uniqueName="24" name="Importante" queryTableFieldId="24"/>
    <tableColumn id="25" xr3:uid="{BFF8A481-6720-4E45-B37B-801AE222C43D}" uniqueName="25" name="Semana" queryTableFieldId="25"/>
    <tableColumn id="26" xr3:uid="{9916B477-393E-4CEB-A45E-6BB6E9F722B7}" uniqueName="26" name="PO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C59-116D-4AB2-9CAE-8185765738B6}">
  <sheetPr>
    <tabColor theme="0" tint="-4.9989318521683403E-2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121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2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120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0.62110527492469647</v>
      </c>
      <c r="U2" s="159">
        <f>SUM(U4:U16)</f>
        <v>1.3949166006030838</v>
      </c>
      <c r="V2" s="4"/>
      <c r="W2" s="4"/>
      <c r="X2" s="158">
        <f>SUM(X4:X16)</f>
        <v>0.36222608168530185</v>
      </c>
      <c r="Y2" s="157">
        <f>SUM(Y4:Y16)</f>
        <v>0.78075718547079365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93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87</v>
      </c>
      <c r="G4" s="143" t="s">
        <v>131</v>
      </c>
      <c r="H4" s="143" t="s">
        <v>87</v>
      </c>
      <c r="I4" s="143" t="s">
        <v>131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0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8.9657980456026062E-2</v>
      </c>
      <c r="U4" s="124">
        <f t="shared" ref="U4:U9" si="4">IF(S4=0,0,S4*Q4^2.7/(P4^2.7+Q4^2.7)*Q4/L4)</f>
        <v>0</v>
      </c>
      <c r="V4" s="123">
        <f>$G$17</f>
        <v>0.56999999999999995</v>
      </c>
      <c r="W4" s="117">
        <f>$H$17</f>
        <v>0.56999999999999995</v>
      </c>
      <c r="X4" s="122">
        <f t="shared" ref="X4:X16" si="5">V4*T4</f>
        <v>5.1105048859934853E-2</v>
      </c>
      <c r="Y4" s="121">
        <f t="shared" ref="Y4:Y16" si="6">W4*U4</f>
        <v>0</v>
      </c>
      <c r="Z4" s="146"/>
      <c r="AA4" s="120">
        <f t="shared" ref="AA4:AA16" si="7">X4</f>
        <v>5.1105048859934853E-2</v>
      </c>
      <c r="AB4" s="119">
        <f t="shared" ref="AB4:AB16" si="8">1-AA4</f>
        <v>0.94889495114006517</v>
      </c>
      <c r="AC4" s="119">
        <f>PRODUCT(AB5:AB16)*AA4</f>
        <v>3.712644987271612E-2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9">Y4</f>
        <v>0</v>
      </c>
      <c r="AH4" s="117">
        <f t="shared" ref="AH4:AH16" si="10">(1-AG4)</f>
        <v>1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1">$H$25*H40</f>
        <v>6.0419602284918798E-3</v>
      </c>
      <c r="BM4" s="1">
        <v>0</v>
      </c>
      <c r="BN4" s="1">
        <v>0</v>
      </c>
      <c r="BO4" s="2">
        <f>H25*H39</f>
        <v>9.7473895119732886E-4</v>
      </c>
      <c r="BQ4" s="1">
        <v>1</v>
      </c>
      <c r="BR4" s="1">
        <v>0</v>
      </c>
      <c r="BS4" s="2">
        <f>$H$26*H39</f>
        <v>1.9757823899103706E-3</v>
      </c>
    </row>
    <row r="5" spans="1:71" ht="15.75" x14ac:dyDescent="0.25">
      <c r="A5" s="65" t="s">
        <v>97</v>
      </c>
      <c r="B5" s="145">
        <v>352</v>
      </c>
      <c r="C5" s="145">
        <v>352</v>
      </c>
      <c r="E5" s="143" t="s">
        <v>93</v>
      </c>
      <c r="F5" s="143" t="s">
        <v>131</v>
      </c>
      <c r="G5" s="143" t="s">
        <v>94</v>
      </c>
      <c r="H5" s="143" t="s">
        <v>93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2</v>
      </c>
      <c r="Q5" s="126">
        <f>COUNTIF(E10:I11,"IMP")</f>
        <v>0</v>
      </c>
      <c r="R5" s="96">
        <f t="shared" si="1"/>
        <v>0.35</v>
      </c>
      <c r="S5" s="96">
        <f t="shared" si="2"/>
        <v>0.41840390879478823</v>
      </c>
      <c r="T5" s="125">
        <f t="shared" si="3"/>
        <v>0.10460097719869706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5.9622557003257318E-2</v>
      </c>
      <c r="Y5" s="121">
        <f t="shared" si="6"/>
        <v>0</v>
      </c>
      <c r="Z5" s="102"/>
      <c r="AA5" s="120">
        <f t="shared" si="7"/>
        <v>5.9622557003257318E-2</v>
      </c>
      <c r="AB5" s="119">
        <f t="shared" si="8"/>
        <v>0.94037744299674264</v>
      </c>
      <c r="AC5" s="119">
        <f>PRODUCT(AB6:AB16)*AA5*PRODUCT(AB4)</f>
        <v>4.3706511625084328E-2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1.1578427462148731E-2</v>
      </c>
      <c r="AF5" s="100"/>
      <c r="AG5" s="118">
        <f t="shared" si="9"/>
        <v>0</v>
      </c>
      <c r="AH5" s="117">
        <f t="shared" si="10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1"/>
        <v>1.7227393337116152E-2</v>
      </c>
      <c r="BM5" s="1">
        <v>1</v>
      </c>
      <c r="BN5" s="1">
        <v>1</v>
      </c>
      <c r="BO5" s="2">
        <f>$H$26*H40</f>
        <v>1.2246969924952155E-2</v>
      </c>
      <c r="BQ5" s="1">
        <f>BQ4+1</f>
        <v>2</v>
      </c>
      <c r="BR5" s="1">
        <v>0</v>
      </c>
      <c r="BS5" s="2">
        <f>$H$27*H39</f>
        <v>1.8432878145363957E-3</v>
      </c>
    </row>
    <row r="6" spans="1:71" ht="15.75" x14ac:dyDescent="0.25">
      <c r="A6" s="144" t="s">
        <v>95</v>
      </c>
      <c r="B6" s="135">
        <v>10</v>
      </c>
      <c r="C6" s="134">
        <v>10</v>
      </c>
      <c r="E6" s="142"/>
      <c r="F6" s="143" t="s">
        <v>94</v>
      </c>
      <c r="G6" s="143" t="s">
        <v>87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0</v>
      </c>
      <c r="R6" s="96">
        <f t="shared" si="1"/>
        <v>0.45</v>
      </c>
      <c r="S6" s="96">
        <f t="shared" si="2"/>
        <v>0.53794788273615635</v>
      </c>
      <c r="T6" s="125">
        <f t="shared" si="3"/>
        <v>8.2761212728639441E-2</v>
      </c>
      <c r="U6" s="124">
        <f t="shared" si="4"/>
        <v>0</v>
      </c>
      <c r="V6" s="123">
        <f>$G$18</f>
        <v>0.45</v>
      </c>
      <c r="W6" s="117">
        <f>$H$18</f>
        <v>0.45</v>
      </c>
      <c r="X6" s="122">
        <f t="shared" si="5"/>
        <v>3.7242545727887752E-2</v>
      </c>
      <c r="Y6" s="121">
        <f t="shared" si="6"/>
        <v>0</v>
      </c>
      <c r="Z6" s="102"/>
      <c r="AA6" s="120">
        <f t="shared" si="7"/>
        <v>3.7242545727887752E-2</v>
      </c>
      <c r="AB6" s="119">
        <f t="shared" si="8"/>
        <v>0.96275745427211223</v>
      </c>
      <c r="AC6" s="119">
        <f>PRODUCT(AB7:AB16)*AA6*PRODUCT(AB4:AB5)</f>
        <v>2.666614403952967E-2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6.0326789035853199E-3</v>
      </c>
      <c r="AF6" s="100"/>
      <c r="AG6" s="118">
        <f t="shared" si="9"/>
        <v>0</v>
      </c>
      <c r="AH6" s="117">
        <f t="shared" si="10"/>
        <v>1</v>
      </c>
      <c r="AI6" s="117">
        <f>AG6*PRODUCT(AH3:AH5)*PRODUCT(AH7:AH17)</f>
        <v>0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L6" s="98"/>
      <c r="AN6" s="97"/>
      <c r="AO6" s="96"/>
      <c r="BI6" s="1">
        <v>0</v>
      </c>
      <c r="BJ6" s="1">
        <v>3</v>
      </c>
      <c r="BK6" s="2">
        <f t="shared" si="11"/>
        <v>2.9908379994162841E-2</v>
      </c>
      <c r="BM6" s="1">
        <f>BI14+1</f>
        <v>2</v>
      </c>
      <c r="BN6" s="1">
        <v>2</v>
      </c>
      <c r="BO6" s="2">
        <f>$H$27*H41</f>
        <v>3.2577998627760917E-2</v>
      </c>
      <c r="BQ6" s="1">
        <f>BM5+1</f>
        <v>2</v>
      </c>
      <c r="BR6" s="1">
        <v>1</v>
      </c>
      <c r="BS6" s="2">
        <f>$H$27*H40</f>
        <v>1.1425696748254803E-2</v>
      </c>
    </row>
    <row r="7" spans="1:71" ht="15.75" x14ac:dyDescent="0.25">
      <c r="A7" s="141" t="s">
        <v>92</v>
      </c>
      <c r="B7" s="135">
        <v>10</v>
      </c>
      <c r="C7" s="134">
        <v>12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0</v>
      </c>
      <c r="Q7" s="126">
        <f>COUNTIF(E4:I4,"IMP")+COUNTIF(F5:H5,"IMP")</f>
        <v>1</v>
      </c>
      <c r="R7" s="96">
        <f t="shared" si="1"/>
        <v>0.04</v>
      </c>
      <c r="S7" s="96">
        <f t="shared" si="2"/>
        <v>4.7817589576547234E-2</v>
      </c>
      <c r="T7" s="125">
        <f t="shared" si="3"/>
        <v>0</v>
      </c>
      <c r="U7" s="124">
        <f t="shared" si="4"/>
        <v>5.9771986970684043E-3</v>
      </c>
      <c r="V7" s="123">
        <f>$G$18</f>
        <v>0.45</v>
      </c>
      <c r="W7" s="117">
        <f>$H$18</f>
        <v>0.45</v>
      </c>
      <c r="X7" s="122">
        <f t="shared" si="5"/>
        <v>0</v>
      </c>
      <c r="Y7" s="121">
        <f t="shared" si="6"/>
        <v>2.6897394136807819E-3</v>
      </c>
      <c r="Z7" s="102"/>
      <c r="AA7" s="120">
        <f t="shared" si="7"/>
        <v>0</v>
      </c>
      <c r="AB7" s="119">
        <f t="shared" si="8"/>
        <v>1</v>
      </c>
      <c r="AC7" s="119">
        <f>PRODUCT(AB8:AB$16)*AA7*PRODUCT(AB$4:AB6)</f>
        <v>0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F7" s="100"/>
      <c r="AG7" s="118">
        <f t="shared" si="9"/>
        <v>2.6897394136807819E-3</v>
      </c>
      <c r="AH7" s="117">
        <f t="shared" si="10"/>
        <v>0.99731026058631922</v>
      </c>
      <c r="AI7" s="117">
        <f>AG7*PRODUCT(AH3:AH6)*PRODUCT(AH8:AH17)</f>
        <v>1.0664279664677155E-3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1.1910652849909734E-3</v>
      </c>
      <c r="AL7" s="98"/>
      <c r="AN7" s="97"/>
      <c r="AO7" s="96"/>
      <c r="BI7" s="1">
        <v>0</v>
      </c>
      <c r="BJ7" s="1">
        <v>4</v>
      </c>
      <c r="BK7" s="2">
        <f t="shared" si="11"/>
        <v>3.5261103185220861E-2</v>
      </c>
      <c r="BM7" s="1">
        <f>BI23+1</f>
        <v>3</v>
      </c>
      <c r="BN7" s="1">
        <v>3</v>
      </c>
      <c r="BO7" s="2">
        <f>$H$28*H42</f>
        <v>3.2810812347382555E-2</v>
      </c>
      <c r="BQ7" s="1">
        <f>BQ5+1</f>
        <v>3</v>
      </c>
      <c r="BR7" s="1">
        <v>0</v>
      </c>
      <c r="BS7" s="2">
        <f>$H$28*H39</f>
        <v>1.0693316328621576E-3</v>
      </c>
    </row>
    <row r="8" spans="1:71" ht="15.75" x14ac:dyDescent="0.25">
      <c r="A8" s="141" t="s">
        <v>90</v>
      </c>
      <c r="B8" s="135">
        <v>10</v>
      </c>
      <c r="C8" s="134">
        <v>12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2</v>
      </c>
      <c r="Q8" s="126">
        <f>COUNTIF(E10:I11,"RAP")</f>
        <v>8</v>
      </c>
      <c r="R8" s="96">
        <f t="shared" si="1"/>
        <v>0.5</v>
      </c>
      <c r="S8" s="96">
        <f t="shared" si="2"/>
        <v>0.59771986970684043</v>
      </c>
      <c r="T8" s="125">
        <f t="shared" si="3"/>
        <v>3.457086162399545E-3</v>
      </c>
      <c r="U8" s="124">
        <f t="shared" si="4"/>
        <v>0.58389152505724229</v>
      </c>
      <c r="V8" s="123">
        <f>$G$17</f>
        <v>0.56999999999999995</v>
      </c>
      <c r="W8" s="117">
        <f>$H$17</f>
        <v>0.56999999999999995</v>
      </c>
      <c r="X8" s="122">
        <f t="shared" si="5"/>
        <v>1.9705391125677406E-3</v>
      </c>
      <c r="Y8" s="121">
        <f t="shared" si="6"/>
        <v>0.33281816928262808</v>
      </c>
      <c r="Z8" s="102"/>
      <c r="AA8" s="120">
        <f t="shared" si="7"/>
        <v>1.9705391125677406E-3</v>
      </c>
      <c r="AB8" s="119">
        <f t="shared" si="8"/>
        <v>0.99802946088743227</v>
      </c>
      <c r="AC8" s="119">
        <f>PRODUCT(AB9:AB$16)*AA8*PRODUCT(AB$4:AB7)</f>
        <v>1.3610668261648301E-3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3.0522667107310271E-4</v>
      </c>
      <c r="AF8" s="100"/>
      <c r="AG8" s="118">
        <f t="shared" si="9"/>
        <v>0.33281816928262808</v>
      </c>
      <c r="AH8" s="117">
        <f t="shared" si="10"/>
        <v>0.66718183071737192</v>
      </c>
      <c r="AI8" s="117">
        <f>AG8*PRODUCT(AH3:AH7)*PRODUCT(AH9:AH17)</f>
        <v>0.1972488240167303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0.12190605845138075</v>
      </c>
      <c r="AL8" s="98"/>
      <c r="AN8" s="97"/>
      <c r="AO8" s="96"/>
      <c r="BI8" s="1">
        <v>0</v>
      </c>
      <c r="BJ8" s="1">
        <v>5</v>
      </c>
      <c r="BK8" s="2">
        <f t="shared" si="11"/>
        <v>2.9800532330575114E-2</v>
      </c>
      <c r="BM8" s="1">
        <f>BI31+1</f>
        <v>4</v>
      </c>
      <c r="BN8" s="1">
        <v>4</v>
      </c>
      <c r="BO8" s="2">
        <f>$H$29*H43</f>
        <v>1.5925064205194982E-2</v>
      </c>
      <c r="BQ8" s="1">
        <f>BQ6+1</f>
        <v>3</v>
      </c>
      <c r="BR8" s="1">
        <v>1</v>
      </c>
      <c r="BS8" s="2">
        <f>$H$28*H40</f>
        <v>6.628296929024109E-3</v>
      </c>
    </row>
    <row r="9" spans="1:71" ht="15.75" x14ac:dyDescent="0.25">
      <c r="A9" s="141" t="s">
        <v>88</v>
      </c>
      <c r="B9" s="135">
        <v>10</v>
      </c>
      <c r="C9" s="134">
        <v>12</v>
      </c>
      <c r="E9" s="140" t="s">
        <v>87</v>
      </c>
      <c r="F9" s="140" t="s">
        <v>87</v>
      </c>
      <c r="G9" s="140" t="s">
        <v>87</v>
      </c>
      <c r="H9" s="140" t="s">
        <v>87</v>
      </c>
      <c r="I9" s="140" t="s">
        <v>87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2</v>
      </c>
      <c r="Q9" s="126">
        <f>COUNTIF(E10:I11,"RAP")</f>
        <v>8</v>
      </c>
      <c r="R9" s="96">
        <f t="shared" si="1"/>
        <v>0.5</v>
      </c>
      <c r="S9" s="96">
        <f t="shared" si="2"/>
        <v>0.59771986970684043</v>
      </c>
      <c r="T9" s="125">
        <f t="shared" si="3"/>
        <v>3.457086162399545E-3</v>
      </c>
      <c r="U9" s="124">
        <f t="shared" si="4"/>
        <v>0.58389152505724229</v>
      </c>
      <c r="V9" s="123">
        <f>$G$17</f>
        <v>0.56999999999999995</v>
      </c>
      <c r="W9" s="117">
        <f>$H$17</f>
        <v>0.56999999999999995</v>
      </c>
      <c r="X9" s="122">
        <f t="shared" si="5"/>
        <v>1.9705391125677406E-3</v>
      </c>
      <c r="Y9" s="121">
        <f t="shared" si="6"/>
        <v>0.33281816928262808</v>
      </c>
      <c r="Z9" s="102"/>
      <c r="AA9" s="120">
        <f t="shared" si="7"/>
        <v>1.9705391125677406E-3</v>
      </c>
      <c r="AB9" s="119">
        <f t="shared" si="8"/>
        <v>0.99802946088743227</v>
      </c>
      <c r="AC9" s="119">
        <f>PRODUCT(AB10:AB$16)*AA9*PRODUCT(AB$4:AB8)</f>
        <v>1.3610668261648301E-3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3.0253934016666697E-4</v>
      </c>
      <c r="AF9" s="100"/>
      <c r="AG9" s="118">
        <f t="shared" si="9"/>
        <v>0.33281816928262808</v>
      </c>
      <c r="AH9" s="117">
        <f t="shared" si="10"/>
        <v>0.66718183071737192</v>
      </c>
      <c r="AI9" s="117">
        <f>AG9*PRODUCT(AH3:AH8)*PRODUCT(AH10:AH17)</f>
        <v>0.19724882401673033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2.3510104784877306E-2</v>
      </c>
      <c r="AL9" s="98"/>
      <c r="AN9" s="97"/>
      <c r="AO9" s="96"/>
      <c r="BI9" s="1">
        <v>0</v>
      </c>
      <c r="BJ9" s="1">
        <v>6</v>
      </c>
      <c r="BK9" s="2">
        <f t="shared" si="11"/>
        <v>1.8566341750599347E-2</v>
      </c>
      <c r="BM9" s="1">
        <f>BI38+1</f>
        <v>5</v>
      </c>
      <c r="BN9" s="1">
        <v>5</v>
      </c>
      <c r="BO9" s="2">
        <f>$H$30*H44</f>
        <v>4.2324246985241268E-3</v>
      </c>
      <c r="BQ9" s="1">
        <f>BM6+1</f>
        <v>3</v>
      </c>
      <c r="BR9" s="1">
        <v>2</v>
      </c>
      <c r="BS9" s="2">
        <f>$H$28*H41</f>
        <v>1.8899210526580987E-2</v>
      </c>
    </row>
    <row r="10" spans="1:71" ht="15.75" x14ac:dyDescent="0.25">
      <c r="A10" s="138" t="s">
        <v>85</v>
      </c>
      <c r="B10" s="135">
        <v>9</v>
      </c>
      <c r="C10" s="134">
        <v>14</v>
      </c>
      <c r="E10" s="140" t="s">
        <v>3</v>
      </c>
      <c r="F10" s="140" t="s">
        <v>3</v>
      </c>
      <c r="G10" s="140" t="s">
        <v>3</v>
      </c>
      <c r="H10" s="140" t="s">
        <v>3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0.11356677524429967</v>
      </c>
      <c r="U10" s="124">
        <f>S10*G14</f>
        <v>0.11356677524429967</v>
      </c>
      <c r="V10" s="123">
        <f>$G$18</f>
        <v>0.45</v>
      </c>
      <c r="W10" s="117">
        <f>$H$18</f>
        <v>0.45</v>
      </c>
      <c r="X10" s="122">
        <f t="shared" si="5"/>
        <v>5.1105048859934853E-2</v>
      </c>
      <c r="Y10" s="121">
        <f t="shared" si="6"/>
        <v>5.1105048859934853E-2</v>
      </c>
      <c r="Z10" s="102"/>
      <c r="AA10" s="120">
        <f t="shared" si="7"/>
        <v>5.1105048859934853E-2</v>
      </c>
      <c r="AB10" s="119">
        <f t="shared" si="8"/>
        <v>0.94889495114006517</v>
      </c>
      <c r="AC10" s="119">
        <f>PRODUCT(AB11:AB$16)*AA10*PRODUCT(AB$4:AB9)</f>
        <v>3.712644987271612E-2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6.252970242629584E-3</v>
      </c>
      <c r="AF10" s="100"/>
      <c r="AG10" s="118">
        <f t="shared" si="9"/>
        <v>5.1105048859934853E-2</v>
      </c>
      <c r="AH10" s="117">
        <f t="shared" si="10"/>
        <v>0.94889495114006517</v>
      </c>
      <c r="AI10" s="117">
        <f>AG10*PRODUCT(AH3:AH9)*PRODUCT(AH11:AH17)</f>
        <v>2.1295962725142413E-2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1.3913217371325642E-3</v>
      </c>
      <c r="AL10" s="98"/>
      <c r="AN10" s="97"/>
      <c r="AO10" s="96"/>
      <c r="BI10" s="1">
        <v>0</v>
      </c>
      <c r="BJ10" s="1">
        <v>7</v>
      </c>
      <c r="BK10" s="2">
        <f t="shared" si="11"/>
        <v>8.6298871520164907E-3</v>
      </c>
      <c r="BM10" s="1">
        <f>BI44+1</f>
        <v>6</v>
      </c>
      <c r="BN10" s="1">
        <v>6</v>
      </c>
      <c r="BO10" s="2">
        <f>$H$31*H45</f>
        <v>6.5645013837557656E-4</v>
      </c>
      <c r="BQ10" s="1">
        <f>BQ7+1</f>
        <v>4</v>
      </c>
      <c r="BR10" s="1">
        <v>0</v>
      </c>
      <c r="BS10" s="2">
        <f>$H$29*H39</f>
        <v>4.4022390052810408E-4</v>
      </c>
    </row>
    <row r="11" spans="1:71" ht="15.75" x14ac:dyDescent="0.25">
      <c r="A11" s="138" t="s">
        <v>82</v>
      </c>
      <c r="B11" s="135">
        <v>9</v>
      </c>
      <c r="C11" s="134">
        <v>14</v>
      </c>
      <c r="E11" s="139"/>
      <c r="F11" s="140" t="s">
        <v>3</v>
      </c>
      <c r="G11" s="140" t="s">
        <v>3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3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7.5711183496199777E-2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0.83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6.284028230184581E-2</v>
      </c>
      <c r="Y11" s="121">
        <f t="shared" si="6"/>
        <v>0</v>
      </c>
      <c r="Z11" s="102"/>
      <c r="AA11" s="120">
        <f t="shared" si="7"/>
        <v>6.284028230184581E-2</v>
      </c>
      <c r="AB11" s="119">
        <f t="shared" si="8"/>
        <v>0.9371597176981542</v>
      </c>
      <c r="AC11" s="119">
        <f>PRODUCT(AB12:AB$16)*AA11*PRODUCT(AB$4:AB10)</f>
        <v>4.6223440249847009E-2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4.6856527772881525E-3</v>
      </c>
      <c r="AF11" s="100"/>
      <c r="AG11" s="118">
        <f t="shared" si="9"/>
        <v>0</v>
      </c>
      <c r="AH11" s="117">
        <f t="shared" si="10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1"/>
        <v>2.9914374394058542E-3</v>
      </c>
      <c r="BM11" s="1">
        <f>BI50+1</f>
        <v>7</v>
      </c>
      <c r="BN11" s="1">
        <v>7</v>
      </c>
      <c r="BO11" s="2">
        <f>$H$32*H46</f>
        <v>6.0409853336170203E-5</v>
      </c>
      <c r="BQ11" s="1">
        <f>BQ8+1</f>
        <v>4</v>
      </c>
      <c r="BR11" s="1">
        <v>1</v>
      </c>
      <c r="BS11" s="2">
        <f>$H$29*H40</f>
        <v>2.7287462918714426E-3</v>
      </c>
    </row>
    <row r="12" spans="1:71" ht="15.75" x14ac:dyDescent="0.25">
      <c r="A12" s="138" t="s">
        <v>80</v>
      </c>
      <c r="B12" s="135">
        <v>9</v>
      </c>
      <c r="C12" s="134">
        <v>14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1</v>
      </c>
      <c r="Q12" s="126">
        <f>COUNTIF(F11:H11,"IMP")+COUNTIF(E10,"IMP")+COUNTIF(I10,"IMP")</f>
        <v>0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9.5635179153094468E-3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4.3035830618892513E-3</v>
      </c>
      <c r="Y12" s="121">
        <f t="shared" si="6"/>
        <v>0</v>
      </c>
      <c r="Z12" s="102"/>
      <c r="AA12" s="120">
        <f t="shared" si="7"/>
        <v>4.3035830618892513E-3</v>
      </c>
      <c r="AB12" s="119">
        <f t="shared" si="8"/>
        <v>0.99569641693811073</v>
      </c>
      <c r="AC12" s="119">
        <f>PRODUCT(AB13:AB$16)*AA12*PRODUCT(AB$4:AB11)</f>
        <v>2.9794835782584695E-3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2.8915125520830563E-4</v>
      </c>
      <c r="AF12" s="100"/>
      <c r="AG12" s="118">
        <f t="shared" si="9"/>
        <v>0</v>
      </c>
      <c r="AH12" s="117">
        <f t="shared" si="10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1"/>
        <v>7.6353380315098587E-4</v>
      </c>
      <c r="BM12" s="1">
        <f>BI54+1</f>
        <v>8</v>
      </c>
      <c r="BN12" s="1">
        <v>8</v>
      </c>
      <c r="BO12" s="2">
        <f>$H$33*H47</f>
        <v>3.2394940443998428E-6</v>
      </c>
      <c r="BQ12" s="1">
        <f>BQ9+1</f>
        <v>4</v>
      </c>
      <c r="BR12" s="1">
        <v>2</v>
      </c>
      <c r="BS12" s="2">
        <f>$H$29*H41</f>
        <v>7.7804526858000107E-3</v>
      </c>
    </row>
    <row r="13" spans="1:71" ht="15.75" x14ac:dyDescent="0.25">
      <c r="A13" s="136" t="s">
        <v>78</v>
      </c>
      <c r="B13" s="135">
        <v>9</v>
      </c>
      <c r="C13" s="134">
        <v>9</v>
      </c>
      <c r="E13" s="4"/>
      <c r="F13" s="4" t="s">
        <v>77</v>
      </c>
      <c r="G13" s="137">
        <f>B22</f>
        <v>0.5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6"/>
        <v>0</v>
      </c>
      <c r="Z13" s="102"/>
      <c r="AA13" s="120">
        <f t="shared" si="7"/>
        <v>3.0739879013494648E-2</v>
      </c>
      <c r="AB13" s="119">
        <f t="shared" si="8"/>
        <v>0.96926012098650538</v>
      </c>
      <c r="AC13" s="119">
        <f>PRODUCT(AB14:AB$16)*AA13*PRODUCT(AB$4:AB12)</f>
        <v>2.1862486793228678E-2</v>
      </c>
      <c r="AD13" s="119">
        <f>AA13*AA14*PRODUCT(AB3:AB12)*PRODUCT(AB15:AB17)+AA13*AA15*PRODUCT(AB3:AB12)*AB14*PRODUCT(AB16:AB17)+AA13*AA16*PRODUCT(AB3:AB12)*AB14*AB15*AB17+AA13*AA17*PRODUCT(AB3:AB12)*AB14*AB15*AB16</f>
        <v>1.4283342573323014E-3</v>
      </c>
      <c r="AF13" s="100"/>
      <c r="AG13" s="118">
        <f t="shared" si="9"/>
        <v>0</v>
      </c>
      <c r="AH13" s="117">
        <f t="shared" si="10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1"/>
        <v>1.3947570012543068E-4</v>
      </c>
      <c r="BM13" s="1">
        <f>BI57+1</f>
        <v>9</v>
      </c>
      <c r="BN13" s="1">
        <v>9</v>
      </c>
      <c r="BO13" s="2">
        <f>$H$34*H48</f>
        <v>9.6890668869995313E-8</v>
      </c>
      <c r="BQ13" s="1">
        <f>BM7+1</f>
        <v>4</v>
      </c>
      <c r="BR13" s="1">
        <v>3</v>
      </c>
      <c r="BS13" s="2">
        <f>$H$29*H42</f>
        <v>1.3507599838227498E-2</v>
      </c>
    </row>
    <row r="14" spans="1:71" ht="15.75" x14ac:dyDescent="0.25">
      <c r="A14" s="136" t="s">
        <v>75</v>
      </c>
      <c r="B14" s="135">
        <v>4</v>
      </c>
      <c r="C14" s="134">
        <v>4</v>
      </c>
      <c r="E14" s="4"/>
      <c r="F14" s="4" t="s">
        <v>74</v>
      </c>
      <c r="G14" s="133">
        <f>C22</f>
        <v>0.5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6"/>
        <v>6.1326058631921816E-2</v>
      </c>
      <c r="Z14" s="102"/>
      <c r="AA14" s="120">
        <f t="shared" si="7"/>
        <v>6.1326058631921816E-2</v>
      </c>
      <c r="AB14" s="119">
        <f t="shared" si="8"/>
        <v>0.93867394136807814</v>
      </c>
      <c r="AC14" s="119">
        <f>PRODUCT(AB15:AB$16)*AA14*PRODUCT(AB$4:AB13)</f>
        <v>4.5036853738536851E-2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9"/>
        <v>6.1326058631921816E-2</v>
      </c>
      <c r="AH14" s="117">
        <f t="shared" si="10"/>
        <v>0.93867394136807814</v>
      </c>
      <c r="AI14" s="117">
        <f>AG14*PRODUCT(AH3:AH13)*PRODUCT(AH15:AH17)</f>
        <v>2.5833419617597407E-2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2">$H$26*H41</f>
        <v>3.4919688330627384E-2</v>
      </c>
      <c r="BM14" s="1">
        <f>BQ39+1</f>
        <v>10</v>
      </c>
      <c r="BN14" s="1">
        <v>10</v>
      </c>
      <c r="BO14" s="2">
        <f>$H$35*H49</f>
        <v>1.5053361393101838E-9</v>
      </c>
      <c r="BQ14" s="1">
        <f>BQ10+1</f>
        <v>5</v>
      </c>
      <c r="BR14" s="1">
        <v>0</v>
      </c>
      <c r="BS14" s="2">
        <f>$H$30*H39</f>
        <v>1.384374334625002E-4</v>
      </c>
    </row>
    <row r="15" spans="1:71" ht="15.75" x14ac:dyDescent="0.25">
      <c r="A15" s="70" t="s">
        <v>72</v>
      </c>
      <c r="B15" s="132">
        <v>5</v>
      </c>
      <c r="C15" s="131">
        <v>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6"/>
        <v>0</v>
      </c>
      <c r="Z15" s="102"/>
      <c r="AA15" s="120">
        <f t="shared" si="7"/>
        <v>0</v>
      </c>
      <c r="AB15" s="119">
        <f t="shared" si="8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9"/>
        <v>0</v>
      </c>
      <c r="AH15" s="117">
        <f t="shared" si="10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2"/>
        <v>6.0623873120724127E-2</v>
      </c>
      <c r="BQ15" s="1">
        <f>BQ11+1</f>
        <v>5</v>
      </c>
      <c r="BR15" s="1">
        <v>1</v>
      </c>
      <c r="BS15" s="2">
        <f>$H$30*H40</f>
        <v>8.5811023155222936E-4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6"/>
        <v>0</v>
      </c>
      <c r="Z16" s="102"/>
      <c r="AA16" s="120">
        <f t="shared" si="7"/>
        <v>0</v>
      </c>
      <c r="AB16" s="119">
        <f t="shared" si="8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9"/>
        <v>0</v>
      </c>
      <c r="AH16" s="117">
        <f t="shared" si="10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2"/>
        <v>7.1473769091297976E-2</v>
      </c>
      <c r="BQ16" s="1">
        <f>BQ12+1</f>
        <v>5</v>
      </c>
      <c r="BR16" s="1">
        <v>2</v>
      </c>
      <c r="BS16" s="2">
        <f>$H$30*H41</f>
        <v>2.4467229055633861E-3</v>
      </c>
    </row>
    <row r="17" spans="1:71" x14ac:dyDescent="0.25">
      <c r="A17" s="116" t="s">
        <v>67</v>
      </c>
      <c r="B17" s="115" t="s">
        <v>66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2"/>
        <v>6.040526739634236E-2</v>
      </c>
      <c r="BQ17" s="1">
        <f>BQ13+1</f>
        <v>5</v>
      </c>
      <c r="BR17" s="1">
        <v>3</v>
      </c>
      <c r="BS17" s="2">
        <f>$H$30*H42</f>
        <v>4.2477417777622888E-3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0.68934677930801913</v>
      </c>
      <c r="AC18" s="107">
        <f>SUM(AC4:AC16)</f>
        <v>0.26344995342224686</v>
      </c>
      <c r="AD18" s="107">
        <f>SUM(AD3:AD17)</f>
        <v>3.0874980909432165E-2</v>
      </c>
      <c r="AE18" s="107">
        <f>IF((1-AB18-AC18-AD18)&lt;0,(1-AB18-AC18-AD18)-1,1-AB18-AC18-AD18)</f>
        <v>1.6328286360301841E-2</v>
      </c>
      <c r="AF18" s="100"/>
      <c r="AG18" s="4"/>
      <c r="AH18" s="108">
        <f>PRODUCT(AH3:AH17)</f>
        <v>0.39541360316352153</v>
      </c>
      <c r="AI18" s="107">
        <f>SUM(AI3:AI17)</f>
        <v>0.44269345834266816</v>
      </c>
      <c r="AJ18" s="107">
        <f>SUM(AJ3:AJ17)</f>
        <v>0.1479985502583816</v>
      </c>
      <c r="AK18" s="107">
        <f>IF((1-AH18-AI18-AJ18)&lt;0,(1-AH18-AI18-AJ18)-1,(1-AH18-AI18-AJ18))</f>
        <v>1.3894388235428656E-2</v>
      </c>
      <c r="AL18" s="98"/>
      <c r="AN18" s="97"/>
      <c r="AO18" s="96"/>
      <c r="BI18" s="1">
        <v>1</v>
      </c>
      <c r="BJ18" s="1">
        <v>6</v>
      </c>
      <c r="BK18" s="2">
        <f t="shared" si="12"/>
        <v>3.7633718269729478E-2</v>
      </c>
      <c r="BQ18" s="1">
        <f>BM8+1</f>
        <v>5</v>
      </c>
      <c r="BR18" s="1">
        <v>4</v>
      </c>
      <c r="BS18" s="2">
        <f>$H$30*H43</f>
        <v>5.0079630243791817E-3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2"/>
        <v>1.7492662051643133E-2</v>
      </c>
      <c r="BQ19" s="1">
        <f>BQ15+1</f>
        <v>6</v>
      </c>
      <c r="BR19" s="1">
        <v>1</v>
      </c>
      <c r="BS19" s="2">
        <f>$H$31*H40</f>
        <v>2.1362558555323313E-4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2"/>
        <v>6.0636023686511465E-3</v>
      </c>
      <c r="BQ20" s="1">
        <f>BQ16+1</f>
        <v>6</v>
      </c>
      <c r="BR20" s="1">
        <v>2</v>
      </c>
      <c r="BS20" s="2">
        <f>$H$31*H41</f>
        <v>6.0910893981768464E-4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2"/>
        <v>1.5476724722182655E-3</v>
      </c>
      <c r="BQ21" s="1">
        <f>BQ17+1</f>
        <v>6</v>
      </c>
      <c r="BR21" s="1">
        <v>3</v>
      </c>
      <c r="BS21" s="2">
        <f>$H$31*H42</f>
        <v>1.0574705803378704E-3</v>
      </c>
    </row>
    <row r="22" spans="1:71" x14ac:dyDescent="0.25">
      <c r="A22" s="67" t="s">
        <v>60</v>
      </c>
      <c r="B22" s="74">
        <f>(B6)/((B6)+(C6))</f>
        <v>0.5</v>
      </c>
      <c r="C22" s="73">
        <f>1-B22</f>
        <v>0.5</v>
      </c>
      <c r="V22" s="52">
        <f>SUM(V25:V35)</f>
        <v>1</v>
      </c>
      <c r="AS22" s="56">
        <f>Y23+AA23+AC23+AE23+AG23+AI23+AK23+AM23+AO23+AQ23+AS23</f>
        <v>0.99999999999999989</v>
      </c>
      <c r="BI22" s="1">
        <v>1</v>
      </c>
      <c r="BJ22" s="1">
        <v>10</v>
      </c>
      <c r="BK22" s="2">
        <f t="shared" si="12"/>
        <v>2.8271531756245339E-4</v>
      </c>
      <c r="BQ22" s="1">
        <f>BQ18+1</f>
        <v>6</v>
      </c>
      <c r="BR22" s="1">
        <v>4</v>
      </c>
      <c r="BS22" s="2">
        <f>$H$31*H43</f>
        <v>1.2467268122147164E-3</v>
      </c>
    </row>
    <row r="23" spans="1:71" ht="15.75" thickBot="1" x14ac:dyDescent="0.3">
      <c r="A23" s="65" t="s">
        <v>59</v>
      </c>
      <c r="B23" s="64">
        <f>((B22^2.8)/((B22^2.8)+(C22^2.8)))*B21</f>
        <v>2.5</v>
      </c>
      <c r="C23" s="63">
        <f>B21-B23</f>
        <v>2.5</v>
      </c>
      <c r="D23" s="88">
        <f>SUM(D25:D30)</f>
        <v>1</v>
      </c>
      <c r="E23" s="88">
        <f>SUM(E25:E30)</f>
        <v>1</v>
      </c>
      <c r="H23" s="50">
        <f>SUM(H25:H35)</f>
        <v>0.99999990260151328</v>
      </c>
      <c r="I23" s="51"/>
      <c r="J23" s="50">
        <f>SUM(J25:J35)</f>
        <v>0.99999999999999967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0.99897460937500004</v>
      </c>
      <c r="Y23" s="50">
        <f>SUM(Y25:Y35)</f>
        <v>9.716796875E-4</v>
      </c>
      <c r="Z23" s="51"/>
      <c r="AA23" s="50">
        <f>SUM(AA25:AA35)</f>
        <v>9.7216796875000001E-3</v>
      </c>
      <c r="AB23" s="51"/>
      <c r="AC23" s="50">
        <f>SUM(AC25:AC35)</f>
        <v>4.3774414062500003E-2</v>
      </c>
      <c r="AD23" s="51"/>
      <c r="AE23" s="50">
        <f>SUM(AE25:AE35)</f>
        <v>0.11682128906250001</v>
      </c>
      <c r="AF23" s="51"/>
      <c r="AG23" s="50">
        <f>SUM(AG25:AG35)</f>
        <v>0.20463867187499998</v>
      </c>
      <c r="AH23" s="51"/>
      <c r="AI23" s="50">
        <f>SUM(AI25:AI35)</f>
        <v>0.24588867187499996</v>
      </c>
      <c r="AJ23" s="51"/>
      <c r="AK23" s="50">
        <f>SUM(AK25:AK35)</f>
        <v>0.20528320312499998</v>
      </c>
      <c r="AL23" s="51"/>
      <c r="AM23" s="50">
        <f>SUM(AM25:AM35)</f>
        <v>0.11762695312499996</v>
      </c>
      <c r="AN23" s="51"/>
      <c r="AO23" s="50">
        <f>SUM(AO25:AO35)</f>
        <v>4.4311523437499993E-2</v>
      </c>
      <c r="AP23" s="51"/>
      <c r="AQ23" s="50">
        <f>SUM(AQ25:AQ35)</f>
        <v>9.9365234374999972E-3</v>
      </c>
      <c r="AR23" s="51"/>
      <c r="AS23" s="50">
        <f>SUM(AS25:AS35)</f>
        <v>1.0253906249999556E-3</v>
      </c>
      <c r="BI23" s="1">
        <f t="shared" ref="BI23:BI30" si="13">BI15+1</f>
        <v>2</v>
      </c>
      <c r="BJ23" s="1">
        <v>3</v>
      </c>
      <c r="BK23" s="2">
        <f t="shared" ref="BK23:BK30" si="14">$H$27*H42</f>
        <v>5.6558478891240965E-2</v>
      </c>
      <c r="BQ23" s="1">
        <f>BM9+1</f>
        <v>6</v>
      </c>
      <c r="BR23" s="1">
        <v>5</v>
      </c>
      <c r="BS23" s="2">
        <f>$H$31*H44</f>
        <v>1.0536574105364817E-3</v>
      </c>
    </row>
    <row r="24" spans="1:71" ht="15.75" thickBot="1" x14ac:dyDescent="0.3">
      <c r="A24" s="67" t="s">
        <v>58</v>
      </c>
      <c r="B24" s="87">
        <f>B23/B21</f>
        <v>0.5</v>
      </c>
      <c r="C24" s="86">
        <f>C23/B21</f>
        <v>0.5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3"/>
        <v>2</v>
      </c>
      <c r="BJ24" s="1">
        <v>4</v>
      </c>
      <c r="BK24" s="2">
        <f t="shared" si="14"/>
        <v>6.6680788480432907E-2</v>
      </c>
      <c r="BQ24" s="1">
        <f>BI49+1</f>
        <v>7</v>
      </c>
      <c r="BR24" s="1">
        <v>0</v>
      </c>
      <c r="BS24" s="2">
        <f t="shared" ref="BS24:BS30" si="15">$H$32*H39</f>
        <v>6.8232453154528199E-6</v>
      </c>
    </row>
    <row r="25" spans="1:71" x14ac:dyDescent="0.25">
      <c r="A25" s="67" t="s">
        <v>32</v>
      </c>
      <c r="B25" s="77">
        <f>1/(1+EXP(-3.1416*4*((B11/(B11+C8))-(3.1416/6))))</f>
        <v>0.23251449252298675</v>
      </c>
      <c r="C25" s="73">
        <f>1/(1+EXP(-3.1416*4*((C11/(C11+B8))-(3.1416/6))))</f>
        <v>0.6793166023460353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0.15032339872587089</v>
      </c>
      <c r="I25" s="36">
        <v>0</v>
      </c>
      <c r="J25" s="34">
        <f t="shared" ref="J25:J35" si="16">Y25+AA25+AC25+AE25+AG25+AI25+AK25+AM25+AO25+AQ25+AS25</f>
        <v>0.21806644092363597</v>
      </c>
      <c r="K25" s="36">
        <v>0</v>
      </c>
      <c r="L25" s="34">
        <f>AB18</f>
        <v>0.68934677930801913</v>
      </c>
      <c r="M25" s="17">
        <v>0</v>
      </c>
      <c r="N25" s="32">
        <f>(1-$B$24)^$B$21</f>
        <v>3.125E-2</v>
      </c>
      <c r="O25" s="16">
        <v>0</v>
      </c>
      <c r="P25" s="32">
        <f t="shared" ref="P25:P30" si="17">N25</f>
        <v>3.125E-2</v>
      </c>
      <c r="Q25" s="10">
        <v>0</v>
      </c>
      <c r="R25" s="11">
        <f>P25*N25</f>
        <v>9.765625E-4</v>
      </c>
      <c r="S25" s="16">
        <v>0</v>
      </c>
      <c r="T25" s="15">
        <f>(1-$B$33)^(INT(C23*2*(1-C31)))</f>
        <v>0.995</v>
      </c>
      <c r="U25" s="24">
        <v>0</v>
      </c>
      <c r="V25" s="23">
        <f>R25*T25</f>
        <v>9.716796875E-4</v>
      </c>
      <c r="W25" s="33">
        <f>B31</f>
        <v>0.28228854946744131</v>
      </c>
      <c r="X25" s="10">
        <v>0</v>
      </c>
      <c r="Y25" s="9">
        <f>V25</f>
        <v>9.716796875E-4</v>
      </c>
      <c r="Z25" s="10">
        <v>0</v>
      </c>
      <c r="AA25" s="9">
        <f>((1-W25)^Z26)*V26</f>
        <v>6.9773608301285373E-3</v>
      </c>
      <c r="AB25" s="10">
        <v>0</v>
      </c>
      <c r="AC25" s="9">
        <f>(((1-$W$25)^AB27))*V27</f>
        <v>2.2548626443418214E-2</v>
      </c>
      <c r="AD25" s="10">
        <v>0</v>
      </c>
      <c r="AE25" s="9">
        <f>(((1-$W$25)^AB28))*V28</f>
        <v>4.3188847948569239E-2</v>
      </c>
      <c r="AF25" s="10">
        <v>0</v>
      </c>
      <c r="AG25" s="9">
        <f>(((1-$W$25)^AB29))*V29</f>
        <v>5.4298422067802943E-2</v>
      </c>
      <c r="AH25" s="10">
        <v>0</v>
      </c>
      <c r="AI25" s="9">
        <f>(((1-$W$25)^AB30))*V30</f>
        <v>4.68260901391572E-2</v>
      </c>
      <c r="AJ25" s="10">
        <v>0</v>
      </c>
      <c r="AK25" s="9">
        <f>(((1-$W$25)^AB31))*V31</f>
        <v>2.8057738696930269E-2</v>
      </c>
      <c r="AL25" s="10">
        <v>0</v>
      </c>
      <c r="AM25" s="9">
        <f>(((1-$W$25)^AB32))*V32</f>
        <v>1.153867586134321E-2</v>
      </c>
      <c r="AN25" s="10">
        <v>0</v>
      </c>
      <c r="AO25" s="9">
        <f>(((1-$W$25)^AB33))*V33</f>
        <v>3.1197204687111713E-3</v>
      </c>
      <c r="AP25" s="10">
        <v>0</v>
      </c>
      <c r="AQ25" s="9">
        <f>(((1-$W$25)^AB34))*V34</f>
        <v>5.0209204124622984E-4</v>
      </c>
      <c r="AR25" s="10">
        <v>0</v>
      </c>
      <c r="AS25" s="9">
        <f>(((1-$W$25)^AB35))*V35</f>
        <v>3.7186738828978154E-5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3"/>
        <v>2</v>
      </c>
      <c r="BJ25" s="1">
        <v>5</v>
      </c>
      <c r="BK25" s="2">
        <f t="shared" si="14"/>
        <v>5.6354532712755652E-2</v>
      </c>
      <c r="BQ25" s="1">
        <f>BQ19+1</f>
        <v>7</v>
      </c>
      <c r="BR25" s="1">
        <v>1</v>
      </c>
      <c r="BS25" s="2">
        <f t="shared" si="15"/>
        <v>4.2294171967345134E-5</v>
      </c>
    </row>
    <row r="26" spans="1:71" x14ac:dyDescent="0.25">
      <c r="A26" s="65" t="s">
        <v>31</v>
      </c>
      <c r="B26" s="74">
        <f>1/(1+EXP(-3.1416*4*((B10/(B10+C9))-(3.1416/6))))</f>
        <v>0.23251449252298675</v>
      </c>
      <c r="C26" s="73">
        <f>1/(1+EXP(-3.1416*4*((C10/(C10+B9))-(3.1416/6))))</f>
        <v>0.6793166023460353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0.30470345278520006</v>
      </c>
      <c r="I26" s="24">
        <v>1</v>
      </c>
      <c r="J26" s="23">
        <f t="shared" si="16"/>
        <v>0.3586784859270854</v>
      </c>
      <c r="K26" s="24">
        <v>1</v>
      </c>
      <c r="L26" s="23">
        <f>AC18</f>
        <v>0.26344995342224686</v>
      </c>
      <c r="M26" s="17">
        <v>1</v>
      </c>
      <c r="N26" s="32">
        <f>(($B$24)^M26)*((1-($B$24))^($B$21-M26))*HLOOKUP($B$21,$AV$24:$BF$34,M26+1)</f>
        <v>0.15625</v>
      </c>
      <c r="O26" s="16">
        <v>1</v>
      </c>
      <c r="P26" s="32">
        <f t="shared" si="17"/>
        <v>0.15625</v>
      </c>
      <c r="Q26" s="10">
        <v>1</v>
      </c>
      <c r="R26" s="11">
        <f>N26*P25+P26*N25</f>
        <v>9.765625E-3</v>
      </c>
      <c r="S26" s="16">
        <v>1</v>
      </c>
      <c r="T26" s="15">
        <f t="shared" ref="T26:T35" si="18">(($B$33)^S26)*((1-($B$33))^(INT($C$23*2*(1-$C$31))-S26))*HLOOKUP(INT($C$23*2*(1-$C$31)),$AV$24:$BF$34,S26+1)</f>
        <v>5.0000000000000001E-3</v>
      </c>
      <c r="U26" s="24">
        <v>1</v>
      </c>
      <c r="V26" s="23">
        <f>R26*T25+T26*R25</f>
        <v>9.7216796875000001E-3</v>
      </c>
      <c r="W26" s="12"/>
      <c r="X26" s="10">
        <v>1</v>
      </c>
      <c r="Y26" s="11"/>
      <c r="Z26" s="10">
        <v>1</v>
      </c>
      <c r="AA26" s="9">
        <f>(1-((1-W25)^Z26))*V26</f>
        <v>2.7443188573714633E-3</v>
      </c>
      <c r="AB26" s="10">
        <v>1</v>
      </c>
      <c r="AC26" s="9">
        <f>((($W$25)^M26)*((1-($W$25))^($U$27-M26))*HLOOKUP($U$27,$AV$24:$BF$34,M26+1))*V27</f>
        <v>1.7737543539182988E-2</v>
      </c>
      <c r="AD26" s="10">
        <v>1</v>
      </c>
      <c r="AE26" s="9">
        <f>((($W$25)^M26)*((1-($W$25))^($U$28-M26))*HLOOKUP($U$28,$AV$24:$BF$34,M26+1))*V28</f>
        <v>5.0960802833192716E-2</v>
      </c>
      <c r="AF26" s="10">
        <v>1</v>
      </c>
      <c r="AG26" s="9">
        <f>((($W$25)^M26)*((1-($W$25))^($U$29-M26))*HLOOKUP($U$29,$AV$24:$BF$34,M26+1))*V29</f>
        <v>8.5426101492556084E-2</v>
      </c>
      <c r="AH26" s="10">
        <v>1</v>
      </c>
      <c r="AI26" s="9">
        <f>((($W$25)^M26)*((1-($W$25))^($U$30-M26))*HLOOKUP($U$30,$AV$24:$BF$34,M26+1))*V30</f>
        <v>9.2087628341486871E-2</v>
      </c>
      <c r="AJ26" s="10">
        <v>1</v>
      </c>
      <c r="AK26" s="9">
        <f>((($W$25)^M26)*((1-($W$25))^($U$31-M26))*HLOOKUP($U$31,$AV$24:$BF$34,M26+1))*V31</f>
        <v>6.6213615671444306E-2</v>
      </c>
      <c r="AL26" s="10">
        <v>1</v>
      </c>
      <c r="AM26" s="9">
        <f>((($W$25)^Q26)*((1-($W$25))^($U$32-Q26))*HLOOKUP($U$32,$AV$24:$BF$34,Q26+1))*V32</f>
        <v>3.1768550557185977E-2</v>
      </c>
      <c r="AN26" s="10">
        <v>1</v>
      </c>
      <c r="AO26" s="9">
        <f>((($W$25)^Q26)*((1-($W$25))^($U$33-Q26))*HLOOKUP($U$33,$AV$24:$BF$34,Q26+1))*V33</f>
        <v>9.8163278872353665E-3</v>
      </c>
      <c r="AP26" s="10">
        <v>1</v>
      </c>
      <c r="AQ26" s="9">
        <f>((($W$25)^Q26)*((1-($W$25))^($U$34-Q26))*HLOOKUP($U$34,$AV$24:$BF$34,Q26+1))*V34</f>
        <v>1.7773347565464774E-3</v>
      </c>
      <c r="AR26" s="10">
        <v>1</v>
      </c>
      <c r="AS26" s="9">
        <f>((($W$25)^Q26)*((1-($W$25))^($U$35-Q26))*HLOOKUP($U$35,$AV$24:$BF$34,Q26+1))*V35</f>
        <v>1.4626199088320959E-4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3"/>
        <v>2</v>
      </c>
      <c r="BJ26" s="1">
        <v>6</v>
      </c>
      <c r="BK26" s="2">
        <f t="shared" si="14"/>
        <v>3.511002763084399E-2</v>
      </c>
      <c r="BQ26" s="1">
        <f>BQ20+1</f>
        <v>7</v>
      </c>
      <c r="BR26" s="1">
        <v>2</v>
      </c>
      <c r="BS26" s="2">
        <f t="shared" si="15"/>
        <v>1.205930374902443E-4</v>
      </c>
    </row>
    <row r="27" spans="1:71" x14ac:dyDescent="0.25">
      <c r="A27" s="67" t="s">
        <v>30</v>
      </c>
      <c r="B27" s="74">
        <f>1/(1+EXP(-3.1416*4*((B12/(B12+C7))-(3.1416/6))))</f>
        <v>0.23251449252298675</v>
      </c>
      <c r="C27" s="73">
        <f>1/(1+EXP(-3.1416*4*((C12/(C12+B7))-(3.1416/6))))</f>
        <v>0.6793166023460353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0.2842702538671803</v>
      </c>
      <c r="I27" s="24">
        <v>2</v>
      </c>
      <c r="J27" s="23">
        <f t="shared" si="16"/>
        <v>0.26553199601420585</v>
      </c>
      <c r="K27" s="24">
        <v>2</v>
      </c>
      <c r="L27" s="23">
        <f>AD18</f>
        <v>3.0874980909432165E-2</v>
      </c>
      <c r="M27" s="17">
        <v>2</v>
      </c>
      <c r="N27" s="32">
        <f>(($B$24)^M27)*((1-($B$24))^($B$21-M27))*HLOOKUP($B$21,$AV$24:$BF$34,M27+1)</f>
        <v>0.3125</v>
      </c>
      <c r="O27" s="16">
        <v>2</v>
      </c>
      <c r="P27" s="32">
        <f t="shared" si="17"/>
        <v>0.3125</v>
      </c>
      <c r="Q27" s="10">
        <v>2</v>
      </c>
      <c r="R27" s="11">
        <f>P25*N27+P26*N26+P27*N25</f>
        <v>4.39453125E-2</v>
      </c>
      <c r="S27" s="16">
        <v>2</v>
      </c>
      <c r="T27" s="15">
        <f t="shared" si="18"/>
        <v>0</v>
      </c>
      <c r="U27" s="24">
        <v>2</v>
      </c>
      <c r="V27" s="23">
        <f>R27*T25+T26*R26+R25*T27</f>
        <v>4.3774414062499996E-2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3.4882440798987956E-3</v>
      </c>
      <c r="AD27" s="10">
        <v>2</v>
      </c>
      <c r="AE27" s="9">
        <f>((($W$25)^M27)*((1-($W$25))^($U$28-M27))*HLOOKUP($U$28,$AV$24:$BF$34,M27+1))*V28</f>
        <v>2.0043780966297466E-2</v>
      </c>
      <c r="AF27" s="10">
        <v>2</v>
      </c>
      <c r="AG27" s="9">
        <f>((($W$25)^M27)*((1-($W$25))^($U$29-M27))*HLOOKUP($U$29,$AV$24:$BF$34,M27+1))*V29</f>
        <v>5.0399384583661708E-2</v>
      </c>
      <c r="AH27" s="10">
        <v>2</v>
      </c>
      <c r="AI27" s="9">
        <f>((($W$25)^M27)*((1-($W$25))^($U$30-M27))*HLOOKUP($U$30,$AV$24:$BF$34,M27+1))*V30</f>
        <v>7.2439371028917163E-2</v>
      </c>
      <c r="AJ27" s="10">
        <v>2</v>
      </c>
      <c r="AK27" s="9">
        <f>((($W$25)^M27)*((1-($W$25))^($U$31-M27))*HLOOKUP($U$31,$AV$24:$BF$34,M27+1))*V31</f>
        <v>6.5107451988599449E-2</v>
      </c>
      <c r="AL27" s="10">
        <v>2</v>
      </c>
      <c r="AM27" s="9">
        <f>((($W$25)^Q27)*((1-($W$25))^($U$32-Q27))*HLOOKUP($U$32,$AV$24:$BF$34,Q27+1))*V32</f>
        <v>3.7485390746448508E-2</v>
      </c>
      <c r="AN27" s="10">
        <v>2</v>
      </c>
      <c r="AO27" s="9">
        <f>((($W$25)^Q27)*((1-($W$25))^($U$33-Q27))*HLOOKUP($U$33,$AV$24:$BF$34,Q27+1))*V33</f>
        <v>1.3513271042490706E-2</v>
      </c>
      <c r="AP27" s="10">
        <v>2</v>
      </c>
      <c r="AQ27" s="9">
        <f>((($W$25)^Q27)*((1-($W$25))^($U$34-Q27))*HLOOKUP($U$34,$AV$24:$BF$34,Q27+1))*V34</f>
        <v>2.7962282054788687E-3</v>
      </c>
      <c r="AR27" s="10">
        <v>2</v>
      </c>
      <c r="AS27" s="9">
        <f>((($W$25)^Q27)*((1-($W$25))^($U$35-Q27))*HLOOKUP($U$35,$AV$24:$BF$34,Q27+1))*V35</f>
        <v>2.5887337241313463E-4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3"/>
        <v>2</v>
      </c>
      <c r="BJ27" s="1">
        <v>7</v>
      </c>
      <c r="BK27" s="2">
        <f t="shared" si="14"/>
        <v>1.6319616455868772E-2</v>
      </c>
      <c r="BQ27" s="1">
        <f>BQ21+1</f>
        <v>7</v>
      </c>
      <c r="BR27" s="1">
        <v>3</v>
      </c>
      <c r="BS27" s="2">
        <f t="shared" si="15"/>
        <v>2.093608893307081E-4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0.1649114003492643</v>
      </c>
      <c r="I28" s="24">
        <v>3</v>
      </c>
      <c r="J28" s="23">
        <f t="shared" si="16"/>
        <v>0.11651924413027481</v>
      </c>
      <c r="K28" s="24">
        <v>3</v>
      </c>
      <c r="L28" s="23">
        <f>AE18</f>
        <v>1.6328286360301841E-2</v>
      </c>
      <c r="M28" s="17">
        <v>3</v>
      </c>
      <c r="N28" s="32">
        <f>(($B$24)^M28)*((1-($B$24))^($B$21-M28))*HLOOKUP($B$21,$AV$24:$BF$34,M28+1)</f>
        <v>0.3125</v>
      </c>
      <c r="O28" s="16">
        <v>3</v>
      </c>
      <c r="P28" s="32">
        <f t="shared" si="17"/>
        <v>0.3125</v>
      </c>
      <c r="Q28" s="10">
        <v>3</v>
      </c>
      <c r="R28" s="11">
        <f>P25*N28+P26*N27+P27*N26+P28*N25</f>
        <v>0.1171875</v>
      </c>
      <c r="S28" s="16">
        <v>3</v>
      </c>
      <c r="T28" s="15">
        <f t="shared" si="18"/>
        <v>0</v>
      </c>
      <c r="U28" s="24">
        <v>3</v>
      </c>
      <c r="V28" s="23">
        <f>R28*T25+R27*T26+R26*T27+R25*T28</f>
        <v>0.1168212890625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2.6278573144405764E-3</v>
      </c>
      <c r="AF28" s="10">
        <v>3</v>
      </c>
      <c r="AG28" s="9">
        <f>((($W$25)^M28)*((1-($W$25))^($U$29-M28))*HLOOKUP($U$29,$AV$24:$BF$34,M28+1))*V29</f>
        <v>1.3215310189646728E-2</v>
      </c>
      <c r="AH28" s="10">
        <v>3</v>
      </c>
      <c r="AI28" s="9">
        <f>((($W$25)^M28)*((1-($W$25))^($U$30-M28))*HLOOKUP($U$30,$AV$24:$BF$34,M28+1))*V30</f>
        <v>2.8491679987707214E-2</v>
      </c>
      <c r="AJ28" s="10">
        <v>3</v>
      </c>
      <c r="AK28" s="9">
        <f>((($W$25)^M28)*((1-($W$25))^($U$31-M28))*HLOOKUP($U$31,$AV$24:$BF$34,M28+1))*V31</f>
        <v>3.4143876191924771E-2</v>
      </c>
      <c r="AL28" s="10">
        <v>3</v>
      </c>
      <c r="AM28" s="9">
        <f>((($W$25)^Q28)*((1-($W$25))^($U$32-Q28))*HLOOKUP($U$32,$AV$24:$BF$34,Q28+1))*V32</f>
        <v>2.4572773575841499E-2</v>
      </c>
      <c r="AN28" s="10">
        <v>3</v>
      </c>
      <c r="AO28" s="9">
        <f>((($W$25)^Q28)*((1-($W$25))^($U$33-Q28))*HLOOKUP($U$33,$AV$24:$BF$34,Q28+1))*V33</f>
        <v>1.0630014829259102E-2</v>
      </c>
      <c r="AP28" s="10">
        <v>3</v>
      </c>
      <c r="AQ28" s="9">
        <f>((($W$25)^Q28)*((1-($W$25))^($U$34-Q28))*HLOOKUP($U$34,$AV$24:$BF$34,Q28+1))*V34</f>
        <v>2.5662134945885081E-3</v>
      </c>
      <c r="AR28" s="10">
        <v>3</v>
      </c>
      <c r="AS28" s="9">
        <f>((($W$25)^Q28)*((1-($W$25))^($U$35-Q28))*HLOOKUP($U$35,$AV$24:$BF$34,Q28+1))*V35</f>
        <v>2.7151854686642725E-4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9">BE27+BE28</f>
        <v>210</v>
      </c>
      <c r="BI28" s="1">
        <f t="shared" si="13"/>
        <v>2</v>
      </c>
      <c r="BJ28" s="1">
        <v>8</v>
      </c>
      <c r="BK28" s="2">
        <f t="shared" si="14"/>
        <v>5.6569814648645168E-3</v>
      </c>
      <c r="BQ28" s="1">
        <f>BQ22+1</f>
        <v>7</v>
      </c>
      <c r="BR28" s="1">
        <v>4</v>
      </c>
      <c r="BS28" s="2">
        <f t="shared" si="15"/>
        <v>2.4683035066026614E-4</v>
      </c>
    </row>
    <row r="29" spans="1:71" x14ac:dyDescent="0.25">
      <c r="A29" s="67" t="s">
        <v>28</v>
      </c>
      <c r="B29" s="74">
        <f>1/(1+EXP(-3.1416*4*((B14/(B14+C13))-(3.1416/6))))</f>
        <v>6.2199958135446112E-2</v>
      </c>
      <c r="C29" s="73">
        <f>1/(1+EXP(-3.1416*4*((C14/(C14+B13))-(3.1416/6))))</f>
        <v>6.2199958135446112E-2</v>
      </c>
      <c r="D29" s="8">
        <v>0.04</v>
      </c>
      <c r="E29" s="8">
        <v>0.04</v>
      </c>
      <c r="G29" s="62">
        <v>4</v>
      </c>
      <c r="H29" s="61">
        <f>J29*L25+J28*L26+J27*L27+J26*L28</f>
        <v>6.7890949516746527E-2</v>
      </c>
      <c r="I29" s="24">
        <v>4</v>
      </c>
      <c r="J29" s="23">
        <f t="shared" si="16"/>
        <v>3.3566646621282149E-2</v>
      </c>
      <c r="K29" s="24">
        <v>4</v>
      </c>
      <c r="L29" s="23"/>
      <c r="M29" s="17">
        <v>4</v>
      </c>
      <c r="N29" s="32">
        <f>(($B$24)^M29)*((1-($B$24))^($B$21-M29))*HLOOKUP($B$21,$AV$24:$BF$34,M29+1)</f>
        <v>0.15625</v>
      </c>
      <c r="O29" s="16">
        <v>4</v>
      </c>
      <c r="P29" s="32">
        <f t="shared" si="17"/>
        <v>0.15625</v>
      </c>
      <c r="Q29" s="10">
        <v>4</v>
      </c>
      <c r="R29" s="11">
        <f>P25*N29+P26*N28+P27*N27+P28*N26+P29*N25</f>
        <v>0.205078125</v>
      </c>
      <c r="S29" s="16">
        <v>4</v>
      </c>
      <c r="T29" s="15">
        <f t="shared" si="18"/>
        <v>0</v>
      </c>
      <c r="U29" s="24">
        <v>4</v>
      </c>
      <c r="V29" s="23">
        <f>T29*R25+T28*R26+T27*R27+T26*R28+T25*R29</f>
        <v>0.20463867187499998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1.2994535413324991E-3</v>
      </c>
      <c r="AH29" s="10">
        <v>4</v>
      </c>
      <c r="AI29" s="9">
        <f>((($W$25)^M29)*((1-($W$25))^($U$30-M29))*HLOOKUP($U$30,$AV$24:$BF$34,M29+1))*V30</f>
        <v>5.6031396807535916E-3</v>
      </c>
      <c r="AJ29" s="10">
        <v>4</v>
      </c>
      <c r="AK29" s="9">
        <f>((($W$25)^M29)*((1-($W$25))^($U$31-M29))*HLOOKUP($U$31,$AV$24:$BF$34,M29+1))*V31</f>
        <v>1.0072040730570494E-2</v>
      </c>
      <c r="AL29" s="10">
        <v>4</v>
      </c>
      <c r="AM29" s="9">
        <f>((($W$25)^Q29)*((1-($W$25))^($U$32-Q29))*HLOOKUP($U$32,$AV$24:$BF$34,Q29+1))*V32</f>
        <v>9.6649044737533978E-3</v>
      </c>
      <c r="AN29" s="10">
        <v>4</v>
      </c>
      <c r="AO29" s="9">
        <f>((($W$25)^Q29)*((1-($W$25))^($U$33-Q29))*HLOOKUP($U$33,$AV$24:$BF$34,Q29+1))*V33</f>
        <v>5.2262149794710857E-3</v>
      </c>
      <c r="AP29" s="10">
        <v>4</v>
      </c>
      <c r="AQ29" s="9">
        <f>((($W$25)^Q29)*((1-($W$25))^($U$34-Q29))*HLOOKUP($U$34,$AV$24:$BF$34,Q29+1))*V34</f>
        <v>1.5140054219706935E-3</v>
      </c>
      <c r="AR29" s="10">
        <v>4</v>
      </c>
      <c r="AS29" s="9">
        <f>((($W$25)^Q29)*((1-($W$25))^($U$35-Q29))*HLOOKUP($U$35,$AV$24:$BF$34,Q29+1))*V35</f>
        <v>1.8688779343039037E-4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9"/>
        <v>252</v>
      </c>
      <c r="BI29" s="1">
        <f t="shared" si="13"/>
        <v>2</v>
      </c>
      <c r="BJ29" s="1">
        <v>9</v>
      </c>
      <c r="BK29" s="2">
        <f t="shared" si="14"/>
        <v>1.4438866463744331E-3</v>
      </c>
      <c r="BQ29" s="1">
        <f>BQ23+1</f>
        <v>7</v>
      </c>
      <c r="BR29" s="1">
        <v>5</v>
      </c>
      <c r="BS29" s="2">
        <f t="shared" si="15"/>
        <v>2.0860594764662583E-4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2.1349701356867933E-2</v>
      </c>
      <c r="I30" s="24">
        <v>5</v>
      </c>
      <c r="J30" s="23">
        <f t="shared" si="16"/>
        <v>6.6343357195268009E-3</v>
      </c>
      <c r="K30" s="24">
        <v>5</v>
      </c>
      <c r="L30" s="23"/>
      <c r="M30" s="17">
        <v>5</v>
      </c>
      <c r="N30" s="32">
        <f>(($B$24)^M30)*((1-($B$24))^($B$21-M30))*HLOOKUP($B$21,$AV$24:$BF$34,M30+1)</f>
        <v>3.125E-2</v>
      </c>
      <c r="O30" s="16">
        <v>5</v>
      </c>
      <c r="P30" s="32">
        <f t="shared" si="17"/>
        <v>3.125E-2</v>
      </c>
      <c r="Q30" s="10">
        <v>5</v>
      </c>
      <c r="R30" s="11">
        <f>P25*N30+P26*N29+P27*N28+P28*N27+P29*N26+P30*N25</f>
        <v>0.24609375</v>
      </c>
      <c r="S30" s="16">
        <v>5</v>
      </c>
      <c r="T30" s="15">
        <f t="shared" si="18"/>
        <v>0</v>
      </c>
      <c r="U30" s="24">
        <v>5</v>
      </c>
      <c r="V30" s="23">
        <f>T30*R25+T29*R26+T28*R27+T27*R28+T26*R29+T25*R30</f>
        <v>0.24588867187500002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4.4076269697793829E-4</v>
      </c>
      <c r="AJ30" s="10">
        <v>5</v>
      </c>
      <c r="AK30" s="9">
        <f>((($W$25)^M30)*((1-($W$25))^($U$31-M30))*HLOOKUP($U$31,$AV$24:$BF$34,M30+1))*V31</f>
        <v>1.5846043787653078E-3</v>
      </c>
      <c r="AL30" s="10">
        <v>5</v>
      </c>
      <c r="AM30" s="9">
        <f>((($W$25)^Q30)*((1-($W$25))^($U$32-Q30))*HLOOKUP($U$32,$AV$24:$BF$34,Q30+1))*V32</f>
        <v>2.2808262534583569E-3</v>
      </c>
      <c r="AN30" s="10">
        <v>5</v>
      </c>
      <c r="AO30" s="9">
        <f>((($W$25)^Q30)*((1-($W$25))^($U$33-Q30))*HLOOKUP($U$33,$AV$24:$BF$34,Q30+1))*V33</f>
        <v>1.6444498910142215E-3</v>
      </c>
      <c r="AP30" s="10">
        <v>5</v>
      </c>
      <c r="AQ30" s="9">
        <f>((($W$25)^Q30)*((1-($W$25))^($U$34-Q30))*HLOOKUP($U$34,$AV$24:$BF$34,Q30+1))*V34</f>
        <v>5.9548498792490743E-4</v>
      </c>
      <c r="AR30" s="10">
        <v>5</v>
      </c>
      <c r="AS30" s="9">
        <f>((($W$25)^Q30)*((1-($W$25))^($U$35-Q30))*HLOOKUP($U$35,$AV$24:$BF$34,Q30+1))*V35</f>
        <v>8.8207511386069115E-5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9"/>
        <v>210</v>
      </c>
      <c r="BI30" s="1">
        <f t="shared" si="13"/>
        <v>2</v>
      </c>
      <c r="BJ30" s="1">
        <v>10</v>
      </c>
      <c r="BK30" s="2">
        <f t="shared" si="14"/>
        <v>2.6375662750455946E-4</v>
      </c>
      <c r="BQ30" s="1">
        <f>BM10+1</f>
        <v>7</v>
      </c>
      <c r="BR30" s="1">
        <v>6</v>
      </c>
      <c r="BS30" s="2">
        <f t="shared" si="15"/>
        <v>1.2996577618988275E-4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0.28228854946744131</v>
      </c>
      <c r="C31" s="68">
        <f>(C25*E25)+(C26*E26)+(C27*E27)+(C28*E28)+(C29*E29)+(C30*E30)/(C25+C26+C27+C28+C29+C30)</f>
        <v>0.67275832555955561</v>
      </c>
      <c r="G31" s="62">
        <v>6</v>
      </c>
      <c r="H31" s="61">
        <f>J31*L25+J30*L26+J29*L27+J28*L28</f>
        <v>5.3149843528814394E-3</v>
      </c>
      <c r="I31" s="24">
        <v>6</v>
      </c>
      <c r="J31" s="23">
        <f t="shared" si="16"/>
        <v>9.1135518025398804E-4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0.205078125</v>
      </c>
      <c r="S31" s="16">
        <v>6</v>
      </c>
      <c r="T31" s="15">
        <f t="shared" si="18"/>
        <v>0</v>
      </c>
      <c r="U31" s="24">
        <v>6</v>
      </c>
      <c r="V31" s="23">
        <f>T31*R25+T30*R26+T29*R27+T28*R28+T27*R29+T26*R30+T25*R31</f>
        <v>0.20528320312499998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1.0387546676534513E-4</v>
      </c>
      <c r="AL31" s="10">
        <v>6</v>
      </c>
      <c r="AM31" s="9">
        <f>((($W$25)^Q31)*((1-($W$25))^($U$32-Q31))*HLOOKUP($U$32,$AV$24:$BF$34,Q31+1))*V32</f>
        <v>2.99029707179334E-4</v>
      </c>
      <c r="AN31" s="10">
        <v>6</v>
      </c>
      <c r="AO31" s="9">
        <f>((($W$25)^Q31)*((1-($W$25))^($U$33-Q31))*HLOOKUP($U$33,$AV$24:$BF$34,Q31+1))*V33</f>
        <v>3.2339554709754341E-4</v>
      </c>
      <c r="AP31" s="10">
        <v>6</v>
      </c>
      <c r="AQ31" s="9">
        <f>((($W$25)^Q31)*((1-($W$25))^($U$34-Q31))*HLOOKUP($U$34,$AV$24:$BF$34,Q31+1))*V34</f>
        <v>1.5614315320939062E-4</v>
      </c>
      <c r="AR31" s="10">
        <v>6</v>
      </c>
      <c r="AS31" s="9">
        <f>((($W$25)^Q31)*((1-($W$25))^($U$35-Q31))*HLOOKUP($U$35,$AV$24:$BF$34,Q31+1))*V35</f>
        <v>2.8911306002374981E-5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9"/>
        <v>120</v>
      </c>
      <c r="BI31" s="1">
        <f t="shared" ref="BI31:BI37" si="20">BI24+1</f>
        <v>3</v>
      </c>
      <c r="BJ31" s="1">
        <v>4</v>
      </c>
      <c r="BK31" s="2">
        <f t="shared" ref="BK31:BK37" si="21">$H$28*H43</f>
        <v>3.868298583867711E-2</v>
      </c>
      <c r="BQ31" s="1">
        <f t="shared" ref="BQ31:BQ37" si="22">BQ24+1</f>
        <v>8</v>
      </c>
      <c r="BR31" s="1">
        <v>0</v>
      </c>
      <c r="BS31" s="2">
        <f t="shared" ref="BS31:BS38" si="23">$H$33*H39</f>
        <v>1.055566459673466E-6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1.0522749961918785E-3</v>
      </c>
      <c r="I32" s="24">
        <v>7</v>
      </c>
      <c r="J32" s="23">
        <f t="shared" si="16"/>
        <v>8.596211849690371E-5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0.1171875</v>
      </c>
      <c r="S32" s="16">
        <v>7</v>
      </c>
      <c r="T32" s="15">
        <f t="shared" si="18"/>
        <v>0</v>
      </c>
      <c r="U32" s="24">
        <v>7</v>
      </c>
      <c r="V32" s="23">
        <f>T32*R25+T31*R26+T30*R27+T29*R28+T28*R29+T27*R30+T26*R31+T25*R32</f>
        <v>0.117626953125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1.6801949789688508E-5</v>
      </c>
      <c r="AN32" s="10">
        <v>7</v>
      </c>
      <c r="AO32" s="9">
        <f>((($W$25)^Q32)*((1-($W$25))^($U$33-Q32))*HLOOKUP($U$33,$AV$24:$BF$34,Q32+1))*V33</f>
        <v>3.6342046385933742E-5</v>
      </c>
      <c r="AP32" s="10">
        <v>7</v>
      </c>
      <c r="AQ32" s="9">
        <f>((($W$25)^Q32)*((1-($W$25))^($U$34-Q32))*HLOOKUP($U$34,$AV$24:$BF$34,Q32+1))*V34</f>
        <v>2.632022194357885E-5</v>
      </c>
      <c r="AR32" s="10">
        <v>7</v>
      </c>
      <c r="AS32" s="9">
        <f>((($W$25)^Q32)*((1-($W$25))^($U$35-Q32))*HLOOKUP($U$35,$AV$24:$BF$34,Q32+1))*V35</f>
        <v>6.497900377702619E-6</v>
      </c>
      <c r="AV32" s="22">
        <v>8</v>
      </c>
      <c r="BD32" s="1">
        <v>1</v>
      </c>
      <c r="BE32" s="1">
        <v>9</v>
      </c>
      <c r="BF32" s="1">
        <f t="shared" si="19"/>
        <v>45</v>
      </c>
      <c r="BI32" s="1">
        <f t="shared" si="20"/>
        <v>3</v>
      </c>
      <c r="BJ32" s="1">
        <v>5</v>
      </c>
      <c r="BK32" s="2">
        <f t="shared" si="21"/>
        <v>3.2692498702418457E-2</v>
      </c>
      <c r="BQ32" s="1">
        <f t="shared" si="22"/>
        <v>8</v>
      </c>
      <c r="BR32" s="1">
        <v>1</v>
      </c>
      <c r="BS32" s="2">
        <f t="shared" si="23"/>
        <v>6.5429729262824356E-6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1.6278854723537919E-4</v>
      </c>
      <c r="I33" s="24">
        <v>8</v>
      </c>
      <c r="J33" s="23">
        <f t="shared" si="16"/>
        <v>5.3331994879499605E-6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4.39453125E-2</v>
      </c>
      <c r="S33" s="16">
        <v>8</v>
      </c>
      <c r="T33" s="15">
        <f t="shared" si="18"/>
        <v>0</v>
      </c>
      <c r="U33" s="24">
        <v>8</v>
      </c>
      <c r="V33" s="23">
        <f>T33*R25+T32*R26+T31*R27+T30*R28+T29*R29+T28*R30+T27*R31+T26*R32+T25*R33</f>
        <v>4.43115234375E-2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1.7867458348601181E-6</v>
      </c>
      <c r="AP33" s="10">
        <v>8</v>
      </c>
      <c r="AQ33" s="9">
        <f>((($W$25)^Q33)*((1-($W$25))^($U$34-Q33))*HLOOKUP($U$34,$AV$24:$BF$34,Q33+1))*V34</f>
        <v>2.5880516705567523E-6</v>
      </c>
      <c r="AR33" s="10">
        <v>8</v>
      </c>
      <c r="AS33" s="9">
        <f>((($W$25)^Q33)*((1-($W$25))^($U$35-Q33))*HLOOKUP($U$35,$AV$24:$BF$34,Q33+1))*V35</f>
        <v>9.5840198253309035E-7</v>
      </c>
      <c r="AV33" s="29">
        <v>9</v>
      </c>
      <c r="BE33" s="1">
        <v>1</v>
      </c>
      <c r="BF33" s="1">
        <f t="shared" si="19"/>
        <v>10</v>
      </c>
      <c r="BI33" s="1">
        <f t="shared" si="20"/>
        <v>3</v>
      </c>
      <c r="BJ33" s="1">
        <v>6</v>
      </c>
      <c r="BK33" s="2">
        <f t="shared" si="21"/>
        <v>2.0368096007713592E-2</v>
      </c>
      <c r="BQ33" s="1">
        <f t="shared" si="22"/>
        <v>8</v>
      </c>
      <c r="BR33" s="1">
        <v>2</v>
      </c>
      <c r="BS33" s="2">
        <f t="shared" si="23"/>
        <v>1.8655926873471786E-5</v>
      </c>
    </row>
    <row r="34" spans="1:71" x14ac:dyDescent="0.25">
      <c r="A34" s="65" t="s">
        <v>23</v>
      </c>
      <c r="B34" s="64">
        <f>B23*2</f>
        <v>5</v>
      </c>
      <c r="C34" s="63">
        <f>C23*2</f>
        <v>5</v>
      </c>
      <c r="G34" s="62">
        <v>9</v>
      </c>
      <c r="H34" s="61">
        <f>J34*L25+J33*L26+J32*L27+J31*L28</f>
        <v>1.9075690675715208E-5</v>
      </c>
      <c r="I34" s="24">
        <v>9</v>
      </c>
      <c r="J34" s="23">
        <f t="shared" si="16"/>
        <v>1.9687100373719795E-7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9.765625E-3</v>
      </c>
      <c r="S34" s="16">
        <v>9</v>
      </c>
      <c r="T34" s="15">
        <f t="shared" si="18"/>
        <v>0</v>
      </c>
      <c r="U34" s="24">
        <v>9</v>
      </c>
      <c r="V34" s="23">
        <f>T34*R25+T33*R26+T32*R27+T31*R28+T30*R29+T29*R30+T28*R31+T27*R32+T26*R33+T25*R34</f>
        <v>9.936523437499999E-3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1.1310292078555903E-7</v>
      </c>
      <c r="AR34" s="10">
        <v>9</v>
      </c>
      <c r="AS34" s="9">
        <f>((($W$25)^Q34)*((1-($W$25))^($U$35-Q34))*HLOOKUP($U$35,$AV$24:$BF$34,Q34+1))*V35</f>
        <v>8.3768082951638928E-8</v>
      </c>
      <c r="AV34" s="22">
        <v>10</v>
      </c>
      <c r="BF34" s="1">
        <f t="shared" si="19"/>
        <v>1</v>
      </c>
      <c r="BI34" s="1">
        <f t="shared" si="20"/>
        <v>3</v>
      </c>
      <c r="BJ34" s="1">
        <v>7</v>
      </c>
      <c r="BK34" s="2">
        <f t="shared" si="21"/>
        <v>9.4673669379338934E-3</v>
      </c>
      <c r="BQ34" s="1">
        <f t="shared" si="22"/>
        <v>8</v>
      </c>
      <c r="BR34" s="1">
        <v>3</v>
      </c>
      <c r="BS34" s="2">
        <f t="shared" si="23"/>
        <v>3.2388448975212865E-5</v>
      </c>
    </row>
    <row r="35" spans="1:71" ht="15.75" thickBot="1" x14ac:dyDescent="0.3">
      <c r="G35" s="60">
        <v>10</v>
      </c>
      <c r="H35" s="59">
        <f>J35*L25+J34*L26+J33*L27+J32*L28</f>
        <v>1.6224133987675806E-6</v>
      </c>
      <c r="I35" s="14">
        <v>10</v>
      </c>
      <c r="J35" s="13">
        <f t="shared" si="16"/>
        <v>3.2947461839350611E-9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9.765625E-4</v>
      </c>
      <c r="S35" s="16">
        <v>10</v>
      </c>
      <c r="T35" s="15">
        <f t="shared" si="18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3.2947461839350611E-9</v>
      </c>
      <c r="BI35" s="1">
        <f t="shared" si="20"/>
        <v>3</v>
      </c>
      <c r="BJ35" s="1">
        <v>8</v>
      </c>
      <c r="BK35" s="2">
        <f t="shared" si="21"/>
        <v>3.2817388468528246E-3</v>
      </c>
      <c r="BQ35" s="1">
        <f t="shared" si="22"/>
        <v>8</v>
      </c>
      <c r="BR35" s="1">
        <v>4</v>
      </c>
      <c r="BS35" s="2">
        <f t="shared" si="23"/>
        <v>3.8185031805371394E-5</v>
      </c>
    </row>
    <row r="36" spans="1:71" ht="15.75" x14ac:dyDescent="0.25">
      <c r="A36" s="58" t="s">
        <v>22</v>
      </c>
      <c r="B36" s="48">
        <f>SUM(BO4:BO14)</f>
        <v>9.9488206636773213E-2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20"/>
        <v>3</v>
      </c>
      <c r="BJ36" s="1">
        <v>9</v>
      </c>
      <c r="BK36" s="2">
        <f t="shared" si="21"/>
        <v>8.3763026753571094E-4</v>
      </c>
      <c r="BQ36" s="1">
        <f t="shared" si="22"/>
        <v>8</v>
      </c>
      <c r="BR36" s="1">
        <v>5</v>
      </c>
      <c r="BS36" s="2">
        <f t="shared" si="23"/>
        <v>3.2271658344965128E-5</v>
      </c>
    </row>
    <row r="37" spans="1:71" ht="16.5" thickBot="1" x14ac:dyDescent="0.3">
      <c r="A37" s="55" t="s">
        <v>21</v>
      </c>
      <c r="B37" s="48">
        <f>SUM(BK4:BK59)</f>
        <v>0.8160660666033277</v>
      </c>
      <c r="G37" s="4"/>
      <c r="H37" s="50">
        <f>SUM(H39:H49)</f>
        <v>0.99987616795544543</v>
      </c>
      <c r="I37" s="53"/>
      <c r="J37" s="50">
        <f>SUM(J39:J49)</f>
        <v>1.0000000000000002</v>
      </c>
      <c r="K37" s="50"/>
      <c r="L37" s="50">
        <f>SUM(L39:L49)</f>
        <v>0.99999999999999989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0.99887438476562496</v>
      </c>
      <c r="W37" s="4"/>
      <c r="X37" s="4"/>
      <c r="Y37" s="50">
        <f>SUM(Y39:Y49)</f>
        <v>9.6198718261718752E-4</v>
      </c>
      <c r="Z37" s="51"/>
      <c r="AA37" s="50">
        <f>SUM(AA39:AA49)</f>
        <v>9.6343741455078135E-3</v>
      </c>
      <c r="AB37" s="51"/>
      <c r="AC37" s="50">
        <f>SUM(AC39:AC49)</f>
        <v>4.3434519287109383E-2</v>
      </c>
      <c r="AD37" s="51"/>
      <c r="AE37" s="50">
        <f>SUM(AE39:AE49)</f>
        <v>0.11609179516601563</v>
      </c>
      <c r="AF37" s="51"/>
      <c r="AG37" s="50">
        <f>SUM(AG39:AG49)</f>
        <v>0.20376086730957033</v>
      </c>
      <c r="AH37" s="51"/>
      <c r="AI37" s="50">
        <f>SUM(AI39:AI49)</f>
        <v>0.24547500769042968</v>
      </c>
      <c r="AJ37" s="51"/>
      <c r="AK37" s="50">
        <f>SUM(AK39:AK49)</f>
        <v>0.20568721142578125</v>
      </c>
      <c r="AL37" s="51"/>
      <c r="AM37" s="50">
        <f>SUM(AM39:AM49)</f>
        <v>0.11850233935546876</v>
      </c>
      <c r="AN37" s="51"/>
      <c r="AO37" s="50">
        <f>SUM(AO39:AO49)</f>
        <v>4.504503625488282E-2</v>
      </c>
      <c r="AP37" s="51"/>
      <c r="AQ37" s="50">
        <f>SUM(AQ39:AQ49)</f>
        <v>1.0281246948242189E-2</v>
      </c>
      <c r="AR37" s="51"/>
      <c r="AS37" s="50">
        <f>SUM(AS39:AS49)</f>
        <v>1.1256152343750436E-3</v>
      </c>
      <c r="BI37" s="1">
        <f t="shared" si="20"/>
        <v>3</v>
      </c>
      <c r="BJ37" s="1">
        <v>10</v>
      </c>
      <c r="BK37" s="2">
        <f t="shared" si="21"/>
        <v>1.5301099640730982E-4</v>
      </c>
      <c r="BQ37" s="1">
        <f t="shared" si="22"/>
        <v>8</v>
      </c>
      <c r="BR37" s="1">
        <v>6</v>
      </c>
      <c r="BS37" s="2">
        <f t="shared" si="23"/>
        <v>2.0105903849122305E-5</v>
      </c>
    </row>
    <row r="38" spans="1:71" ht="16.5" thickBot="1" x14ac:dyDescent="0.3">
      <c r="A38" s="49" t="s">
        <v>20</v>
      </c>
      <c r="B38" s="48">
        <f>SUM(BS4:BS47)</f>
        <v>8.4320176621763152E-2</v>
      </c>
      <c r="G38" s="46" t="str">
        <f t="shared" ref="G38:AS38" si="24">G24</f>
        <v>G</v>
      </c>
      <c r="H38" s="47" t="str">
        <f t="shared" si="24"/>
        <v>p</v>
      </c>
      <c r="I38" s="46" t="str">
        <f t="shared" si="24"/>
        <v>GT</v>
      </c>
      <c r="J38" s="44" t="str">
        <f t="shared" si="24"/>
        <v>p(x)</v>
      </c>
      <c r="K38" s="45" t="str">
        <f t="shared" si="24"/>
        <v>EE(x)</v>
      </c>
      <c r="L38" s="44" t="str">
        <f t="shared" si="24"/>
        <v>p</v>
      </c>
      <c r="M38" s="40" t="str">
        <f t="shared" si="24"/>
        <v>OcaS</v>
      </c>
      <c r="N38" s="39" t="str">
        <f t="shared" si="24"/>
        <v>P</v>
      </c>
      <c r="O38" s="39" t="str">
        <f t="shared" si="24"/>
        <v>O_CA</v>
      </c>
      <c r="P38" s="39" t="str">
        <f t="shared" si="24"/>
        <v>p</v>
      </c>
      <c r="Q38" s="39" t="str">
        <f t="shared" si="24"/>
        <v>TotalN</v>
      </c>
      <c r="R38" s="39" t="str">
        <f t="shared" si="24"/>
        <v>p</v>
      </c>
      <c r="S38" s="39" t="str">
        <f t="shared" si="24"/>
        <v>OcaCA</v>
      </c>
      <c r="T38" s="43" t="str">
        <f t="shared" si="24"/>
        <v>p</v>
      </c>
      <c r="U38" s="42" t="str">
        <f t="shared" si="24"/>
        <v>Total</v>
      </c>
      <c r="V38" s="41" t="str">
        <f t="shared" si="24"/>
        <v>P</v>
      </c>
      <c r="W38" s="40" t="str">
        <f t="shared" si="24"/>
        <v>E(x)</v>
      </c>
      <c r="X38" s="39" t="str">
        <f t="shared" si="24"/>
        <v>G0</v>
      </c>
      <c r="Y38" s="39" t="str">
        <f t="shared" si="24"/>
        <v>p</v>
      </c>
      <c r="Z38" s="39" t="str">
        <f t="shared" si="24"/>
        <v>G1</v>
      </c>
      <c r="AA38" s="39" t="str">
        <f t="shared" si="24"/>
        <v>p</v>
      </c>
      <c r="AB38" s="39" t="str">
        <f t="shared" si="24"/>
        <v>G2</v>
      </c>
      <c r="AC38" s="39" t="str">
        <f t="shared" si="24"/>
        <v>p</v>
      </c>
      <c r="AD38" s="39" t="str">
        <f t="shared" si="24"/>
        <v>G3</v>
      </c>
      <c r="AE38" s="39" t="str">
        <f t="shared" si="24"/>
        <v>p</v>
      </c>
      <c r="AF38" s="39" t="str">
        <f t="shared" si="24"/>
        <v>G4</v>
      </c>
      <c r="AG38" s="39" t="str">
        <f t="shared" si="24"/>
        <v>p</v>
      </c>
      <c r="AH38" s="39" t="str">
        <f t="shared" si="24"/>
        <v>G5</v>
      </c>
      <c r="AI38" s="39" t="str">
        <f t="shared" si="24"/>
        <v>p</v>
      </c>
      <c r="AJ38" s="39" t="str">
        <f t="shared" si="24"/>
        <v>G6</v>
      </c>
      <c r="AK38" s="39" t="str">
        <f t="shared" si="24"/>
        <v>p</v>
      </c>
      <c r="AL38" s="39" t="str">
        <f t="shared" si="24"/>
        <v>G7</v>
      </c>
      <c r="AM38" s="39" t="str">
        <f t="shared" si="24"/>
        <v>p</v>
      </c>
      <c r="AN38" s="39" t="str">
        <f t="shared" si="24"/>
        <v>G8</v>
      </c>
      <c r="AO38" s="39" t="str">
        <f t="shared" si="24"/>
        <v>p</v>
      </c>
      <c r="AP38" s="39" t="str">
        <f t="shared" si="24"/>
        <v>G9</v>
      </c>
      <c r="AQ38" s="39" t="str">
        <f t="shared" si="24"/>
        <v>p</v>
      </c>
      <c r="AR38" s="39" t="str">
        <f t="shared" si="24"/>
        <v>G10</v>
      </c>
      <c r="AS38" s="39" t="str">
        <f t="shared" si="24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5">BI32+1</f>
        <v>4</v>
      </c>
      <c r="BJ38" s="1">
        <v>5</v>
      </c>
      <c r="BK38" s="2">
        <f t="shared" ref="BK38:BK43" si="26">$H$29*H44</f>
        <v>1.3458892316004124E-2</v>
      </c>
      <c r="BQ38" s="1">
        <f>BM11+1</f>
        <v>8</v>
      </c>
      <c r="BR38" s="1">
        <v>7</v>
      </c>
      <c r="BS38" s="2">
        <f t="shared" si="23"/>
        <v>9.3454964708714527E-6</v>
      </c>
    </row>
    <row r="39" spans="1:71" x14ac:dyDescent="0.25">
      <c r="G39" s="38">
        <v>0</v>
      </c>
      <c r="H39" s="37">
        <f>L39*J39</f>
        <v>6.4842796228607013E-3</v>
      </c>
      <c r="I39" s="36">
        <v>0</v>
      </c>
      <c r="J39" s="34">
        <f t="shared" ref="J39:J49" si="27">Y39+AA39+AC39+AE39+AG39+AI39+AK39+AM39+AO39+AQ39+AS39</f>
        <v>1.6398726728122089E-2</v>
      </c>
      <c r="K39" s="35">
        <v>0</v>
      </c>
      <c r="L39" s="34">
        <f>AH18</f>
        <v>0.39541360316352153</v>
      </c>
      <c r="M39" s="17">
        <v>0</v>
      </c>
      <c r="N39" s="32">
        <f>(1-$C$24)^$B$21</f>
        <v>3.125E-2</v>
      </c>
      <c r="O39" s="16">
        <v>0</v>
      </c>
      <c r="P39" s="32">
        <f t="shared" ref="P39:P44" si="28">N39</f>
        <v>3.125E-2</v>
      </c>
      <c r="Q39" s="10">
        <v>0</v>
      </c>
      <c r="R39" s="11">
        <f>P39*N39</f>
        <v>9.765625E-4</v>
      </c>
      <c r="S39" s="16">
        <v>0</v>
      </c>
      <c r="T39" s="15">
        <f>(1-$C$33)^(INT(B23*2*(1-B31)))</f>
        <v>0.98507487500000002</v>
      </c>
      <c r="U39" s="24">
        <v>0</v>
      </c>
      <c r="V39" s="23">
        <f>R39*T39</f>
        <v>9.6198718261718752E-4</v>
      </c>
      <c r="W39" s="33">
        <f>C31</f>
        <v>0.67275832555955561</v>
      </c>
      <c r="X39" s="10">
        <v>0</v>
      </c>
      <c r="Y39" s="9">
        <f>V39</f>
        <v>9.6198718261718752E-4</v>
      </c>
      <c r="Z39" s="10">
        <v>0</v>
      </c>
      <c r="AA39" s="9">
        <f>((1-W39)^Z40)*V40</f>
        <v>3.1527687275617025E-3</v>
      </c>
      <c r="AB39" s="10">
        <v>0</v>
      </c>
      <c r="AC39" s="9">
        <f>(((1-$W$39)^AB41))*V41</f>
        <v>4.6512772963077202E-3</v>
      </c>
      <c r="AD39" s="10">
        <v>0</v>
      </c>
      <c r="AE39" s="9">
        <f>(((1-$W$39)^AB42))*V42</f>
        <v>4.0682473058697476E-3</v>
      </c>
      <c r="AF39" s="10">
        <v>0</v>
      </c>
      <c r="AG39" s="9">
        <f>(((1-$W$39)^AB43))*V43</f>
        <v>2.3366582846844099E-3</v>
      </c>
      <c r="AH39" s="10">
        <v>0</v>
      </c>
      <c r="AI39" s="9">
        <f>(((1-$W$39)^AB44))*V44</f>
        <v>9.2119233008251561E-4</v>
      </c>
      <c r="AJ39" s="10">
        <v>0</v>
      </c>
      <c r="AK39" s="9">
        <f>(((1-$W$39)^AB45))*V45</f>
        <v>2.5259161377901013E-4</v>
      </c>
      <c r="AL39" s="10">
        <v>0</v>
      </c>
      <c r="AM39" s="9">
        <f>(((1-$W$39)^AB46))*V46</f>
        <v>4.7621949186226034E-5</v>
      </c>
      <c r="AN39" s="10">
        <v>0</v>
      </c>
      <c r="AO39" s="9">
        <f>(((1-$W$39)^AB47))*V47</f>
        <v>5.9237372977568796E-6</v>
      </c>
      <c r="AP39" s="10">
        <v>0</v>
      </c>
      <c r="AQ39" s="9">
        <f>(((1-$W$39)^AB48))*V48</f>
        <v>4.4244902924754704E-7</v>
      </c>
      <c r="AR39" s="10">
        <v>0</v>
      </c>
      <c r="AS39" s="9">
        <f>(((1-$W$39)^AB49))*V49</f>
        <v>1.5851706564575541E-8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5"/>
        <v>4</v>
      </c>
      <c r="BJ39" s="1">
        <v>6</v>
      </c>
      <c r="BK39" s="2">
        <f t="shared" si="26"/>
        <v>8.3851654578354865E-3</v>
      </c>
      <c r="BQ39" s="1">
        <f t="shared" ref="BQ39:BQ46" si="29">BQ31+1</f>
        <v>9</v>
      </c>
      <c r="BR39" s="1">
        <v>0</v>
      </c>
      <c r="BS39" s="2">
        <f t="shared" ref="BS39:BS47" si="30">$H$34*H39</f>
        <v>1.2369211234053401E-7</v>
      </c>
    </row>
    <row r="40" spans="1:71" x14ac:dyDescent="0.25">
      <c r="G40" s="27">
        <v>1</v>
      </c>
      <c r="H40" s="26">
        <f>L39*J40+L40*J39</f>
        <v>4.0193078919869105E-2</v>
      </c>
      <c r="I40" s="24">
        <v>1</v>
      </c>
      <c r="J40" s="23">
        <f t="shared" si="27"/>
        <v>8.3288661818144122E-2</v>
      </c>
      <c r="K40" s="25">
        <v>1</v>
      </c>
      <c r="L40" s="23">
        <f>AI18</f>
        <v>0.44269345834266816</v>
      </c>
      <c r="M40" s="17">
        <v>1</v>
      </c>
      <c r="N40" s="32">
        <f>(($C$24)^M26)*((1-($C$24))^($B$21-M26))*HLOOKUP($B$21,$AV$24:$BF$34,M26+1)</f>
        <v>0.15625</v>
      </c>
      <c r="O40" s="16">
        <v>1</v>
      </c>
      <c r="P40" s="32">
        <f t="shared" si="28"/>
        <v>0.15625</v>
      </c>
      <c r="Q40" s="10">
        <v>1</v>
      </c>
      <c r="R40" s="11">
        <f>P40*N39+P39*N40</f>
        <v>9.765625E-3</v>
      </c>
      <c r="S40" s="16">
        <v>1</v>
      </c>
      <c r="T40" s="15">
        <f t="shared" ref="T40:T49" si="31">(($C$33)^S40)*((1-($C$33))^(INT($B$23*2*(1-$B$31))-S40))*HLOOKUP(INT($B$23*2*(1-$B$31)),$AV$24:$BF$34,S40+1)</f>
        <v>1.4850375000000002E-2</v>
      </c>
      <c r="U40" s="24">
        <v>1</v>
      </c>
      <c r="V40" s="23">
        <f>R40*T39+T40*R39</f>
        <v>9.6343741455078135E-3</v>
      </c>
      <c r="W40" s="12"/>
      <c r="X40" s="10">
        <v>1</v>
      </c>
      <c r="Y40" s="11"/>
      <c r="Z40" s="10">
        <v>1</v>
      </c>
      <c r="AA40" s="9">
        <f>(1-((1-W39)^Z40))*V40</f>
        <v>6.4816054179461114E-3</v>
      </c>
      <c r="AB40" s="10">
        <v>1</v>
      </c>
      <c r="AC40" s="9">
        <f>((($W$39)^M40)*((1-($W$39))^($U$27-M40))*HLOOKUP($U$27,$AV$24:$BF$34,M40+1))*V41</f>
        <v>1.912461504744346E-2</v>
      </c>
      <c r="AD40" s="10">
        <v>1</v>
      </c>
      <c r="AE40" s="9">
        <f>((($W$39)^M40)*((1-($W$39))^($U$28-M40))*HLOOKUP($U$28,$AV$24:$BF$34,M40+1))*V42</f>
        <v>2.5091063815197618E-2</v>
      </c>
      <c r="AF40" s="10">
        <v>1</v>
      </c>
      <c r="AG40" s="9">
        <f>((($W$39)^M40)*((1-($W$39))^($U$29-M40))*HLOOKUP($U$29,$AV$24:$BF$34,M40+1))*V43</f>
        <v>1.9215233728370876E-2</v>
      </c>
      <c r="AH40" s="10">
        <v>1</v>
      </c>
      <c r="AI40" s="9">
        <f>((($W$39)^M40)*((1-($W$39))^($U$30-M40))*HLOOKUP($U$30,$AV$24:$BF$34,M40+1))*V44</f>
        <v>9.4691455567864537E-3</v>
      </c>
      <c r="AJ40" s="10">
        <v>1</v>
      </c>
      <c r="AK40" s="9">
        <f>((($W$39)^M40)*((1-($W$39))^($U$31-M40))*HLOOKUP($U$31,$AV$24:$BF$34,M40+1))*V45</f>
        <v>3.1157360032506394E-3</v>
      </c>
      <c r="AL40" s="10">
        <v>1</v>
      </c>
      <c r="AM40" s="9">
        <f>((($W$39)^Q40)*((1-($W$39))^($U$32-Q40))*HLOOKUP($U$32,$AV$24:$BF$34,Q40+1))*V46</f>
        <v>6.8532359133148416E-4</v>
      </c>
      <c r="AN40" s="10">
        <v>1</v>
      </c>
      <c r="AO40" s="9">
        <f>((($W$39)^Q40)*((1-($W$39))^($U$33-Q40))*HLOOKUP($U$33,$AV$24:$BF$34,Q40+1))*V47</f>
        <v>9.7426309587445657E-5</v>
      </c>
      <c r="AP40" s="10">
        <v>1</v>
      </c>
      <c r="AQ40" s="9">
        <f>((($W$39)^Q40)*((1-($W$39))^($U$34-Q40))*HLOOKUP($U$34,$AV$24:$BF$34,Q40+1))*V48</f>
        <v>8.1864616331005381E-6</v>
      </c>
      <c r="AR40" s="10">
        <v>1</v>
      </c>
      <c r="AS40" s="9">
        <f>((($W$39)^Q40)*((1-($W$39))^($U$35-Q40))*HLOOKUP($U$35,$AV$24:$BF$34,Q40+1))*V49</f>
        <v>3.2588659692810904E-7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5"/>
        <v>4</v>
      </c>
      <c r="BJ40" s="1">
        <v>7</v>
      </c>
      <c r="BK40" s="2">
        <f t="shared" si="26"/>
        <v>3.8975384932667724E-3</v>
      </c>
      <c r="BQ40" s="1">
        <f t="shared" si="29"/>
        <v>9</v>
      </c>
      <c r="BR40" s="1">
        <v>1</v>
      </c>
      <c r="BS40" s="2">
        <f t="shared" si="30"/>
        <v>7.6671074078003253E-7</v>
      </c>
    </row>
    <row r="41" spans="1:71" x14ac:dyDescent="0.25">
      <c r="G41" s="27">
        <v>2</v>
      </c>
      <c r="H41" s="26">
        <f>L39*J41+J40*L40+J39*L41</f>
        <v>0.11460220752813041</v>
      </c>
      <c r="I41" s="24">
        <v>2</v>
      </c>
      <c r="J41" s="23">
        <f t="shared" si="27"/>
        <v>0.19044330645887322</v>
      </c>
      <c r="K41" s="25">
        <v>2</v>
      </c>
      <c r="L41" s="23">
        <f>AJ18</f>
        <v>0.1479985502583816</v>
      </c>
      <c r="M41" s="17">
        <v>2</v>
      </c>
      <c r="N41" s="32">
        <f>(($C$24)^M27)*((1-($C$24))^($B$21-M27))*HLOOKUP($B$21,$AV$24:$BF$34,M27+1)</f>
        <v>0.3125</v>
      </c>
      <c r="O41" s="16">
        <v>2</v>
      </c>
      <c r="P41" s="32">
        <f t="shared" si="28"/>
        <v>0.3125</v>
      </c>
      <c r="Q41" s="10">
        <v>2</v>
      </c>
      <c r="R41" s="11">
        <f>P41*N39+P40*N40+P39*N41</f>
        <v>4.39453125E-2</v>
      </c>
      <c r="S41" s="16">
        <v>2</v>
      </c>
      <c r="T41" s="15">
        <f t="shared" si="31"/>
        <v>7.4625000000000011E-5</v>
      </c>
      <c r="U41" s="24">
        <v>2</v>
      </c>
      <c r="V41" s="23">
        <f>R41*T39+T40*R40+R39*T41</f>
        <v>4.3434519287109383E-2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1.9658626943358203E-2</v>
      </c>
      <c r="AD41" s="10">
        <v>2</v>
      </c>
      <c r="AE41" s="9">
        <f>((($W$39)^M41)*((1-($W$39))^($U$28-M41))*HLOOKUP($U$28,$AV$24:$BF$34,M41+1))*V42</f>
        <v>5.158335076876764E-2</v>
      </c>
      <c r="AF41" s="10">
        <v>2</v>
      </c>
      <c r="AG41" s="9">
        <f>((($W$39)^M41)*((1-($W$39))^($U$29-M41))*HLOOKUP($U$29,$AV$24:$BF$34,M41+1))*V43</f>
        <v>5.9255327841901816E-2</v>
      </c>
      <c r="AH41" s="10">
        <v>2</v>
      </c>
      <c r="AI41" s="9">
        <f>((($W$39)^M41)*((1-($W$39))^($U$30-M41))*HLOOKUP($U$30,$AV$24:$BF$34,M41+1))*V44</f>
        <v>3.8934200664730655E-2</v>
      </c>
      <c r="AJ41" s="10">
        <v>2</v>
      </c>
      <c r="AK41" s="9">
        <f>((($W$39)^M41)*((1-($W$39))^($U$31-M41))*HLOOKUP($U$31,$AV$24:$BF$34,M41+1))*V45</f>
        <v>1.6013679645301444E-2</v>
      </c>
      <c r="AL41" s="10">
        <v>2</v>
      </c>
      <c r="AM41" s="9">
        <f>((($W$39)^Q41)*((1-($W$39))^($U$32-Q41))*HLOOKUP($U$32,$AV$24:$BF$34,Q41+1))*V46</f>
        <v>4.2267582748346392E-3</v>
      </c>
      <c r="AN41" s="10">
        <v>2</v>
      </c>
      <c r="AO41" s="9">
        <f>((($W$39)^Q41)*((1-($W$39))^($U$33-Q41))*HLOOKUP($U$33,$AV$24:$BF$34,Q41+1))*V47</f>
        <v>7.0102704233653153E-4</v>
      </c>
      <c r="AP41" s="10">
        <v>2</v>
      </c>
      <c r="AQ41" s="9">
        <f>((($W$39)^Q41)*((1-($W$39))^($U$34-Q41))*HLOOKUP($U$34,$AV$24:$BF$34,Q41+1))*V48</f>
        <v>6.732040141231574E-5</v>
      </c>
      <c r="AR41" s="10">
        <v>2</v>
      </c>
      <c r="AS41" s="9">
        <f>((($W$39)^Q41)*((1-($W$39))^($U$35-Q41))*HLOOKUP($U$35,$AV$24:$BF$34,Q41+1))*V49</f>
        <v>3.0148762299589279E-6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5"/>
        <v>4</v>
      </c>
      <c r="BJ41" s="1">
        <v>8</v>
      </c>
      <c r="BK41" s="2">
        <f t="shared" si="26"/>
        <v>1.3510307104721946E-3</v>
      </c>
      <c r="BQ41" s="1">
        <f t="shared" si="29"/>
        <v>9</v>
      </c>
      <c r="BR41" s="1">
        <v>2</v>
      </c>
      <c r="BS41" s="2">
        <f t="shared" si="30"/>
        <v>2.1861162615607364E-6</v>
      </c>
    </row>
    <row r="42" spans="1:71" ht="15" customHeight="1" x14ac:dyDescent="0.25">
      <c r="G42" s="27">
        <v>3</v>
      </c>
      <c r="H42" s="26">
        <f>J42*L39+J41*L40+L42*J39+L41*J40</f>
        <v>0.19896024336639459</v>
      </c>
      <c r="I42" s="24">
        <v>3</v>
      </c>
      <c r="J42" s="23">
        <f t="shared" si="27"/>
        <v>0.2582050418025405</v>
      </c>
      <c r="K42" s="25">
        <v>3</v>
      </c>
      <c r="L42" s="23">
        <f>AK18</f>
        <v>1.3894388235428656E-2</v>
      </c>
      <c r="M42" s="17">
        <v>3</v>
      </c>
      <c r="N42" s="32">
        <f>(($C$24)^M28)*((1-($C$24))^($B$21-M28))*HLOOKUP($B$21,$AV$24:$BF$34,M28+1)</f>
        <v>0.3125</v>
      </c>
      <c r="O42" s="16">
        <v>3</v>
      </c>
      <c r="P42" s="32">
        <f t="shared" si="28"/>
        <v>0.3125</v>
      </c>
      <c r="Q42" s="10">
        <v>3</v>
      </c>
      <c r="R42" s="11">
        <f>P42*N39+P41*N40+P40*N41+P39*N42</f>
        <v>0.1171875</v>
      </c>
      <c r="S42" s="16">
        <v>3</v>
      </c>
      <c r="T42" s="15">
        <f t="shared" si="31"/>
        <v>1.2500000000000002E-7</v>
      </c>
      <c r="U42" s="24">
        <v>3</v>
      </c>
      <c r="V42" s="23">
        <f>R42*T39+R41*T40+R40*T41+R39*T42</f>
        <v>0.11609179516601563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3.5349133276180625E-2</v>
      </c>
      <c r="AF42" s="10">
        <v>3</v>
      </c>
      <c r="AG42" s="9">
        <f>((($W$39)^M42)*((1-($W$39))^($U$29-M42))*HLOOKUP($U$29,$AV$24:$BF$34,M42+1))*V43</f>
        <v>8.1213199607630113E-2</v>
      </c>
      <c r="AH42" s="10">
        <v>3</v>
      </c>
      <c r="AI42" s="9">
        <f>((($W$39)^M42)*((1-($W$39))^($U$30-M42))*HLOOKUP($U$30,$AV$24:$BF$34,M42+1))*V44</f>
        <v>8.00427014407388E-2</v>
      </c>
      <c r="AJ42" s="10">
        <v>3</v>
      </c>
      <c r="AK42" s="9">
        <f>((($W$39)^M42)*((1-($W$39))^($U$31-M42))*HLOOKUP($U$31,$AV$24:$BF$34,M42+1))*V45</f>
        <v>4.3895535097077241E-2</v>
      </c>
      <c r="AL42" s="10">
        <v>3</v>
      </c>
      <c r="AM42" s="9">
        <f>((($W$39)^Q42)*((1-($W$39))^($U$32-Q42))*HLOOKUP($U$32,$AV$24:$BF$34,Q42+1))*V46</f>
        <v>1.4482603335822276E-2</v>
      </c>
      <c r="AN42" s="10">
        <v>3</v>
      </c>
      <c r="AO42" s="9">
        <f>((($W$39)^Q42)*((1-($W$39))^($U$33-Q42))*HLOOKUP($U$33,$AV$24:$BF$34,Q42+1))*V47</f>
        <v>2.8824065882239857E-3</v>
      </c>
      <c r="AP42" s="10">
        <v>3</v>
      </c>
      <c r="AQ42" s="9">
        <f>((($W$39)^Q42)*((1-($W$39))^($U$34-Q42))*HLOOKUP($U$34,$AV$24:$BF$34,Q42+1))*V48</f>
        <v>3.2293413754337739E-4</v>
      </c>
      <c r="AR42" s="10">
        <v>3</v>
      </c>
      <c r="AS42" s="9">
        <f>((($W$39)^Q42)*((1-($W$39))^($U$35-Q42))*HLOOKUP($U$35,$AV$24:$BF$34,Q42+1))*V49</f>
        <v>1.652831932407686E-5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2">BE41+BE42</f>
        <v>210</v>
      </c>
      <c r="BI42" s="1">
        <f t="shared" si="25"/>
        <v>4</v>
      </c>
      <c r="BJ42" s="1">
        <v>9</v>
      </c>
      <c r="BK42" s="2">
        <f t="shared" si="26"/>
        <v>3.4483676741890902E-4</v>
      </c>
      <c r="BQ42" s="1">
        <f t="shared" si="29"/>
        <v>9</v>
      </c>
      <c r="BR42" s="1">
        <v>3</v>
      </c>
      <c r="BS42" s="2">
        <f t="shared" si="30"/>
        <v>3.7953040592223617E-6</v>
      </c>
    </row>
    <row r="43" spans="1:71" ht="15" customHeight="1" x14ac:dyDescent="0.25">
      <c r="G43" s="27">
        <v>4</v>
      </c>
      <c r="H43" s="26">
        <f>J43*L39+J42*L40+J41*L41+J40*L42</f>
        <v>0.23456829398544174</v>
      </c>
      <c r="I43" s="24">
        <v>4</v>
      </c>
      <c r="J43" s="23">
        <f t="shared" si="27"/>
        <v>0.22993653247059839</v>
      </c>
      <c r="K43" s="25">
        <v>4</v>
      </c>
      <c r="L43" s="23"/>
      <c r="M43" s="17">
        <v>4</v>
      </c>
      <c r="N43" s="32">
        <f>(($C$24)^M29)*((1-($C$24))^($B$21-M29))*HLOOKUP($B$21,$AV$24:$BF$34,M29+1)</f>
        <v>0.15625</v>
      </c>
      <c r="O43" s="16">
        <v>4</v>
      </c>
      <c r="P43" s="32">
        <f t="shared" si="28"/>
        <v>0.15625</v>
      </c>
      <c r="Q43" s="10">
        <v>4</v>
      </c>
      <c r="R43" s="11">
        <f>P43*N39+P42*N40+P41*N41+P40*N42+P39*N43</f>
        <v>0.205078125</v>
      </c>
      <c r="S43" s="16">
        <v>4</v>
      </c>
      <c r="T43" s="15">
        <f t="shared" si="31"/>
        <v>0</v>
      </c>
      <c r="U43" s="24">
        <v>4</v>
      </c>
      <c r="V43" s="23">
        <f>T43*R39+T42*R40+T41*R41+T40*R42+T39*R43</f>
        <v>0.20376086730957033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4.1740447846983122E-2</v>
      </c>
      <c r="AH43" s="10">
        <v>4</v>
      </c>
      <c r="AI43" s="9">
        <f>((($W$39)^M43)*((1-($W$39))^($U$30-M43))*HLOOKUP($U$30,$AV$24:$BF$34,M43+1))*V44</f>
        <v>8.2277713996257926E-2</v>
      </c>
      <c r="AJ43" s="10">
        <v>4</v>
      </c>
      <c r="AK43" s="9">
        <f>((($W$39)^M43)*((1-($W$39))^($U$31-M43))*HLOOKUP($U$31,$AV$24:$BF$34,M43+1))*V45</f>
        <v>6.7681828900489349E-2</v>
      </c>
      <c r="AL43" s="10">
        <v>4</v>
      </c>
      <c r="AM43" s="9">
        <f>((($W$39)^Q43)*((1-($W$39))^($U$32-Q43))*HLOOKUP($U$32,$AV$24:$BF$34,Q43+1))*V46</f>
        <v>2.9773994973626861E-2</v>
      </c>
      <c r="AN43" s="10">
        <v>4</v>
      </c>
      <c r="AO43" s="9">
        <f>((($W$39)^Q43)*((1-($W$39))^($U$33-Q43))*HLOOKUP($U$33,$AV$24:$BF$34,Q43+1))*V47</f>
        <v>7.407228286216927E-3</v>
      </c>
      <c r="AP43" s="10">
        <v>4</v>
      </c>
      <c r="AQ43" s="9">
        <f>((($W$39)^Q43)*((1-($W$39))^($U$34-Q43))*HLOOKUP($U$34,$AV$24:$BF$34,Q43+1))*V48</f>
        <v>9.9585404278592694E-4</v>
      </c>
      <c r="AR43" s="10">
        <v>4</v>
      </c>
      <c r="AS43" s="9">
        <f>((($W$39)^Q43)*((1-($W$39))^($U$35-Q43))*HLOOKUP($U$35,$AV$24:$BF$34,Q43+1))*V49</f>
        <v>5.9464424238257363E-5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2"/>
        <v>252</v>
      </c>
      <c r="BI43" s="1">
        <f t="shared" si="25"/>
        <v>4</v>
      </c>
      <c r="BJ43" s="1">
        <v>10</v>
      </c>
      <c r="BK43" s="2">
        <f t="shared" si="26"/>
        <v>6.2991775041597965E-5</v>
      </c>
      <c r="BQ43" s="1">
        <f t="shared" si="29"/>
        <v>9</v>
      </c>
      <c r="BR43" s="1">
        <v>4</v>
      </c>
      <c r="BS43" s="2">
        <f t="shared" si="30"/>
        <v>4.4745522183965143E-6</v>
      </c>
    </row>
    <row r="44" spans="1:71" ht="15" customHeight="1" thickBot="1" x14ac:dyDescent="0.3">
      <c r="G44" s="27">
        <v>5</v>
      </c>
      <c r="H44" s="26">
        <f>J44*L39+J43*L40+J42*L41+J41*L42</f>
        <v>0.19824280573192227</v>
      </c>
      <c r="I44" s="24">
        <v>5</v>
      </c>
      <c r="J44" s="23">
        <f t="shared" si="27"/>
        <v>0.14059036268725228</v>
      </c>
      <c r="K44" s="25">
        <v>5</v>
      </c>
      <c r="L44" s="23"/>
      <c r="M44" s="17">
        <v>5</v>
      </c>
      <c r="N44" s="32">
        <f>(($C$24)^M30)*((1-($C$24))^($B$21-M30))*HLOOKUP($B$21,$AV$24:$BF$34,M30+1)</f>
        <v>3.125E-2</v>
      </c>
      <c r="O44" s="16">
        <v>5</v>
      </c>
      <c r="P44" s="32">
        <f t="shared" si="28"/>
        <v>3.125E-2</v>
      </c>
      <c r="Q44" s="10">
        <v>5</v>
      </c>
      <c r="R44" s="11">
        <f>P44*N39+P43*N40+P42*N41+P41*N42+P40*N43+P39*N44</f>
        <v>0.24609375</v>
      </c>
      <c r="S44" s="16">
        <v>5</v>
      </c>
      <c r="T44" s="15">
        <f t="shared" si="31"/>
        <v>0</v>
      </c>
      <c r="U44" s="24">
        <v>5</v>
      </c>
      <c r="V44" s="23">
        <f>T44*R39+T43*R40+T42*R41+T41*R42+T40*R43+T39*R44</f>
        <v>0.24547500769042968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3.3830053701833347E-2</v>
      </c>
      <c r="AJ44" s="10">
        <v>5</v>
      </c>
      <c r="AK44" s="9">
        <f>((($W$39)^M44)*((1-($W$39))^($U$31-M44))*HLOOKUP($U$31,$AV$24:$BF$34,M44+1))*V45</f>
        <v>5.5657353495406743E-2</v>
      </c>
      <c r="AL44" s="10">
        <v>5</v>
      </c>
      <c r="AM44" s="9">
        <f>((($W$39)^Q44)*((1-($W$39))^($U$32-Q44))*HLOOKUP($U$32,$AV$24:$BF$34,Q44+1))*V46</f>
        <v>3.672644024559521E-2</v>
      </c>
      <c r="AN44" s="10">
        <v>5</v>
      </c>
      <c r="AO44" s="9">
        <f>((($W$39)^Q44)*((1-($W$39))^($U$33-Q44))*HLOOKUP($U$33,$AV$24:$BF$34,Q44+1))*V47</f>
        <v>1.2182493583419421E-2</v>
      </c>
      <c r="AP44" s="10">
        <v>5</v>
      </c>
      <c r="AQ44" s="9">
        <f>((($W$39)^Q44)*((1-($W$39))^($U$34-Q44))*HLOOKUP($U$34,$AV$24:$BF$34,Q44+1))*V48</f>
        <v>2.0473220578398669E-3</v>
      </c>
      <c r="AR44" s="10">
        <v>5</v>
      </c>
      <c r="AS44" s="9">
        <f>((($W$39)^Q44)*((1-($W$39))^($U$35-Q44))*HLOOKUP($U$35,$AV$24:$BF$34,Q44+1))*V49</f>
        <v>1.466996031576916E-4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2"/>
        <v>210</v>
      </c>
      <c r="BI44" s="1">
        <f>BI39+1</f>
        <v>5</v>
      </c>
      <c r="BJ44" s="1">
        <v>6</v>
      </c>
      <c r="BK44" s="2">
        <f>$H$30*H45</f>
        <v>2.6368872379455188E-3</v>
      </c>
      <c r="BQ44" s="1">
        <f t="shared" si="29"/>
        <v>9</v>
      </c>
      <c r="BR44" s="1">
        <v>5</v>
      </c>
      <c r="BS44" s="2">
        <f t="shared" si="30"/>
        <v>3.7816184408280508E-6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0.12350932661159988</v>
      </c>
      <c r="I45" s="24">
        <v>6</v>
      </c>
      <c r="J45" s="23">
        <f t="shared" si="27"/>
        <v>5.9818423044771037E-2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0.205078125</v>
      </c>
      <c r="S45" s="16">
        <v>6</v>
      </c>
      <c r="T45" s="15">
        <f t="shared" si="31"/>
        <v>0</v>
      </c>
      <c r="U45" s="24">
        <v>6</v>
      </c>
      <c r="V45" s="23">
        <f>T45*R39+T44*R40+T43*R41+T42*R42+T41*R43+T40*R44+T39*R45</f>
        <v>0.20568721142578125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1.9070486670476849E-2</v>
      </c>
      <c r="AL45" s="10">
        <v>6</v>
      </c>
      <c r="AM45" s="9">
        <f>((($W$39)^Q45)*((1-($W$39))^($U$32-Q45))*HLOOKUP($U$32,$AV$24:$BF$34,Q45+1))*V46</f>
        <v>2.5167962368727769E-2</v>
      </c>
      <c r="AN45" s="10">
        <v>6</v>
      </c>
      <c r="AO45" s="9">
        <f>((($W$39)^Q45)*((1-($W$39))^($U$33-Q45))*HLOOKUP($U$33,$AV$24:$BF$34,Q45+1))*V47</f>
        <v>1.2522662338676046E-2</v>
      </c>
      <c r="AP45" s="10">
        <v>6</v>
      </c>
      <c r="AQ45" s="9">
        <f>((($W$39)^Q45)*((1-($W$39))^($U$34-Q45))*HLOOKUP($U$34,$AV$24:$BF$34,Q45+1))*V48</f>
        <v>2.8059852337341601E-3</v>
      </c>
      <c r="AR45" s="10">
        <v>6</v>
      </c>
      <c r="AS45" s="9">
        <f>((($W$39)^Q45)*((1-($W$39))^($U$35-Q45))*HLOOKUP($U$35,$AV$24:$BF$34,Q45+1))*V49</f>
        <v>2.5132643315621203E-4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2"/>
        <v>120</v>
      </c>
      <c r="BI45" s="1">
        <f>BI40+1</f>
        <v>5</v>
      </c>
      <c r="BJ45" s="1">
        <v>7</v>
      </c>
      <c r="BK45" s="2">
        <f>$H$30*H46</f>
        <v>1.2256609084192738E-3</v>
      </c>
      <c r="BQ45" s="1">
        <f t="shared" si="29"/>
        <v>9</v>
      </c>
      <c r="BR45" s="1">
        <v>6</v>
      </c>
      <c r="BS45" s="2">
        <f t="shared" si="30"/>
        <v>2.3560257100087603E-6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5.7408808110797953E-2</v>
      </c>
      <c r="I46" s="24">
        <v>7</v>
      </c>
      <c r="J46" s="23">
        <f t="shared" si="27"/>
        <v>1.7514790020947545E-2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0.1171875</v>
      </c>
      <c r="S46" s="16">
        <v>7</v>
      </c>
      <c r="T46" s="15">
        <f t="shared" si="31"/>
        <v>0</v>
      </c>
      <c r="U46" s="24">
        <v>7</v>
      </c>
      <c r="V46" s="23">
        <f>T46*R39+T45*R40+T44*R41+T43*R42+T42*R43+T41*R44+T40*R45+T39*R46</f>
        <v>0.11850233935546875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7.3916346163442909E-3</v>
      </c>
      <c r="AN46" s="10">
        <v>7</v>
      </c>
      <c r="AO46" s="9">
        <f>((($W$39)^Q46)*((1-($W$39))^($U$33-Q46))*HLOOKUP($U$33,$AV$24:$BF$34,Q46+1))*V47</f>
        <v>7.3556168811156585E-3</v>
      </c>
      <c r="AP46" s="10">
        <v>7</v>
      </c>
      <c r="AQ46" s="9">
        <f>((($W$39)^Q46)*((1-($W$39))^($U$34-Q46))*HLOOKUP($U$34,$AV$24:$BF$34,Q46+1))*V48</f>
        <v>2.4722880560714361E-3</v>
      </c>
      <c r="AR46" s="10">
        <v>7</v>
      </c>
      <c r="AS46" s="9">
        <f>((($W$39)^Q46)*((1-($W$39))^($U$35-Q46))*HLOOKUP($U$35,$AV$24:$BF$34,Q46+1))*V49</f>
        <v>2.9525046741615943E-4</v>
      </c>
      <c r="AV46" s="22">
        <v>8</v>
      </c>
      <c r="BD46" s="1">
        <v>1</v>
      </c>
      <c r="BE46" s="1">
        <v>9</v>
      </c>
      <c r="BF46" s="1">
        <f t="shared" si="32"/>
        <v>45</v>
      </c>
      <c r="BI46" s="1">
        <f>BI41+1</f>
        <v>5</v>
      </c>
      <c r="BJ46" s="1">
        <v>8</v>
      </c>
      <c r="BK46" s="2">
        <f>$H$30*H47</f>
        <v>4.248593133231042E-4</v>
      </c>
      <c r="BQ46" s="1">
        <f t="shared" si="29"/>
        <v>9</v>
      </c>
      <c r="BR46" s="1">
        <v>7</v>
      </c>
      <c r="BS46" s="2">
        <f t="shared" si="30"/>
        <v>1.0951126655830721E-6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1.9900012005855634E-2</v>
      </c>
      <c r="I47" s="24">
        <v>8</v>
      </c>
      <c r="J47" s="23">
        <f t="shared" si="27"/>
        <v>3.3885330649019887E-3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4.39453125E-2</v>
      </c>
      <c r="S47" s="16">
        <v>8</v>
      </c>
      <c r="T47" s="15">
        <f t="shared" si="31"/>
        <v>0</v>
      </c>
      <c r="U47" s="24">
        <v>8</v>
      </c>
      <c r="V47" s="23">
        <f>T47*R39+T46*R40+T45*R41+T44*R42+T43*R43+T42*R44+T41*R45+T40*R46+T39*R47</f>
        <v>4.5045036254882813E-2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1.890251488009045E-3</v>
      </c>
      <c r="AP47" s="10">
        <v>8</v>
      </c>
      <c r="AQ47" s="9">
        <f>((($W$39)^Q47)*((1-($W$39))^($U$34-Q47))*HLOOKUP($U$34,$AV$24:$BF$34,Q47+1))*V48</f>
        <v>1.2706605719973848E-3</v>
      </c>
      <c r="AR47" s="10">
        <v>8</v>
      </c>
      <c r="AS47" s="9">
        <f>((($W$39)^Q47)*((1-($W$39))^($U$35-Q47))*HLOOKUP($U$35,$AV$24:$BF$34,Q47+1))*V49</f>
        <v>2.2762100489555909E-4</v>
      </c>
      <c r="AV47" s="29">
        <v>9</v>
      </c>
      <c r="BE47" s="1">
        <v>1</v>
      </c>
      <c r="BF47" s="1">
        <f t="shared" si="32"/>
        <v>10</v>
      </c>
      <c r="BI47" s="1">
        <f>BI42+1</f>
        <v>5</v>
      </c>
      <c r="BJ47" s="1">
        <v>9</v>
      </c>
      <c r="BK47" s="2">
        <f>$H$30*H48</f>
        <v>1.0844099329389146E-4</v>
      </c>
      <c r="BQ47" s="1">
        <f>BM12+1</f>
        <v>9</v>
      </c>
      <c r="BR47" s="1">
        <v>8</v>
      </c>
      <c r="BS47" s="2">
        <f t="shared" si="30"/>
        <v>3.7960647346672099E-7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5.0792744817017002E-3</v>
      </c>
      <c r="I48" s="24">
        <v>9</v>
      </c>
      <c r="J48" s="23">
        <f t="shared" si="27"/>
        <v>3.9424322949234403E-4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9.765625E-3</v>
      </c>
      <c r="S48" s="16">
        <v>9</v>
      </c>
      <c r="T48" s="15">
        <f t="shared" si="31"/>
        <v>0</v>
      </c>
      <c r="U48" s="24">
        <v>9</v>
      </c>
      <c r="V48" s="23">
        <f>T48*R39+T47*R40+T46*R41+T45*R42+T44*R43+T43*R44+T42*R45+T41*R46+T40*R47+T39*R48</f>
        <v>1.0281246948242189E-2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2.9025353619537367E-4</v>
      </c>
      <c r="AR48" s="10">
        <v>9</v>
      </c>
      <c r="AS48" s="9">
        <f>((($W$39)^Q48)*((1-($W$39))^($U$35-Q48))*HLOOKUP($U$35,$AV$24:$BF$34,Q48+1))*V49</f>
        <v>1.0398969329697035E-4</v>
      </c>
      <c r="AV48" s="22">
        <v>10</v>
      </c>
      <c r="BF48" s="1">
        <f t="shared" si="32"/>
        <v>1</v>
      </c>
      <c r="BI48" s="1">
        <f>BI43+1</f>
        <v>5</v>
      </c>
      <c r="BJ48" s="1">
        <v>10</v>
      </c>
      <c r="BK48" s="2">
        <f>$H$30*H49</f>
        <v>1.9809055472782725E-5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9.278375908715182E-4</v>
      </c>
      <c r="I49" s="14">
        <v>10</v>
      </c>
      <c r="J49" s="13">
        <f t="shared" si="27"/>
        <v>2.1378674356665328E-5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9.765625E-4</v>
      </c>
      <c r="S49" s="16">
        <v>10</v>
      </c>
      <c r="T49" s="15">
        <f t="shared" si="31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2.1378674356665328E-5</v>
      </c>
      <c r="BI49" s="1">
        <f>BQ14+1</f>
        <v>6</v>
      </c>
      <c r="BJ49" s="1">
        <v>0</v>
      </c>
      <c r="BK49" s="2">
        <f>$H$31*H39</f>
        <v>3.4463844735212591E-5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3.0512691682646416E-4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1.0576825243327548E-4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2.699626439423452E-5</v>
      </c>
    </row>
    <row r="53" spans="1:63" x14ac:dyDescent="0.25">
      <c r="BI53" s="1">
        <f>BI48+1</f>
        <v>6</v>
      </c>
      <c r="BJ53" s="1">
        <v>10</v>
      </c>
      <c r="BK53" s="2">
        <f>$H$31*H49</f>
        <v>4.9314422774973302E-6</v>
      </c>
    </row>
    <row r="54" spans="1:63" x14ac:dyDescent="0.25">
      <c r="BI54" s="1">
        <f>BI51+1</f>
        <v>7</v>
      </c>
      <c r="BJ54" s="1">
        <v>8</v>
      </c>
      <c r="BK54" s="2">
        <f>$H$32*H47</f>
        <v>2.0940285057680073E-5</v>
      </c>
    </row>
    <row r="55" spans="1:63" x14ac:dyDescent="0.25">
      <c r="BI55" s="1">
        <f>BI52+1</f>
        <v>7</v>
      </c>
      <c r="BJ55" s="1">
        <v>9</v>
      </c>
      <c r="BK55" s="2">
        <f>$H$32*H48</f>
        <v>5.3447935358901622E-6</v>
      </c>
    </row>
    <row r="56" spans="1:63" x14ac:dyDescent="0.25">
      <c r="BI56" s="1">
        <f>BI53+1</f>
        <v>7</v>
      </c>
      <c r="BJ56" s="1">
        <v>10</v>
      </c>
      <c r="BK56" s="2">
        <f>$H$32*H49</f>
        <v>9.7634029740100852E-7</v>
      </c>
    </row>
    <row r="57" spans="1:63" x14ac:dyDescent="0.25">
      <c r="BI57" s="1">
        <f>BI55+1</f>
        <v>8</v>
      </c>
      <c r="BJ57" s="1">
        <v>9</v>
      </c>
      <c r="BK57" s="2">
        <f>$H$33*H48</f>
        <v>8.2684771388595341E-7</v>
      </c>
    </row>
    <row r="58" spans="1:63" x14ac:dyDescent="0.25">
      <c r="BI58" s="1">
        <f>BI56+1</f>
        <v>8</v>
      </c>
      <c r="BJ58" s="1">
        <v>10</v>
      </c>
      <c r="BK58" s="2">
        <f>$H$33*H49</f>
        <v>1.5104133348834859E-7</v>
      </c>
    </row>
    <row r="59" spans="1:63" x14ac:dyDescent="0.25">
      <c r="BI59" s="1">
        <f>BI58+1</f>
        <v>9</v>
      </c>
      <c r="BJ59" s="1">
        <v>10</v>
      </c>
      <c r="BK59" s="2">
        <f>$H$34*H49</f>
        <v>1.7699142880765883E-8</v>
      </c>
    </row>
  </sheetData>
  <mergeCells count="1">
    <mergeCell ref="B3:C3"/>
  </mergeCells>
  <conditionalFormatting sqref="H49">
    <cfRule type="cellIs" dxfId="150" priority="1" operator="greaterThan">
      <formula>0.15</formula>
    </cfRule>
  </conditionalFormatting>
  <conditionalFormatting sqref="H39:H49">
    <cfRule type="cellIs" dxfId="149" priority="2" operator="greaterThan">
      <formula>0.15</formula>
    </cfRule>
  </conditionalFormatting>
  <conditionalFormatting sqref="H49">
    <cfRule type="cellIs" dxfId="148" priority="3" operator="greaterThan">
      <formula>0.15</formula>
    </cfRule>
  </conditionalFormatting>
  <conditionalFormatting sqref="H39:H49">
    <cfRule type="cellIs" dxfId="147" priority="4" operator="greaterThan">
      <formula>0.15</formula>
    </cfRule>
  </conditionalFormatting>
  <conditionalFormatting sqref="H35">
    <cfRule type="cellIs" dxfId="146" priority="5" operator="greaterThan">
      <formula>0.15</formula>
    </cfRule>
  </conditionalFormatting>
  <conditionalFormatting sqref="H25:H35">
    <cfRule type="cellIs" dxfId="145" priority="6" operator="greaterThan">
      <formula>0.15</formula>
    </cfRule>
  </conditionalFormatting>
  <conditionalFormatting sqref="H35">
    <cfRule type="cellIs" dxfId="144" priority="7" operator="greaterThan">
      <formula>0.15</formula>
    </cfRule>
  </conditionalFormatting>
  <conditionalFormatting sqref="H25:H35">
    <cfRule type="cellIs" dxfId="143" priority="8" operator="greaterThan">
      <formula>0.15</formula>
    </cfRule>
  </conditionalFormatting>
  <conditionalFormatting sqref="V49">
    <cfRule type="cellIs" dxfId="142" priority="9" operator="greaterThan">
      <formula>0.15</formula>
    </cfRule>
  </conditionalFormatting>
  <conditionalFormatting sqref="V35">
    <cfRule type="cellIs" dxfId="141" priority="10" operator="greaterThan">
      <formula>0.15</formula>
    </cfRule>
  </conditionalFormatting>
  <conditionalFormatting sqref="V25:V35 V39:V49">
    <cfRule type="cellIs" dxfId="140" priority="11" operator="greaterThan">
      <formula>0.15</formula>
    </cfRule>
  </conditionalFormatting>
  <conditionalFormatting sqref="V49">
    <cfRule type="cellIs" dxfId="139" priority="12" operator="greaterThan">
      <formula>0.15</formula>
    </cfRule>
  </conditionalFormatting>
  <conditionalFormatting sqref="V35">
    <cfRule type="cellIs" dxfId="138" priority="13" operator="greaterThan">
      <formula>0.15</formula>
    </cfRule>
  </conditionalFormatting>
  <conditionalFormatting sqref="V25:V35 V39:V49">
    <cfRule type="cellIs" dxfId="137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ECD6-3C01-4A34-9752-5FF6C63EAA4C}">
  <sheetPr>
    <tabColor theme="9" tint="0.79998168889431442"/>
  </sheetPr>
  <dimension ref="A1:AS69"/>
  <sheetViews>
    <sheetView zoomScale="80" zoomScaleNormal="80" workbookViewId="0">
      <selection activeCell="A14" sqref="A14"/>
    </sheetView>
  </sheetViews>
  <sheetFormatPr baseColWidth="10" defaultRowHeight="15" x14ac:dyDescent="0.25"/>
  <cols>
    <col min="1" max="1" width="9.85546875" customWidth="1"/>
    <col min="2" max="2" width="6" customWidth="1"/>
    <col min="3" max="3" width="25.85546875" bestFit="1" customWidth="1"/>
    <col min="4" max="4" width="15.5703125" bestFit="1" customWidth="1"/>
    <col min="5" max="5" width="5.85546875" customWidth="1"/>
    <col min="6" max="6" width="10.85546875" customWidth="1"/>
    <col min="7" max="11" width="6.42578125" customWidth="1"/>
    <col min="12" max="12" width="7" bestFit="1" customWidth="1"/>
    <col min="13" max="13" width="7.7109375" bestFit="1" customWidth="1"/>
    <col min="14" max="14" width="9.28515625" bestFit="1" customWidth="1"/>
    <col min="15" max="15" width="9" customWidth="1"/>
    <col min="16" max="20" width="6.7109375" customWidth="1"/>
    <col min="21" max="21" width="14.42578125" customWidth="1"/>
    <col min="22" max="22" width="12.85546875" customWidth="1"/>
    <col min="23" max="23" width="8.85546875" customWidth="1"/>
    <col min="24" max="25" width="5.85546875" customWidth="1"/>
    <col min="26" max="26" width="5.7109375" customWidth="1"/>
    <col min="29" max="29" width="27.140625" bestFit="1" customWidth="1"/>
    <col min="30" max="30" width="15" bestFit="1" customWidth="1"/>
    <col min="31" max="31" width="23.140625" bestFit="1" customWidth="1"/>
    <col min="32" max="32" width="16.7109375" bestFit="1" customWidth="1"/>
    <col min="33" max="33" width="12.140625" bestFit="1" customWidth="1"/>
    <col min="34" max="34" width="15.5703125" bestFit="1" customWidth="1"/>
    <col min="35" max="35" width="12.140625" bestFit="1" customWidth="1"/>
    <col min="36" max="38" width="8.7109375" bestFit="1" customWidth="1"/>
    <col min="39" max="39" width="34.42578125" bestFit="1" customWidth="1"/>
    <col min="40" max="42" width="5.5703125" bestFit="1" customWidth="1"/>
    <col min="43" max="43" width="20.28515625" bestFit="1" customWidth="1"/>
    <col min="44" max="44" width="17.140625" bestFit="1" customWidth="1"/>
    <col min="45" max="45" width="39.5703125" bestFit="1" customWidth="1"/>
    <col min="46" max="49" width="2.28515625" bestFit="1" customWidth="1"/>
    <col min="50" max="50" width="7.28515625" bestFit="1" customWidth="1"/>
    <col min="51" max="51" width="12.8554687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A1" t="s">
        <v>443</v>
      </c>
      <c r="AC1" s="171" t="s">
        <v>224</v>
      </c>
      <c r="AD1" s="172">
        <v>1</v>
      </c>
    </row>
    <row r="2" spans="1:37" x14ac:dyDescent="0.25">
      <c r="A2" s="169" t="s">
        <v>174</v>
      </c>
      <c r="B2">
        <v>18</v>
      </c>
      <c r="C2" s="169" t="s">
        <v>438</v>
      </c>
      <c r="D2">
        <v>439110683</v>
      </c>
      <c r="F2" s="169" t="s">
        <v>172</v>
      </c>
      <c r="H2" s="169" t="s">
        <v>172</v>
      </c>
      <c r="I2" s="169" t="s">
        <v>172</v>
      </c>
      <c r="K2">
        <v>29</v>
      </c>
      <c r="L2">
        <v>23</v>
      </c>
      <c r="M2">
        <v>181400</v>
      </c>
      <c r="N2">
        <v>30160</v>
      </c>
      <c r="O2">
        <v>1</v>
      </c>
      <c r="P2">
        <v>8</v>
      </c>
      <c r="Q2">
        <v>4</v>
      </c>
      <c r="R2">
        <v>4</v>
      </c>
      <c r="S2">
        <v>4</v>
      </c>
      <c r="T2">
        <v>6</v>
      </c>
      <c r="U2" s="168">
        <v>44769</v>
      </c>
      <c r="V2">
        <v>7.5</v>
      </c>
      <c r="W2" s="169" t="s">
        <v>147</v>
      </c>
      <c r="X2">
        <v>1</v>
      </c>
      <c r="Y2">
        <v>1</v>
      </c>
      <c r="Z2" t="s">
        <v>242</v>
      </c>
      <c r="AC2" s="171" t="s">
        <v>225</v>
      </c>
      <c r="AD2" s="172">
        <v>1</v>
      </c>
    </row>
    <row r="3" spans="1:37" x14ac:dyDescent="0.25">
      <c r="A3" s="169" t="s">
        <v>174</v>
      </c>
      <c r="B3">
        <v>18</v>
      </c>
      <c r="C3" s="169" t="s">
        <v>438</v>
      </c>
      <c r="D3">
        <v>439110683</v>
      </c>
      <c r="F3" s="169" t="s">
        <v>172</v>
      </c>
      <c r="H3" s="169" t="s">
        <v>172</v>
      </c>
      <c r="I3" s="169"/>
      <c r="J3" s="169" t="s">
        <v>172</v>
      </c>
      <c r="K3">
        <v>29</v>
      </c>
      <c r="L3">
        <v>33</v>
      </c>
      <c r="M3">
        <v>170200</v>
      </c>
      <c r="N3">
        <v>30160</v>
      </c>
      <c r="O3">
        <v>2</v>
      </c>
      <c r="P3">
        <v>8</v>
      </c>
      <c r="Q3">
        <v>4</v>
      </c>
      <c r="R3">
        <v>5</v>
      </c>
      <c r="S3">
        <v>4</v>
      </c>
      <c r="T3">
        <v>6</v>
      </c>
      <c r="U3" s="168">
        <v>44783</v>
      </c>
      <c r="V3">
        <v>7</v>
      </c>
      <c r="W3" s="169" t="s">
        <v>147</v>
      </c>
      <c r="X3">
        <v>1</v>
      </c>
      <c r="Y3">
        <v>2</v>
      </c>
      <c r="Z3" t="s">
        <v>242</v>
      </c>
    </row>
    <row r="4" spans="1:37" x14ac:dyDescent="0.25">
      <c r="A4" s="169" t="s">
        <v>174</v>
      </c>
      <c r="B4">
        <v>18</v>
      </c>
      <c r="C4" s="169" t="s">
        <v>438</v>
      </c>
      <c r="D4">
        <v>439110683</v>
      </c>
      <c r="F4" s="169" t="s">
        <v>172</v>
      </c>
      <c r="H4" s="169" t="s">
        <v>172</v>
      </c>
      <c r="I4" s="169"/>
      <c r="J4" s="169" t="s">
        <v>172</v>
      </c>
      <c r="K4">
        <v>29</v>
      </c>
      <c r="L4">
        <v>65</v>
      </c>
      <c r="M4">
        <v>193750</v>
      </c>
      <c r="N4">
        <v>30160</v>
      </c>
      <c r="O4">
        <v>7</v>
      </c>
      <c r="P4">
        <v>8</v>
      </c>
      <c r="Q4">
        <v>4</v>
      </c>
      <c r="R4">
        <v>8</v>
      </c>
      <c r="S4">
        <v>5</v>
      </c>
      <c r="T4">
        <v>6</v>
      </c>
      <c r="U4" s="168">
        <v>44804</v>
      </c>
      <c r="V4">
        <v>5</v>
      </c>
      <c r="W4" s="169" t="s">
        <v>181</v>
      </c>
      <c r="X4">
        <v>1</v>
      </c>
      <c r="Y4">
        <v>8</v>
      </c>
      <c r="Z4" t="s">
        <v>242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174</v>
      </c>
      <c r="B5">
        <v>18</v>
      </c>
      <c r="C5" s="169" t="s">
        <v>438</v>
      </c>
      <c r="D5">
        <v>439110683</v>
      </c>
      <c r="F5" s="169" t="s">
        <v>172</v>
      </c>
      <c r="H5" s="169" t="s">
        <v>172</v>
      </c>
      <c r="I5" s="169"/>
      <c r="K5">
        <v>29</v>
      </c>
      <c r="L5">
        <v>74</v>
      </c>
      <c r="M5">
        <v>173500</v>
      </c>
      <c r="N5">
        <v>30160</v>
      </c>
      <c r="O5">
        <v>8</v>
      </c>
      <c r="P5">
        <v>8</v>
      </c>
      <c r="Q5">
        <v>4</v>
      </c>
      <c r="R5">
        <v>9</v>
      </c>
      <c r="S5">
        <v>4</v>
      </c>
      <c r="T5">
        <v>6</v>
      </c>
      <c r="U5" s="168">
        <v>44825</v>
      </c>
      <c r="V5">
        <v>6</v>
      </c>
      <c r="W5" s="169" t="s">
        <v>148</v>
      </c>
      <c r="X5">
        <v>1</v>
      </c>
      <c r="Y5">
        <v>9</v>
      </c>
      <c r="Z5" t="s">
        <v>242</v>
      </c>
      <c r="AC5" s="172"/>
      <c r="AD5" s="169">
        <v>5</v>
      </c>
      <c r="AE5" s="173">
        <v>30.8</v>
      </c>
      <c r="AF5" s="173">
        <v>33.6</v>
      </c>
      <c r="AG5" s="173">
        <v>466220</v>
      </c>
      <c r="AH5" s="173">
        <v>94482</v>
      </c>
      <c r="AI5" s="173">
        <v>6.2</v>
      </c>
      <c r="AJ5" s="173">
        <v>9.1999999999999993</v>
      </c>
      <c r="AK5" s="173">
        <v>6</v>
      </c>
    </row>
    <row r="6" spans="1:37" x14ac:dyDescent="0.25">
      <c r="A6" s="169" t="s">
        <v>174</v>
      </c>
      <c r="B6">
        <v>10</v>
      </c>
      <c r="C6" s="169" t="s">
        <v>431</v>
      </c>
      <c r="D6">
        <v>438775015</v>
      </c>
      <c r="F6" s="169" t="s">
        <v>180</v>
      </c>
      <c r="G6">
        <v>1</v>
      </c>
      <c r="H6" s="169" t="s">
        <v>172</v>
      </c>
      <c r="I6" s="169" t="s">
        <v>172</v>
      </c>
      <c r="K6">
        <v>29</v>
      </c>
      <c r="L6">
        <v>51</v>
      </c>
      <c r="M6">
        <v>438800</v>
      </c>
      <c r="N6">
        <v>36610</v>
      </c>
      <c r="O6">
        <v>198</v>
      </c>
      <c r="P6">
        <v>8</v>
      </c>
      <c r="Q6">
        <v>6</v>
      </c>
      <c r="R6">
        <v>20</v>
      </c>
      <c r="S6">
        <v>7</v>
      </c>
      <c r="T6">
        <v>7</v>
      </c>
      <c r="U6" s="168">
        <v>44772</v>
      </c>
      <c r="V6">
        <v>11.5</v>
      </c>
      <c r="W6" s="169" t="s">
        <v>148</v>
      </c>
      <c r="X6">
        <v>1</v>
      </c>
      <c r="Y6">
        <v>1</v>
      </c>
      <c r="Z6" t="s">
        <v>148</v>
      </c>
      <c r="AC6" s="172" t="s">
        <v>183</v>
      </c>
      <c r="AD6" s="169">
        <v>3</v>
      </c>
      <c r="AE6" s="173">
        <v>31</v>
      </c>
      <c r="AF6" s="173">
        <v>33.333333333333336</v>
      </c>
      <c r="AG6" s="173">
        <v>552820</v>
      </c>
      <c r="AH6" s="173">
        <v>66716</v>
      </c>
      <c r="AI6" s="173">
        <v>6.333333333333333</v>
      </c>
      <c r="AJ6" s="173">
        <v>9.6666666666666661</v>
      </c>
      <c r="AK6" s="173">
        <v>6.333333333333333</v>
      </c>
    </row>
    <row r="7" spans="1:37" x14ac:dyDescent="0.25">
      <c r="A7" s="169" t="s">
        <v>174</v>
      </c>
      <c r="B7">
        <v>10</v>
      </c>
      <c r="C7" s="169" t="s">
        <v>431</v>
      </c>
      <c r="D7">
        <v>438775015</v>
      </c>
      <c r="F7" s="169" t="s">
        <v>180</v>
      </c>
      <c r="G7">
        <v>1</v>
      </c>
      <c r="H7" s="169" t="s">
        <v>172</v>
      </c>
      <c r="I7" s="169"/>
      <c r="J7" s="169" t="s">
        <v>172</v>
      </c>
      <c r="K7">
        <v>29</v>
      </c>
      <c r="L7">
        <v>61</v>
      </c>
      <c r="M7">
        <v>437290</v>
      </c>
      <c r="N7">
        <v>36610</v>
      </c>
      <c r="O7">
        <v>200</v>
      </c>
      <c r="P7">
        <v>9</v>
      </c>
      <c r="Q7">
        <v>6</v>
      </c>
      <c r="R7">
        <v>20</v>
      </c>
      <c r="S7">
        <v>7</v>
      </c>
      <c r="T7">
        <v>7</v>
      </c>
      <c r="U7" s="168">
        <v>44783</v>
      </c>
      <c r="V7">
        <v>12.5</v>
      </c>
      <c r="W7" s="169" t="s">
        <v>148</v>
      </c>
      <c r="X7">
        <v>1</v>
      </c>
      <c r="Y7">
        <v>2</v>
      </c>
      <c r="Z7" t="s">
        <v>148</v>
      </c>
      <c r="AC7" s="172" t="s">
        <v>171</v>
      </c>
      <c r="AD7" s="169">
        <v>1</v>
      </c>
      <c r="AE7" s="173">
        <v>31</v>
      </c>
      <c r="AF7" s="173">
        <v>29</v>
      </c>
      <c r="AG7" s="173">
        <v>76330</v>
      </c>
      <c r="AH7" s="173">
        <v>18060</v>
      </c>
      <c r="AI7" s="173">
        <v>4</v>
      </c>
      <c r="AJ7" s="173">
        <v>9</v>
      </c>
      <c r="AK7" s="173">
        <v>6</v>
      </c>
    </row>
    <row r="8" spans="1:37" x14ac:dyDescent="0.25">
      <c r="A8" s="169" t="s">
        <v>174</v>
      </c>
      <c r="B8">
        <v>10</v>
      </c>
      <c r="C8" s="169" t="s">
        <v>431</v>
      </c>
      <c r="D8">
        <v>438775015</v>
      </c>
      <c r="F8" s="169" t="s">
        <v>180</v>
      </c>
      <c r="G8">
        <v>1</v>
      </c>
      <c r="H8" s="169" t="s">
        <v>172</v>
      </c>
      <c r="I8" s="169"/>
      <c r="J8" s="169" t="s">
        <v>172</v>
      </c>
      <c r="K8">
        <v>29</v>
      </c>
      <c r="L8">
        <v>93</v>
      </c>
      <c r="M8">
        <v>430970</v>
      </c>
      <c r="N8">
        <v>36610</v>
      </c>
      <c r="O8">
        <v>204</v>
      </c>
      <c r="P8">
        <v>9</v>
      </c>
      <c r="Q8">
        <v>6</v>
      </c>
      <c r="R8">
        <v>20</v>
      </c>
      <c r="S8">
        <v>6</v>
      </c>
      <c r="T8">
        <v>7</v>
      </c>
      <c r="U8" s="168">
        <v>44814</v>
      </c>
      <c r="V8">
        <v>11.5</v>
      </c>
      <c r="W8" s="169" t="s">
        <v>148</v>
      </c>
      <c r="X8">
        <v>1</v>
      </c>
      <c r="Y8">
        <v>8</v>
      </c>
      <c r="Z8" t="s">
        <v>148</v>
      </c>
      <c r="AC8" s="172" t="s">
        <v>176</v>
      </c>
      <c r="AD8" s="169">
        <v>2</v>
      </c>
      <c r="AE8" s="173">
        <v>31</v>
      </c>
      <c r="AF8" s="173">
        <v>31</v>
      </c>
      <c r="AG8" s="173">
        <v>201170</v>
      </c>
      <c r="AH8" s="173">
        <v>43750</v>
      </c>
      <c r="AI8" s="173">
        <v>6</v>
      </c>
      <c r="AJ8" s="173">
        <v>9.5</v>
      </c>
      <c r="AK8" s="173">
        <v>6</v>
      </c>
    </row>
    <row r="9" spans="1:37" x14ac:dyDescent="0.25">
      <c r="A9" s="169" t="s">
        <v>174</v>
      </c>
      <c r="B9">
        <v>10</v>
      </c>
      <c r="C9" s="169" t="s">
        <v>431</v>
      </c>
      <c r="D9">
        <v>438775015</v>
      </c>
      <c r="F9" s="169" t="s">
        <v>180</v>
      </c>
      <c r="G9">
        <v>1</v>
      </c>
      <c r="H9" s="169" t="s">
        <v>172</v>
      </c>
      <c r="I9" s="169"/>
      <c r="K9">
        <v>29</v>
      </c>
      <c r="L9">
        <v>102</v>
      </c>
      <c r="M9">
        <v>445760</v>
      </c>
      <c r="N9">
        <v>36610</v>
      </c>
      <c r="O9">
        <v>206</v>
      </c>
      <c r="P9">
        <v>9</v>
      </c>
      <c r="Q9">
        <v>6</v>
      </c>
      <c r="R9">
        <v>20</v>
      </c>
      <c r="S9">
        <v>7</v>
      </c>
      <c r="T9">
        <v>7</v>
      </c>
      <c r="U9" s="168">
        <v>44825</v>
      </c>
      <c r="V9">
        <v>4.5</v>
      </c>
      <c r="W9" s="169" t="s">
        <v>177</v>
      </c>
      <c r="X9">
        <v>1</v>
      </c>
      <c r="Y9">
        <v>9</v>
      </c>
      <c r="Z9" t="s">
        <v>148</v>
      </c>
      <c r="AC9" s="172" t="s">
        <v>180</v>
      </c>
      <c r="AD9" s="169">
        <v>1</v>
      </c>
      <c r="AE9" s="173">
        <v>29</v>
      </c>
      <c r="AF9" s="173">
        <v>51</v>
      </c>
      <c r="AG9" s="173">
        <v>438800</v>
      </c>
      <c r="AH9" s="173">
        <v>36610</v>
      </c>
      <c r="AI9" s="173">
        <v>7</v>
      </c>
      <c r="AJ9" s="173">
        <v>8</v>
      </c>
      <c r="AK9" s="173">
        <v>7</v>
      </c>
    </row>
    <row r="10" spans="1:37" x14ac:dyDescent="0.25">
      <c r="A10" s="169" t="s">
        <v>174</v>
      </c>
      <c r="C10" s="169" t="s">
        <v>486</v>
      </c>
      <c r="D10">
        <v>440428825</v>
      </c>
      <c r="F10" s="169" t="s">
        <v>172</v>
      </c>
      <c r="H10" s="169" t="s">
        <v>172</v>
      </c>
      <c r="I10" s="169"/>
      <c r="J10" s="169" t="s">
        <v>172</v>
      </c>
      <c r="K10">
        <v>29</v>
      </c>
      <c r="L10">
        <v>36</v>
      </c>
      <c r="M10">
        <v>185090</v>
      </c>
      <c r="N10">
        <v>14520</v>
      </c>
      <c r="O10">
        <v>1</v>
      </c>
      <c r="P10">
        <v>8</v>
      </c>
      <c r="Q10">
        <v>3</v>
      </c>
      <c r="R10">
        <v>3</v>
      </c>
      <c r="S10">
        <v>7</v>
      </c>
      <c r="T10">
        <v>6</v>
      </c>
      <c r="U10" s="168">
        <v>44783</v>
      </c>
      <c r="V10">
        <v>8.5</v>
      </c>
      <c r="W10" s="169" t="s">
        <v>201</v>
      </c>
      <c r="X10">
        <v>1</v>
      </c>
      <c r="Y10">
        <v>2</v>
      </c>
      <c r="Z10" t="s">
        <v>241</v>
      </c>
      <c r="AC10" s="172" t="s">
        <v>229</v>
      </c>
      <c r="AD10" s="169">
        <v>12</v>
      </c>
      <c r="AE10" s="173">
        <v>30.75</v>
      </c>
      <c r="AF10" s="173">
        <v>34.166666666666664</v>
      </c>
      <c r="AG10" s="173">
        <v>1735340</v>
      </c>
      <c r="AH10" s="173">
        <v>259618</v>
      </c>
      <c r="AI10" s="173">
        <v>6.083333333333333</v>
      </c>
      <c r="AJ10" s="173">
        <v>9.25</v>
      </c>
      <c r="AK10" s="173">
        <v>6.166666666666667</v>
      </c>
    </row>
    <row r="11" spans="1:37" x14ac:dyDescent="0.25">
      <c r="A11" s="169" t="s">
        <v>174</v>
      </c>
      <c r="B11">
        <v>3</v>
      </c>
      <c r="C11" s="169" t="s">
        <v>486</v>
      </c>
      <c r="D11">
        <v>440428825</v>
      </c>
      <c r="F11" s="169" t="s">
        <v>172</v>
      </c>
      <c r="H11" s="169" t="s">
        <v>172</v>
      </c>
      <c r="I11" s="169">
        <v>2</v>
      </c>
      <c r="J11" s="169" t="s">
        <v>172</v>
      </c>
      <c r="K11">
        <v>29</v>
      </c>
      <c r="L11">
        <v>68</v>
      </c>
      <c r="M11">
        <v>186250</v>
      </c>
      <c r="N11">
        <v>14520</v>
      </c>
      <c r="O11">
        <v>5</v>
      </c>
      <c r="P11">
        <v>8</v>
      </c>
      <c r="Q11">
        <v>3</v>
      </c>
      <c r="R11">
        <v>7</v>
      </c>
      <c r="S11">
        <v>7</v>
      </c>
      <c r="T11">
        <v>6</v>
      </c>
      <c r="U11" s="168">
        <v>44814</v>
      </c>
      <c r="V11">
        <v>7</v>
      </c>
      <c r="W11" s="169" t="s">
        <v>207</v>
      </c>
      <c r="X11">
        <v>1</v>
      </c>
      <c r="Y11">
        <v>8</v>
      </c>
      <c r="Z11" t="s">
        <v>241</v>
      </c>
    </row>
    <row r="12" spans="1:37" x14ac:dyDescent="0.25">
      <c r="A12" s="169" t="s">
        <v>174</v>
      </c>
      <c r="B12">
        <v>3</v>
      </c>
      <c r="C12" s="169" t="s">
        <v>486</v>
      </c>
      <c r="D12">
        <v>440428825</v>
      </c>
      <c r="F12" s="169" t="s">
        <v>172</v>
      </c>
      <c r="H12" s="169" t="s">
        <v>172</v>
      </c>
      <c r="I12" s="169">
        <v>2</v>
      </c>
      <c r="K12">
        <v>29</v>
      </c>
      <c r="L12">
        <v>77</v>
      </c>
      <c r="M12">
        <v>182480</v>
      </c>
      <c r="N12">
        <v>14520</v>
      </c>
      <c r="O12">
        <v>7</v>
      </c>
      <c r="P12">
        <v>8</v>
      </c>
      <c r="Q12">
        <v>3</v>
      </c>
      <c r="R12">
        <v>8</v>
      </c>
      <c r="S12">
        <v>6</v>
      </c>
      <c r="T12">
        <v>7</v>
      </c>
      <c r="U12" s="168">
        <v>44825</v>
      </c>
      <c r="V12">
        <v>5.5</v>
      </c>
      <c r="W12" s="169" t="s">
        <v>147</v>
      </c>
      <c r="X12">
        <v>1</v>
      </c>
      <c r="Y12">
        <v>9</v>
      </c>
      <c r="Z12" t="s">
        <v>241</v>
      </c>
    </row>
    <row r="13" spans="1:37" x14ac:dyDescent="0.25">
      <c r="A13" s="169" t="s">
        <v>174</v>
      </c>
      <c r="B13">
        <v>2</v>
      </c>
      <c r="C13" s="169" t="s">
        <v>425</v>
      </c>
      <c r="D13">
        <v>442533611</v>
      </c>
      <c r="F13" s="169" t="s">
        <v>172</v>
      </c>
      <c r="H13" s="169" t="s">
        <v>172</v>
      </c>
      <c r="I13" s="169" t="s">
        <v>172</v>
      </c>
      <c r="K13">
        <v>29</v>
      </c>
      <c r="L13">
        <v>14</v>
      </c>
      <c r="M13">
        <v>97110</v>
      </c>
      <c r="N13">
        <v>21470</v>
      </c>
      <c r="O13">
        <v>23</v>
      </c>
      <c r="P13">
        <v>8</v>
      </c>
      <c r="Q13">
        <v>5</v>
      </c>
      <c r="R13">
        <v>14</v>
      </c>
      <c r="S13">
        <v>7</v>
      </c>
      <c r="T13">
        <v>7</v>
      </c>
      <c r="U13" s="168">
        <v>44772</v>
      </c>
      <c r="V13">
        <v>8.5</v>
      </c>
      <c r="W13" s="169" t="s">
        <v>177</v>
      </c>
      <c r="X13">
        <v>1</v>
      </c>
      <c r="Y13">
        <v>1</v>
      </c>
      <c r="Z13" t="s">
        <v>244</v>
      </c>
    </row>
    <row r="14" spans="1:37" x14ac:dyDescent="0.25">
      <c r="A14" s="169" t="s">
        <v>174</v>
      </c>
      <c r="B14">
        <v>2</v>
      </c>
      <c r="C14" s="169" t="s">
        <v>425</v>
      </c>
      <c r="D14">
        <v>442533611</v>
      </c>
      <c r="F14" s="169" t="s">
        <v>172</v>
      </c>
      <c r="H14" s="169" t="s">
        <v>172</v>
      </c>
      <c r="I14" s="169"/>
      <c r="J14" s="169" t="s">
        <v>172</v>
      </c>
      <c r="K14">
        <v>29</v>
      </c>
      <c r="L14">
        <v>24</v>
      </c>
      <c r="M14">
        <v>92130</v>
      </c>
      <c r="N14">
        <v>21470</v>
      </c>
      <c r="O14">
        <v>25</v>
      </c>
      <c r="P14">
        <v>8</v>
      </c>
      <c r="Q14">
        <v>5</v>
      </c>
      <c r="R14">
        <v>14</v>
      </c>
      <c r="S14">
        <v>6</v>
      </c>
      <c r="T14">
        <v>7</v>
      </c>
      <c r="U14" s="168">
        <v>44783</v>
      </c>
      <c r="V14">
        <v>7</v>
      </c>
      <c r="W14" s="169" t="s">
        <v>181</v>
      </c>
      <c r="X14">
        <v>1</v>
      </c>
      <c r="Y14">
        <v>2</v>
      </c>
      <c r="Z14" t="s">
        <v>244</v>
      </c>
    </row>
    <row r="15" spans="1:37" x14ac:dyDescent="0.25">
      <c r="A15" s="169" t="s">
        <v>174</v>
      </c>
      <c r="B15">
        <v>2</v>
      </c>
      <c r="C15" s="169" t="s">
        <v>425</v>
      </c>
      <c r="D15">
        <v>442533611</v>
      </c>
      <c r="F15" s="169" t="s">
        <v>172</v>
      </c>
      <c r="H15" s="169" t="s">
        <v>172</v>
      </c>
      <c r="I15" s="169"/>
      <c r="J15" s="169" t="s">
        <v>172</v>
      </c>
      <c r="K15">
        <v>29</v>
      </c>
      <c r="L15">
        <v>56</v>
      </c>
      <c r="M15">
        <v>104000</v>
      </c>
      <c r="N15">
        <v>21470</v>
      </c>
      <c r="O15">
        <v>29</v>
      </c>
      <c r="P15">
        <v>8</v>
      </c>
      <c r="Q15">
        <v>5</v>
      </c>
      <c r="R15">
        <v>15</v>
      </c>
      <c r="S15">
        <v>8</v>
      </c>
      <c r="T15">
        <v>7</v>
      </c>
      <c r="U15" s="168">
        <v>44814</v>
      </c>
      <c r="V15">
        <v>8.5</v>
      </c>
      <c r="W15" s="169" t="s">
        <v>177</v>
      </c>
      <c r="X15">
        <v>1</v>
      </c>
      <c r="Y15">
        <v>8</v>
      </c>
      <c r="Z15" t="s">
        <v>244</v>
      </c>
    </row>
    <row r="16" spans="1:37" x14ac:dyDescent="0.25">
      <c r="A16" s="169" t="s">
        <v>174</v>
      </c>
      <c r="B16">
        <v>2</v>
      </c>
      <c r="C16" s="169" t="s">
        <v>425</v>
      </c>
      <c r="D16">
        <v>442533611</v>
      </c>
      <c r="F16" s="169" t="s">
        <v>172</v>
      </c>
      <c r="H16" s="169" t="s">
        <v>172</v>
      </c>
      <c r="I16" s="169"/>
      <c r="K16">
        <v>29</v>
      </c>
      <c r="L16">
        <v>65</v>
      </c>
      <c r="M16">
        <v>98130</v>
      </c>
      <c r="N16">
        <v>21470</v>
      </c>
      <c r="O16">
        <v>31</v>
      </c>
      <c r="P16">
        <v>8</v>
      </c>
      <c r="Q16">
        <v>5</v>
      </c>
      <c r="R16">
        <v>16</v>
      </c>
      <c r="S16">
        <v>7</v>
      </c>
      <c r="T16">
        <v>7</v>
      </c>
      <c r="U16" s="168">
        <v>44825</v>
      </c>
      <c r="V16">
        <v>8</v>
      </c>
      <c r="W16" s="169" t="s">
        <v>181</v>
      </c>
      <c r="X16">
        <v>1</v>
      </c>
      <c r="Y16">
        <v>9</v>
      </c>
      <c r="Z16" t="s">
        <v>244</v>
      </c>
    </row>
    <row r="17" spans="1:45" x14ac:dyDescent="0.25">
      <c r="A17" s="169" t="s">
        <v>199</v>
      </c>
      <c r="B17">
        <v>11</v>
      </c>
      <c r="C17" s="169" t="s">
        <v>432</v>
      </c>
      <c r="D17">
        <v>435567808</v>
      </c>
      <c r="F17" s="169" t="s">
        <v>183</v>
      </c>
      <c r="H17" s="169" t="s">
        <v>172</v>
      </c>
      <c r="I17" s="169" t="s">
        <v>172</v>
      </c>
      <c r="K17">
        <v>31</v>
      </c>
      <c r="L17">
        <v>46</v>
      </c>
      <c r="M17">
        <v>113230</v>
      </c>
      <c r="N17">
        <v>17016</v>
      </c>
      <c r="O17">
        <v>44</v>
      </c>
      <c r="P17">
        <v>8</v>
      </c>
      <c r="Q17">
        <v>2</v>
      </c>
      <c r="R17">
        <v>19</v>
      </c>
      <c r="S17">
        <v>6</v>
      </c>
      <c r="T17">
        <v>6</v>
      </c>
      <c r="U17" s="168">
        <v>44772</v>
      </c>
      <c r="V17">
        <v>9</v>
      </c>
      <c r="W17" s="169" t="s">
        <v>181</v>
      </c>
      <c r="X17">
        <v>1</v>
      </c>
      <c r="Y17">
        <v>1</v>
      </c>
      <c r="Z17" t="s">
        <v>241</v>
      </c>
    </row>
    <row r="18" spans="1:45" x14ac:dyDescent="0.25">
      <c r="A18" s="169" t="s">
        <v>199</v>
      </c>
      <c r="B18">
        <v>11</v>
      </c>
      <c r="C18" s="169" t="s">
        <v>432</v>
      </c>
      <c r="D18">
        <v>435567808</v>
      </c>
      <c r="F18" s="169" t="s">
        <v>183</v>
      </c>
      <c r="H18" s="169" t="s">
        <v>172</v>
      </c>
      <c r="I18" s="169">
        <v>1</v>
      </c>
      <c r="J18" s="169" t="s">
        <v>172</v>
      </c>
      <c r="K18">
        <v>31</v>
      </c>
      <c r="L18">
        <v>56</v>
      </c>
      <c r="M18">
        <v>103470</v>
      </c>
      <c r="N18">
        <v>17016</v>
      </c>
      <c r="O18">
        <v>46</v>
      </c>
      <c r="P18">
        <v>8</v>
      </c>
      <c r="Q18">
        <v>2</v>
      </c>
      <c r="R18">
        <v>19</v>
      </c>
      <c r="S18">
        <v>5</v>
      </c>
      <c r="T18">
        <v>6</v>
      </c>
      <c r="U18" s="168">
        <v>44783</v>
      </c>
      <c r="V18">
        <v>7</v>
      </c>
      <c r="W18" s="169" t="s">
        <v>207</v>
      </c>
      <c r="X18">
        <v>1</v>
      </c>
      <c r="Y18">
        <v>2</v>
      </c>
      <c r="Z18" t="s">
        <v>241</v>
      </c>
      <c r="AC18" s="171" t="s">
        <v>224</v>
      </c>
      <c r="AD18" s="172">
        <v>1</v>
      </c>
    </row>
    <row r="19" spans="1:45" x14ac:dyDescent="0.25">
      <c r="A19" s="169" t="s">
        <v>199</v>
      </c>
      <c r="B19">
        <v>11</v>
      </c>
      <c r="C19" s="169" t="s">
        <v>432</v>
      </c>
      <c r="D19">
        <v>435567808</v>
      </c>
      <c r="F19" s="169" t="s">
        <v>183</v>
      </c>
      <c r="H19" s="169" t="s">
        <v>172</v>
      </c>
      <c r="I19" s="169">
        <v>1</v>
      </c>
      <c r="J19" s="169" t="s">
        <v>172</v>
      </c>
      <c r="K19">
        <v>31</v>
      </c>
      <c r="L19">
        <v>88</v>
      </c>
      <c r="M19">
        <v>108870</v>
      </c>
      <c r="N19">
        <v>17016</v>
      </c>
      <c r="O19">
        <v>50</v>
      </c>
      <c r="P19">
        <v>9</v>
      </c>
      <c r="Q19">
        <v>2</v>
      </c>
      <c r="R19">
        <v>20</v>
      </c>
      <c r="S19">
        <v>6</v>
      </c>
      <c r="T19">
        <v>6</v>
      </c>
      <c r="U19" s="168">
        <v>44814</v>
      </c>
      <c r="V19">
        <v>9</v>
      </c>
      <c r="W19" s="169" t="s">
        <v>181</v>
      </c>
      <c r="X19">
        <v>1</v>
      </c>
      <c r="Y19">
        <v>8</v>
      </c>
      <c r="Z19" t="s">
        <v>241</v>
      </c>
    </row>
    <row r="20" spans="1:45" x14ac:dyDescent="0.25">
      <c r="A20" s="169" t="s">
        <v>199</v>
      </c>
      <c r="B20">
        <v>11</v>
      </c>
      <c r="C20" s="169" t="s">
        <v>432</v>
      </c>
      <c r="D20">
        <v>435567808</v>
      </c>
      <c r="F20" s="169" t="s">
        <v>183</v>
      </c>
      <c r="H20" s="169" t="s">
        <v>172</v>
      </c>
      <c r="I20" s="169">
        <v>2</v>
      </c>
      <c r="K20">
        <v>31</v>
      </c>
      <c r="L20">
        <v>97</v>
      </c>
      <c r="M20">
        <v>110550</v>
      </c>
      <c r="N20">
        <v>17016</v>
      </c>
      <c r="O20">
        <v>51</v>
      </c>
      <c r="P20">
        <v>9</v>
      </c>
      <c r="Q20">
        <v>2</v>
      </c>
      <c r="R20">
        <v>20</v>
      </c>
      <c r="S20">
        <v>6</v>
      </c>
      <c r="T20">
        <v>6</v>
      </c>
      <c r="U20" s="168">
        <v>44825</v>
      </c>
      <c r="V20">
        <v>7</v>
      </c>
      <c r="W20" s="169" t="s">
        <v>207</v>
      </c>
      <c r="X20">
        <v>1</v>
      </c>
      <c r="Y20">
        <v>9</v>
      </c>
      <c r="Z20" t="s">
        <v>241</v>
      </c>
      <c r="AE20" s="171" t="s">
        <v>239</v>
      </c>
    </row>
    <row r="21" spans="1:45" x14ac:dyDescent="0.25">
      <c r="A21" s="169" t="s">
        <v>174</v>
      </c>
      <c r="B21">
        <v>14</v>
      </c>
      <c r="C21" s="169" t="s">
        <v>434</v>
      </c>
      <c r="D21">
        <v>435277760</v>
      </c>
      <c r="F21" s="169" t="s">
        <v>172</v>
      </c>
      <c r="H21" s="169" t="s">
        <v>172</v>
      </c>
      <c r="I21" s="169" t="s">
        <v>172</v>
      </c>
      <c r="K21">
        <v>31</v>
      </c>
      <c r="L21">
        <v>21</v>
      </c>
      <c r="M21">
        <v>110200</v>
      </c>
      <c r="N21">
        <v>20340</v>
      </c>
      <c r="O21">
        <v>21</v>
      </c>
      <c r="P21">
        <v>11</v>
      </c>
      <c r="Q21">
        <v>2</v>
      </c>
      <c r="R21">
        <v>13</v>
      </c>
      <c r="S21">
        <v>7</v>
      </c>
      <c r="T21">
        <v>6</v>
      </c>
      <c r="U21" s="168">
        <v>44772</v>
      </c>
      <c r="V21">
        <v>7.5</v>
      </c>
      <c r="W21" s="169" t="s">
        <v>146</v>
      </c>
      <c r="X21">
        <v>1</v>
      </c>
      <c r="Y21">
        <v>1</v>
      </c>
      <c r="Z21" t="s">
        <v>242</v>
      </c>
      <c r="AE21" t="s">
        <v>462</v>
      </c>
      <c r="AI21" t="s">
        <v>226</v>
      </c>
      <c r="AM21" t="s">
        <v>481</v>
      </c>
      <c r="AQ21" t="s">
        <v>507</v>
      </c>
      <c r="AR21" t="s">
        <v>508</v>
      </c>
      <c r="AS21" t="s">
        <v>509</v>
      </c>
    </row>
    <row r="22" spans="1:45" x14ac:dyDescent="0.25">
      <c r="A22" s="169" t="s">
        <v>174</v>
      </c>
      <c r="B22">
        <v>14</v>
      </c>
      <c r="C22" s="169" t="s">
        <v>434</v>
      </c>
      <c r="D22">
        <v>435277760</v>
      </c>
      <c r="F22" s="169" t="s">
        <v>172</v>
      </c>
      <c r="H22" s="169" t="s">
        <v>172</v>
      </c>
      <c r="I22" s="169"/>
      <c r="J22" s="169" t="s">
        <v>172</v>
      </c>
      <c r="K22">
        <v>31</v>
      </c>
      <c r="L22">
        <v>31</v>
      </c>
      <c r="M22">
        <v>99580</v>
      </c>
      <c r="N22">
        <v>20340</v>
      </c>
      <c r="O22">
        <v>23</v>
      </c>
      <c r="P22">
        <v>11</v>
      </c>
      <c r="Q22">
        <v>2</v>
      </c>
      <c r="R22">
        <v>14</v>
      </c>
      <c r="S22">
        <v>6</v>
      </c>
      <c r="T22">
        <v>6</v>
      </c>
      <c r="U22" s="168">
        <v>44783</v>
      </c>
      <c r="V22">
        <v>8.5</v>
      </c>
      <c r="W22" s="169" t="s">
        <v>147</v>
      </c>
      <c r="X22">
        <v>1</v>
      </c>
      <c r="Y22">
        <v>2</v>
      </c>
      <c r="Z22" t="s">
        <v>242</v>
      </c>
      <c r="AC22" s="171" t="s">
        <v>228</v>
      </c>
      <c r="AD22" s="171" t="s">
        <v>153</v>
      </c>
      <c r="AE22">
        <v>1</v>
      </c>
      <c r="AF22">
        <v>2</v>
      </c>
      <c r="AG22">
        <v>8</v>
      </c>
      <c r="AH22">
        <v>9</v>
      </c>
      <c r="AI22">
        <v>1</v>
      </c>
      <c r="AJ22">
        <v>2</v>
      </c>
      <c r="AK22">
        <v>8</v>
      </c>
      <c r="AL22">
        <v>9</v>
      </c>
      <c r="AM22">
        <v>1</v>
      </c>
      <c r="AN22">
        <v>2</v>
      </c>
      <c r="AO22">
        <v>8</v>
      </c>
      <c r="AP22">
        <v>9</v>
      </c>
    </row>
    <row r="23" spans="1:45" x14ac:dyDescent="0.25">
      <c r="A23" s="169" t="s">
        <v>174</v>
      </c>
      <c r="B23">
        <v>14</v>
      </c>
      <c r="C23" s="169" t="s">
        <v>434</v>
      </c>
      <c r="D23">
        <v>435277760</v>
      </c>
      <c r="F23" s="169" t="s">
        <v>172</v>
      </c>
      <c r="H23" s="169" t="s">
        <v>172</v>
      </c>
      <c r="I23" s="169"/>
      <c r="J23" s="169" t="s">
        <v>172</v>
      </c>
      <c r="K23">
        <v>31</v>
      </c>
      <c r="L23">
        <v>63</v>
      </c>
      <c r="M23">
        <v>110010</v>
      </c>
      <c r="N23">
        <v>20340</v>
      </c>
      <c r="O23">
        <v>27</v>
      </c>
      <c r="P23">
        <v>12</v>
      </c>
      <c r="Q23">
        <v>2</v>
      </c>
      <c r="R23">
        <v>15</v>
      </c>
      <c r="S23">
        <v>7</v>
      </c>
      <c r="T23">
        <v>6</v>
      </c>
      <c r="U23" s="168">
        <v>44814</v>
      </c>
      <c r="V23">
        <v>9</v>
      </c>
      <c r="W23" s="169" t="s">
        <v>147</v>
      </c>
      <c r="X23">
        <v>1</v>
      </c>
      <c r="Y23">
        <v>8</v>
      </c>
      <c r="Z23" t="s">
        <v>242</v>
      </c>
      <c r="AC23" s="172" t="s">
        <v>148</v>
      </c>
      <c r="AE23" s="169">
        <v>14</v>
      </c>
      <c r="AF23" s="169">
        <v>14</v>
      </c>
      <c r="AG23" s="169">
        <v>19</v>
      </c>
      <c r="AH23" s="169">
        <v>21</v>
      </c>
      <c r="AI23" s="169">
        <v>828760</v>
      </c>
      <c r="AJ23" s="169">
        <v>833940</v>
      </c>
      <c r="AK23" s="169">
        <v>1002920</v>
      </c>
      <c r="AL23" s="169">
        <v>1017130</v>
      </c>
      <c r="AM23" s="169">
        <v>23.5</v>
      </c>
      <c r="AN23" s="169">
        <v>24.5</v>
      </c>
      <c r="AO23" s="169">
        <v>32.5</v>
      </c>
      <c r="AP23" s="169">
        <v>22.5</v>
      </c>
      <c r="AQ23" s="169">
        <v>68</v>
      </c>
      <c r="AR23" s="169">
        <v>3682750</v>
      </c>
      <c r="AS23" s="169">
        <v>103</v>
      </c>
    </row>
    <row r="24" spans="1:45" x14ac:dyDescent="0.25">
      <c r="A24" s="169" t="s">
        <v>174</v>
      </c>
      <c r="B24">
        <v>14</v>
      </c>
      <c r="C24" s="169" t="s">
        <v>434</v>
      </c>
      <c r="D24">
        <v>435277760</v>
      </c>
      <c r="F24" s="169" t="s">
        <v>172</v>
      </c>
      <c r="H24" s="169" t="s">
        <v>172</v>
      </c>
      <c r="I24" s="169"/>
      <c r="K24">
        <v>31</v>
      </c>
      <c r="L24">
        <v>72</v>
      </c>
      <c r="M24">
        <v>106340</v>
      </c>
      <c r="N24">
        <v>20340</v>
      </c>
      <c r="O24">
        <v>28</v>
      </c>
      <c r="P24">
        <v>12</v>
      </c>
      <c r="Q24">
        <v>2</v>
      </c>
      <c r="R24">
        <v>15</v>
      </c>
      <c r="S24">
        <v>6</v>
      </c>
      <c r="T24">
        <v>6</v>
      </c>
      <c r="U24" s="168">
        <v>44821</v>
      </c>
      <c r="V24">
        <v>8.5</v>
      </c>
      <c r="W24" s="169" t="s">
        <v>147</v>
      </c>
      <c r="X24">
        <v>1</v>
      </c>
      <c r="Y24">
        <v>9</v>
      </c>
      <c r="Z24" t="s">
        <v>242</v>
      </c>
      <c r="AC24" s="181" t="s">
        <v>431</v>
      </c>
      <c r="AD24" s="172" t="s">
        <v>180</v>
      </c>
      <c r="AE24" s="169">
        <v>7</v>
      </c>
      <c r="AF24" s="169">
        <v>7</v>
      </c>
      <c r="AG24" s="169">
        <v>6</v>
      </c>
      <c r="AH24" s="169">
        <v>7</v>
      </c>
      <c r="AI24" s="169">
        <v>438800</v>
      </c>
      <c r="AJ24" s="169">
        <v>437290</v>
      </c>
      <c r="AK24" s="169">
        <v>430970</v>
      </c>
      <c r="AL24" s="169">
        <v>445760</v>
      </c>
      <c r="AM24" s="169">
        <v>11.5</v>
      </c>
      <c r="AN24" s="169">
        <v>12.5</v>
      </c>
      <c r="AO24" s="169">
        <v>11.5</v>
      </c>
      <c r="AP24" s="169">
        <v>4.5</v>
      </c>
      <c r="AQ24" s="169">
        <v>27</v>
      </c>
      <c r="AR24" s="169">
        <v>1752820</v>
      </c>
      <c r="AS24" s="169">
        <v>40</v>
      </c>
    </row>
    <row r="25" spans="1:45" x14ac:dyDescent="0.25">
      <c r="A25" s="169" t="s">
        <v>174</v>
      </c>
      <c r="B25">
        <v>5</v>
      </c>
      <c r="C25" s="169" t="s">
        <v>428</v>
      </c>
      <c r="D25">
        <v>436973227</v>
      </c>
      <c r="F25" s="169" t="s">
        <v>176</v>
      </c>
      <c r="H25" s="169" t="s">
        <v>172</v>
      </c>
      <c r="I25" s="169" t="s">
        <v>172</v>
      </c>
      <c r="K25">
        <v>30</v>
      </c>
      <c r="L25">
        <v>24</v>
      </c>
      <c r="M25">
        <v>130010</v>
      </c>
      <c r="N25">
        <v>27010</v>
      </c>
      <c r="O25">
        <v>50</v>
      </c>
      <c r="P25">
        <v>8</v>
      </c>
      <c r="Q25">
        <v>3</v>
      </c>
      <c r="R25">
        <v>20</v>
      </c>
      <c r="S25">
        <v>6</v>
      </c>
      <c r="T25">
        <v>6</v>
      </c>
      <c r="U25" s="168">
        <v>44772</v>
      </c>
      <c r="V25">
        <v>7.5</v>
      </c>
      <c r="W25" s="169" t="s">
        <v>146</v>
      </c>
      <c r="X25">
        <v>1</v>
      </c>
      <c r="Y25">
        <v>1</v>
      </c>
      <c r="Z25" t="s">
        <v>242</v>
      </c>
      <c r="AC25" s="181" t="s">
        <v>437</v>
      </c>
      <c r="AD25" s="172" t="s">
        <v>183</v>
      </c>
      <c r="AE25" s="169">
        <v>7</v>
      </c>
      <c r="AF25" s="169">
        <v>7</v>
      </c>
      <c r="AG25" s="169">
        <v>7</v>
      </c>
      <c r="AH25" s="169">
        <v>7</v>
      </c>
      <c r="AI25" s="169">
        <v>389960</v>
      </c>
      <c r="AJ25" s="169">
        <v>396650</v>
      </c>
      <c r="AK25" s="169">
        <v>387520</v>
      </c>
      <c r="AL25" s="169">
        <v>378500</v>
      </c>
      <c r="AM25" s="169">
        <v>12</v>
      </c>
      <c r="AN25" s="169">
        <v>12</v>
      </c>
      <c r="AO25" s="169">
        <v>11.5</v>
      </c>
      <c r="AP25" s="169">
        <v>8</v>
      </c>
      <c r="AQ25" s="169">
        <v>28</v>
      </c>
      <c r="AR25" s="169">
        <v>1552630</v>
      </c>
      <c r="AS25" s="169">
        <v>43.5</v>
      </c>
    </row>
    <row r="26" spans="1:45" x14ac:dyDescent="0.25">
      <c r="A26" s="169" t="s">
        <v>174</v>
      </c>
      <c r="B26">
        <v>5</v>
      </c>
      <c r="C26" s="169" t="s">
        <v>428</v>
      </c>
      <c r="D26">
        <v>436973227</v>
      </c>
      <c r="F26" s="169" t="s">
        <v>176</v>
      </c>
      <c r="H26" s="169" t="s">
        <v>172</v>
      </c>
      <c r="I26" s="169"/>
      <c r="J26" s="169" t="s">
        <v>172</v>
      </c>
      <c r="K26">
        <v>30</v>
      </c>
      <c r="L26">
        <v>34</v>
      </c>
      <c r="M26">
        <v>122820</v>
      </c>
      <c r="N26">
        <v>27010</v>
      </c>
      <c r="O26">
        <v>52</v>
      </c>
      <c r="P26">
        <v>8</v>
      </c>
      <c r="Q26">
        <v>3</v>
      </c>
      <c r="R26">
        <v>20</v>
      </c>
      <c r="S26">
        <v>6</v>
      </c>
      <c r="T26">
        <v>6</v>
      </c>
      <c r="U26" s="168">
        <v>44779</v>
      </c>
      <c r="V26">
        <v>8</v>
      </c>
      <c r="W26" s="169" t="s">
        <v>147</v>
      </c>
      <c r="X26">
        <v>1</v>
      </c>
      <c r="Y26">
        <v>2</v>
      </c>
      <c r="Z26" t="s">
        <v>242</v>
      </c>
      <c r="AC26" s="181" t="s">
        <v>499</v>
      </c>
      <c r="AD26" s="172" t="s">
        <v>183</v>
      </c>
      <c r="AE26" s="169"/>
      <c r="AF26" s="169"/>
      <c r="AG26" s="169">
        <v>6</v>
      </c>
      <c r="AH26" s="169">
        <v>7</v>
      </c>
      <c r="AI26" s="169"/>
      <c r="AJ26" s="169"/>
      <c r="AK26" s="169">
        <v>184430</v>
      </c>
      <c r="AL26" s="169">
        <v>192870</v>
      </c>
      <c r="AM26" s="169"/>
      <c r="AN26" s="169"/>
      <c r="AO26" s="169">
        <v>9.5</v>
      </c>
      <c r="AP26" s="169">
        <v>10</v>
      </c>
      <c r="AQ26" s="169">
        <v>13</v>
      </c>
      <c r="AR26" s="169">
        <v>377300</v>
      </c>
      <c r="AS26" s="169">
        <v>19.5</v>
      </c>
    </row>
    <row r="27" spans="1:45" x14ac:dyDescent="0.25">
      <c r="A27" s="169" t="s">
        <v>174</v>
      </c>
      <c r="B27">
        <v>5</v>
      </c>
      <c r="C27" s="169" t="s">
        <v>428</v>
      </c>
      <c r="D27">
        <v>436973227</v>
      </c>
      <c r="F27" s="169" t="s">
        <v>176</v>
      </c>
      <c r="H27" s="169" t="s">
        <v>172</v>
      </c>
      <c r="I27" s="169"/>
      <c r="J27" s="169" t="s">
        <v>172</v>
      </c>
      <c r="K27">
        <v>30</v>
      </c>
      <c r="L27">
        <v>66</v>
      </c>
      <c r="M27">
        <v>145560</v>
      </c>
      <c r="N27">
        <v>27010</v>
      </c>
      <c r="O27">
        <v>56</v>
      </c>
      <c r="P27">
        <v>8</v>
      </c>
      <c r="Q27">
        <v>3</v>
      </c>
      <c r="R27">
        <v>20</v>
      </c>
      <c r="S27">
        <v>7</v>
      </c>
      <c r="T27">
        <v>6</v>
      </c>
      <c r="U27" s="168">
        <v>44814</v>
      </c>
      <c r="V27">
        <v>10</v>
      </c>
      <c r="W27" s="169" t="s">
        <v>147</v>
      </c>
      <c r="X27">
        <v>1</v>
      </c>
      <c r="Y27">
        <v>8</v>
      </c>
      <c r="Z27" t="s">
        <v>242</v>
      </c>
      <c r="AC27" s="172" t="s">
        <v>241</v>
      </c>
      <c r="AE27" s="169">
        <v>18</v>
      </c>
      <c r="AF27" s="169">
        <v>24</v>
      </c>
      <c r="AG27" s="169">
        <v>26</v>
      </c>
      <c r="AH27" s="169">
        <v>26</v>
      </c>
      <c r="AI27" s="169">
        <v>221240</v>
      </c>
      <c r="AJ27" s="169">
        <v>394280</v>
      </c>
      <c r="AK27" s="169">
        <v>381880</v>
      </c>
      <c r="AL27" s="169">
        <v>377950</v>
      </c>
      <c r="AM27" s="169">
        <v>26.5</v>
      </c>
      <c r="AN27" s="169">
        <v>30.5</v>
      </c>
      <c r="AO27" s="169">
        <v>32.5</v>
      </c>
      <c r="AP27" s="169">
        <v>28.5</v>
      </c>
      <c r="AQ27" s="169">
        <v>94</v>
      </c>
      <c r="AR27" s="169">
        <v>1375350</v>
      </c>
      <c r="AS27" s="169">
        <v>118</v>
      </c>
    </row>
    <row r="28" spans="1:45" x14ac:dyDescent="0.25">
      <c r="A28" s="169" t="s">
        <v>174</v>
      </c>
      <c r="B28">
        <v>5</v>
      </c>
      <c r="C28" s="169" t="s">
        <v>428</v>
      </c>
      <c r="D28">
        <v>436973227</v>
      </c>
      <c r="F28" s="169" t="s">
        <v>176</v>
      </c>
      <c r="H28" s="169" t="s">
        <v>172</v>
      </c>
      <c r="I28" s="169"/>
      <c r="K28">
        <v>30</v>
      </c>
      <c r="L28">
        <v>75</v>
      </c>
      <c r="M28">
        <v>147330</v>
      </c>
      <c r="N28">
        <v>27010</v>
      </c>
      <c r="O28">
        <v>58</v>
      </c>
      <c r="P28">
        <v>8</v>
      </c>
      <c r="Q28">
        <v>3</v>
      </c>
      <c r="R28">
        <v>20</v>
      </c>
      <c r="S28">
        <v>8</v>
      </c>
      <c r="T28">
        <v>6</v>
      </c>
      <c r="U28" s="168">
        <v>44821</v>
      </c>
      <c r="V28">
        <v>10</v>
      </c>
      <c r="W28" s="169" t="s">
        <v>147</v>
      </c>
      <c r="X28">
        <v>1</v>
      </c>
      <c r="Y28">
        <v>9</v>
      </c>
      <c r="Z28" t="s">
        <v>242</v>
      </c>
      <c r="AC28" s="181" t="s">
        <v>486</v>
      </c>
      <c r="AD28" s="172"/>
      <c r="AE28" s="169"/>
      <c r="AF28" s="169">
        <v>7</v>
      </c>
      <c r="AG28" s="169">
        <v>7</v>
      </c>
      <c r="AH28" s="169">
        <v>6</v>
      </c>
      <c r="AI28" s="169"/>
      <c r="AJ28" s="169">
        <v>185090</v>
      </c>
      <c r="AK28" s="169">
        <v>186250</v>
      </c>
      <c r="AL28" s="169">
        <v>182480</v>
      </c>
      <c r="AM28" s="169"/>
      <c r="AN28" s="169">
        <v>8.5</v>
      </c>
      <c r="AO28" s="169">
        <v>7</v>
      </c>
      <c r="AP28" s="169">
        <v>5.5</v>
      </c>
      <c r="AQ28" s="169">
        <v>20</v>
      </c>
      <c r="AR28" s="169">
        <v>553820</v>
      </c>
      <c r="AS28" s="169">
        <v>21</v>
      </c>
    </row>
    <row r="29" spans="1:45" x14ac:dyDescent="0.25">
      <c r="A29" s="169" t="s">
        <v>392</v>
      </c>
      <c r="B29">
        <v>13</v>
      </c>
      <c r="C29" s="169" t="s">
        <v>485</v>
      </c>
      <c r="D29">
        <v>464895917</v>
      </c>
      <c r="F29" s="169" t="s">
        <v>171</v>
      </c>
      <c r="H29" s="169" t="s">
        <v>172</v>
      </c>
      <c r="I29" s="169"/>
      <c r="J29" s="169" t="s">
        <v>172</v>
      </c>
      <c r="K29">
        <v>19</v>
      </c>
      <c r="L29">
        <v>4</v>
      </c>
      <c r="M29">
        <v>13550</v>
      </c>
      <c r="N29">
        <v>5532</v>
      </c>
      <c r="O29">
        <v>1</v>
      </c>
      <c r="P29">
        <v>2</v>
      </c>
      <c r="Q29">
        <v>3</v>
      </c>
      <c r="R29">
        <v>3</v>
      </c>
      <c r="S29">
        <v>6</v>
      </c>
      <c r="T29">
        <v>7</v>
      </c>
      <c r="U29" s="168">
        <v>44783</v>
      </c>
      <c r="V29">
        <v>1.5</v>
      </c>
      <c r="W29" s="169" t="s">
        <v>148</v>
      </c>
      <c r="Y29">
        <v>2</v>
      </c>
      <c r="AC29" s="181" t="s">
        <v>432</v>
      </c>
      <c r="AD29" s="172" t="s">
        <v>183</v>
      </c>
      <c r="AE29" s="169">
        <v>6</v>
      </c>
      <c r="AF29" s="169">
        <v>5</v>
      </c>
      <c r="AG29" s="169">
        <v>6</v>
      </c>
      <c r="AH29" s="169">
        <v>6</v>
      </c>
      <c r="AI29" s="169">
        <v>113230</v>
      </c>
      <c r="AJ29" s="169">
        <v>103470</v>
      </c>
      <c r="AK29" s="169">
        <v>108870</v>
      </c>
      <c r="AL29" s="169">
        <v>110550</v>
      </c>
      <c r="AM29" s="169">
        <v>9</v>
      </c>
      <c r="AN29" s="169">
        <v>7</v>
      </c>
      <c r="AO29" s="169">
        <v>9</v>
      </c>
      <c r="AP29" s="169">
        <v>7</v>
      </c>
      <c r="AQ29" s="169">
        <v>23</v>
      </c>
      <c r="AR29" s="169">
        <v>436120</v>
      </c>
      <c r="AS29" s="169">
        <v>32</v>
      </c>
    </row>
    <row r="30" spans="1:45" x14ac:dyDescent="0.25">
      <c r="A30" s="169" t="s">
        <v>392</v>
      </c>
      <c r="B30">
        <v>13</v>
      </c>
      <c r="C30" s="169" t="s">
        <v>485</v>
      </c>
      <c r="D30">
        <v>464895917</v>
      </c>
      <c r="F30" s="169" t="s">
        <v>171</v>
      </c>
      <c r="H30" s="169" t="s">
        <v>172</v>
      </c>
      <c r="I30" s="169">
        <v>1</v>
      </c>
      <c r="J30" s="169" t="s">
        <v>172</v>
      </c>
      <c r="K30">
        <v>19</v>
      </c>
      <c r="L30">
        <v>36</v>
      </c>
      <c r="M30">
        <v>13630</v>
      </c>
      <c r="N30">
        <v>5532</v>
      </c>
      <c r="O30">
        <v>5</v>
      </c>
      <c r="P30">
        <v>2</v>
      </c>
      <c r="Q30">
        <v>3</v>
      </c>
      <c r="R30">
        <v>7</v>
      </c>
      <c r="S30">
        <v>6</v>
      </c>
      <c r="T30">
        <v>7</v>
      </c>
      <c r="U30" s="168">
        <v>44811</v>
      </c>
      <c r="V30">
        <v>2.5</v>
      </c>
      <c r="W30" s="169" t="s">
        <v>173</v>
      </c>
      <c r="Y30">
        <v>8</v>
      </c>
      <c r="AC30" s="181" t="s">
        <v>430</v>
      </c>
      <c r="AD30" s="172" t="s">
        <v>176</v>
      </c>
      <c r="AE30" s="169">
        <v>6</v>
      </c>
      <c r="AF30" s="169">
        <v>6</v>
      </c>
      <c r="AG30" s="169">
        <v>6</v>
      </c>
      <c r="AH30" s="169">
        <v>6</v>
      </c>
      <c r="AI30" s="169">
        <v>71160</v>
      </c>
      <c r="AJ30" s="169">
        <v>69480</v>
      </c>
      <c r="AK30" s="169">
        <v>68320</v>
      </c>
      <c r="AL30" s="169">
        <v>66270</v>
      </c>
      <c r="AM30" s="169">
        <v>8.5</v>
      </c>
      <c r="AN30" s="169">
        <v>8</v>
      </c>
      <c r="AO30" s="169">
        <v>7.5</v>
      </c>
      <c r="AP30" s="169">
        <v>8</v>
      </c>
      <c r="AQ30" s="169">
        <v>24</v>
      </c>
      <c r="AR30" s="169">
        <v>275230</v>
      </c>
      <c r="AS30" s="169">
        <v>32</v>
      </c>
    </row>
    <row r="31" spans="1:45" x14ac:dyDescent="0.25">
      <c r="A31" s="169" t="s">
        <v>392</v>
      </c>
      <c r="B31">
        <v>13</v>
      </c>
      <c r="C31" s="169" t="s">
        <v>485</v>
      </c>
      <c r="D31">
        <v>464895917</v>
      </c>
      <c r="F31" s="169" t="s">
        <v>171</v>
      </c>
      <c r="H31" s="169" t="s">
        <v>172</v>
      </c>
      <c r="I31" s="169">
        <v>1</v>
      </c>
      <c r="K31">
        <v>19</v>
      </c>
      <c r="L31">
        <v>45</v>
      </c>
      <c r="M31">
        <v>13600</v>
      </c>
      <c r="N31">
        <v>5532</v>
      </c>
      <c r="O31">
        <v>7</v>
      </c>
      <c r="P31">
        <v>2</v>
      </c>
      <c r="Q31">
        <v>3</v>
      </c>
      <c r="R31">
        <v>8</v>
      </c>
      <c r="S31">
        <v>6</v>
      </c>
      <c r="T31">
        <v>7</v>
      </c>
      <c r="U31" s="168">
        <v>44825</v>
      </c>
      <c r="V31">
        <v>3</v>
      </c>
      <c r="W31" s="169" t="s">
        <v>147</v>
      </c>
      <c r="Y31">
        <v>9</v>
      </c>
      <c r="AC31" s="181" t="s">
        <v>436</v>
      </c>
      <c r="AD31" s="172"/>
      <c r="AE31" s="169">
        <v>6</v>
      </c>
      <c r="AF31" s="169">
        <v>6</v>
      </c>
      <c r="AG31" s="169">
        <v>7</v>
      </c>
      <c r="AH31" s="169">
        <v>8</v>
      </c>
      <c r="AI31" s="169">
        <v>36850</v>
      </c>
      <c r="AJ31" s="169">
        <v>36240</v>
      </c>
      <c r="AK31" s="169">
        <v>18440</v>
      </c>
      <c r="AL31" s="169">
        <v>18650</v>
      </c>
      <c r="AM31" s="169">
        <v>9</v>
      </c>
      <c r="AN31" s="169">
        <v>7</v>
      </c>
      <c r="AO31" s="169">
        <v>9</v>
      </c>
      <c r="AP31" s="169">
        <v>8</v>
      </c>
      <c r="AQ31" s="169">
        <v>27</v>
      </c>
      <c r="AR31" s="169">
        <v>110180</v>
      </c>
      <c r="AS31" s="169">
        <v>33</v>
      </c>
    </row>
    <row r="32" spans="1:45" x14ac:dyDescent="0.25">
      <c r="A32" s="169" t="s">
        <v>186</v>
      </c>
      <c r="B32">
        <v>3</v>
      </c>
      <c r="C32" s="169" t="s">
        <v>426</v>
      </c>
      <c r="D32">
        <v>429737286</v>
      </c>
      <c r="F32" s="169" t="s">
        <v>172</v>
      </c>
      <c r="H32" s="169" t="s">
        <v>172</v>
      </c>
      <c r="I32" s="169" t="s">
        <v>172</v>
      </c>
      <c r="K32">
        <v>33</v>
      </c>
      <c r="L32">
        <v>105</v>
      </c>
      <c r="M32">
        <v>17880</v>
      </c>
      <c r="N32">
        <v>7416</v>
      </c>
      <c r="O32">
        <v>110</v>
      </c>
      <c r="P32">
        <v>9</v>
      </c>
      <c r="Q32">
        <v>6</v>
      </c>
      <c r="R32">
        <v>20</v>
      </c>
      <c r="S32">
        <v>5</v>
      </c>
      <c r="T32">
        <v>6</v>
      </c>
      <c r="U32" s="168">
        <v>44772</v>
      </c>
      <c r="V32">
        <v>7</v>
      </c>
      <c r="W32" s="169" t="s">
        <v>207</v>
      </c>
      <c r="Y32">
        <v>1</v>
      </c>
      <c r="AC32" s="172" t="s">
        <v>459</v>
      </c>
      <c r="AE32" s="169">
        <v>7</v>
      </c>
      <c r="AF32" s="169">
        <v>6</v>
      </c>
      <c r="AG32" s="169">
        <v>7</v>
      </c>
      <c r="AH32" s="169">
        <v>7</v>
      </c>
      <c r="AI32" s="169">
        <v>40660</v>
      </c>
      <c r="AJ32" s="169">
        <v>39540</v>
      </c>
      <c r="AK32" s="169">
        <v>40320</v>
      </c>
      <c r="AL32" s="169">
        <v>41430</v>
      </c>
      <c r="AM32" s="169">
        <v>8.5</v>
      </c>
      <c r="AN32" s="169">
        <v>8</v>
      </c>
      <c r="AO32" s="169">
        <v>8.5</v>
      </c>
      <c r="AP32" s="169">
        <v>5.5</v>
      </c>
      <c r="AQ32" s="169">
        <v>27</v>
      </c>
      <c r="AR32" s="169">
        <v>161950</v>
      </c>
      <c r="AS32" s="169">
        <v>30.5</v>
      </c>
    </row>
    <row r="33" spans="1:45" x14ac:dyDescent="0.25">
      <c r="A33" s="169" t="s">
        <v>186</v>
      </c>
      <c r="B33">
        <v>3</v>
      </c>
      <c r="C33" s="169" t="s">
        <v>426</v>
      </c>
      <c r="D33">
        <v>429737286</v>
      </c>
      <c r="F33" s="169" t="s">
        <v>172</v>
      </c>
      <c r="H33" s="169" t="s">
        <v>172</v>
      </c>
      <c r="I33" s="169"/>
      <c r="J33" s="169" t="s">
        <v>172</v>
      </c>
      <c r="K33">
        <v>34</v>
      </c>
      <c r="L33">
        <v>3</v>
      </c>
      <c r="M33">
        <v>9330</v>
      </c>
      <c r="N33">
        <v>5508</v>
      </c>
      <c r="O33">
        <v>111</v>
      </c>
      <c r="P33">
        <v>9</v>
      </c>
      <c r="Q33">
        <v>6</v>
      </c>
      <c r="R33">
        <v>20</v>
      </c>
      <c r="S33">
        <v>6</v>
      </c>
      <c r="T33">
        <v>6</v>
      </c>
      <c r="U33" s="168">
        <v>44783</v>
      </c>
      <c r="V33">
        <v>6.5</v>
      </c>
      <c r="W33" s="169" t="s">
        <v>177</v>
      </c>
      <c r="Y33">
        <v>2</v>
      </c>
      <c r="AC33" s="181" t="s">
        <v>433</v>
      </c>
      <c r="AD33" s="172"/>
      <c r="AE33" s="169">
        <v>7</v>
      </c>
      <c r="AF33" s="169">
        <v>6</v>
      </c>
      <c r="AG33" s="169">
        <v>7</v>
      </c>
      <c r="AH33" s="169">
        <v>7</v>
      </c>
      <c r="AI33" s="169">
        <v>40660</v>
      </c>
      <c r="AJ33" s="169">
        <v>39540</v>
      </c>
      <c r="AK33" s="169">
        <v>40320</v>
      </c>
      <c r="AL33" s="169">
        <v>41430</v>
      </c>
      <c r="AM33" s="169">
        <v>8.5</v>
      </c>
      <c r="AN33" s="169">
        <v>8</v>
      </c>
      <c r="AO33" s="169">
        <v>8.5</v>
      </c>
      <c r="AP33" s="169">
        <v>5.5</v>
      </c>
      <c r="AQ33" s="169">
        <v>27</v>
      </c>
      <c r="AR33" s="169">
        <v>161950</v>
      </c>
      <c r="AS33" s="169">
        <v>30.5</v>
      </c>
    </row>
    <row r="34" spans="1:45" x14ac:dyDescent="0.25">
      <c r="A34" s="169" t="s">
        <v>174</v>
      </c>
      <c r="B34">
        <v>4</v>
      </c>
      <c r="C34" s="169" t="s">
        <v>427</v>
      </c>
      <c r="D34">
        <v>435346337</v>
      </c>
      <c r="F34" s="169" t="s">
        <v>171</v>
      </c>
      <c r="H34" s="169" t="s">
        <v>172</v>
      </c>
      <c r="I34" s="169" t="s">
        <v>172</v>
      </c>
      <c r="K34">
        <v>31</v>
      </c>
      <c r="L34">
        <v>29</v>
      </c>
      <c r="M34">
        <v>76330</v>
      </c>
      <c r="N34">
        <v>18060</v>
      </c>
      <c r="O34">
        <v>21</v>
      </c>
      <c r="P34">
        <v>9</v>
      </c>
      <c r="Q34">
        <v>4</v>
      </c>
      <c r="R34">
        <v>13</v>
      </c>
      <c r="S34">
        <v>4</v>
      </c>
      <c r="T34">
        <v>6</v>
      </c>
      <c r="U34" s="168">
        <v>44769</v>
      </c>
      <c r="V34">
        <v>5.5</v>
      </c>
      <c r="W34" s="169" t="s">
        <v>181</v>
      </c>
      <c r="X34">
        <v>1</v>
      </c>
      <c r="Y34">
        <v>1</v>
      </c>
      <c r="Z34" t="s">
        <v>242</v>
      </c>
      <c r="AC34" s="172" t="s">
        <v>242</v>
      </c>
      <c r="AE34" s="169">
        <v>27</v>
      </c>
      <c r="AF34" s="169">
        <v>34</v>
      </c>
      <c r="AG34" s="169">
        <v>36</v>
      </c>
      <c r="AH34" s="169">
        <v>35</v>
      </c>
      <c r="AI34" s="169">
        <v>547570</v>
      </c>
      <c r="AJ34" s="169">
        <v>726180</v>
      </c>
      <c r="AK34" s="169">
        <v>761650</v>
      </c>
      <c r="AL34" s="169">
        <v>734270</v>
      </c>
      <c r="AM34" s="169">
        <v>37.5</v>
      </c>
      <c r="AN34" s="169">
        <v>49.5</v>
      </c>
      <c r="AO34" s="169">
        <v>48</v>
      </c>
      <c r="AP34" s="169">
        <v>48</v>
      </c>
      <c r="AQ34" s="169">
        <v>132</v>
      </c>
      <c r="AR34" s="169">
        <v>2769670</v>
      </c>
      <c r="AS34" s="169">
        <v>183</v>
      </c>
    </row>
    <row r="35" spans="1:45" x14ac:dyDescent="0.25">
      <c r="A35" s="169" t="s">
        <v>174</v>
      </c>
      <c r="B35">
        <v>4</v>
      </c>
      <c r="C35" s="169" t="s">
        <v>427</v>
      </c>
      <c r="D35">
        <v>435346337</v>
      </c>
      <c r="F35" s="169" t="s">
        <v>171</v>
      </c>
      <c r="H35" s="169" t="s">
        <v>172</v>
      </c>
      <c r="I35" s="169"/>
      <c r="J35" s="169" t="s">
        <v>172</v>
      </c>
      <c r="K35">
        <v>31</v>
      </c>
      <c r="L35">
        <v>39</v>
      </c>
      <c r="M35">
        <v>86110</v>
      </c>
      <c r="N35">
        <v>18060</v>
      </c>
      <c r="O35">
        <v>23</v>
      </c>
      <c r="P35">
        <v>9</v>
      </c>
      <c r="Q35">
        <v>4</v>
      </c>
      <c r="R35">
        <v>14</v>
      </c>
      <c r="S35">
        <v>5</v>
      </c>
      <c r="T35">
        <v>6</v>
      </c>
      <c r="U35" s="168">
        <v>44783</v>
      </c>
      <c r="V35">
        <v>7.5</v>
      </c>
      <c r="W35" s="169" t="s">
        <v>147</v>
      </c>
      <c r="X35">
        <v>1</v>
      </c>
      <c r="Y35">
        <v>2</v>
      </c>
      <c r="Z35" t="s">
        <v>242</v>
      </c>
      <c r="AC35" s="181" t="s">
        <v>438</v>
      </c>
      <c r="AD35" s="172"/>
      <c r="AE35" s="169">
        <v>4</v>
      </c>
      <c r="AF35" s="169">
        <v>4</v>
      </c>
      <c r="AG35" s="169">
        <v>5</v>
      </c>
      <c r="AH35" s="169">
        <v>4</v>
      </c>
      <c r="AI35" s="169">
        <v>181400</v>
      </c>
      <c r="AJ35" s="169">
        <v>170200</v>
      </c>
      <c r="AK35" s="169">
        <v>193750</v>
      </c>
      <c r="AL35" s="169">
        <v>173500</v>
      </c>
      <c r="AM35" s="169">
        <v>7.5</v>
      </c>
      <c r="AN35" s="169">
        <v>7</v>
      </c>
      <c r="AO35" s="169">
        <v>5</v>
      </c>
      <c r="AP35" s="169">
        <v>6</v>
      </c>
      <c r="AQ35" s="169">
        <v>17</v>
      </c>
      <c r="AR35" s="169">
        <v>718850</v>
      </c>
      <c r="AS35" s="169">
        <v>25.5</v>
      </c>
    </row>
    <row r="36" spans="1:45" x14ac:dyDescent="0.25">
      <c r="A36" s="169" t="s">
        <v>174</v>
      </c>
      <c r="B36">
        <v>4</v>
      </c>
      <c r="C36" s="169" t="s">
        <v>427</v>
      </c>
      <c r="D36">
        <v>435346337</v>
      </c>
      <c r="F36" s="169" t="s">
        <v>171</v>
      </c>
      <c r="H36" s="169" t="s">
        <v>172</v>
      </c>
      <c r="I36" s="169"/>
      <c r="J36" s="169" t="s">
        <v>172</v>
      </c>
      <c r="K36">
        <v>31</v>
      </c>
      <c r="L36">
        <v>71</v>
      </c>
      <c r="M36">
        <v>91850</v>
      </c>
      <c r="N36">
        <v>18060</v>
      </c>
      <c r="O36">
        <v>27</v>
      </c>
      <c r="P36">
        <v>10</v>
      </c>
      <c r="Q36">
        <v>4</v>
      </c>
      <c r="R36">
        <v>15</v>
      </c>
      <c r="S36">
        <v>6</v>
      </c>
      <c r="T36">
        <v>6</v>
      </c>
      <c r="U36" s="168">
        <v>44811</v>
      </c>
      <c r="V36">
        <v>7.5</v>
      </c>
      <c r="W36" s="169" t="s">
        <v>146</v>
      </c>
      <c r="X36">
        <v>1</v>
      </c>
      <c r="Y36">
        <v>8</v>
      </c>
      <c r="Z36" t="s">
        <v>242</v>
      </c>
      <c r="AC36" s="181" t="s">
        <v>434</v>
      </c>
      <c r="AD36" s="172"/>
      <c r="AE36" s="169">
        <v>7</v>
      </c>
      <c r="AF36" s="169">
        <v>6</v>
      </c>
      <c r="AG36" s="169">
        <v>7</v>
      </c>
      <c r="AH36" s="169">
        <v>6</v>
      </c>
      <c r="AI36" s="169">
        <v>110200</v>
      </c>
      <c r="AJ36" s="169">
        <v>99580</v>
      </c>
      <c r="AK36" s="169">
        <v>110010</v>
      </c>
      <c r="AL36" s="169">
        <v>106340</v>
      </c>
      <c r="AM36" s="169">
        <v>7.5</v>
      </c>
      <c r="AN36" s="169">
        <v>8.5</v>
      </c>
      <c r="AO36" s="169">
        <v>9</v>
      </c>
      <c r="AP36" s="169">
        <v>8.5</v>
      </c>
      <c r="AQ36" s="169">
        <v>26</v>
      </c>
      <c r="AR36" s="169">
        <v>426130</v>
      </c>
      <c r="AS36" s="169">
        <v>33.5</v>
      </c>
    </row>
    <row r="37" spans="1:45" x14ac:dyDescent="0.25">
      <c r="A37" s="169" t="s">
        <v>174</v>
      </c>
      <c r="B37">
        <v>4</v>
      </c>
      <c r="C37" s="169" t="s">
        <v>427</v>
      </c>
      <c r="D37">
        <v>435346337</v>
      </c>
      <c r="F37" s="169" t="s">
        <v>171</v>
      </c>
      <c r="H37" s="169" t="s">
        <v>172</v>
      </c>
      <c r="I37" s="169"/>
      <c r="K37">
        <v>31</v>
      </c>
      <c r="L37">
        <v>80</v>
      </c>
      <c r="M37">
        <v>93890</v>
      </c>
      <c r="N37">
        <v>18060</v>
      </c>
      <c r="O37">
        <v>29</v>
      </c>
      <c r="P37">
        <v>10</v>
      </c>
      <c r="Q37">
        <v>4</v>
      </c>
      <c r="R37">
        <v>15</v>
      </c>
      <c r="S37">
        <v>6</v>
      </c>
      <c r="T37">
        <v>6</v>
      </c>
      <c r="U37" s="168">
        <v>44825</v>
      </c>
      <c r="V37">
        <v>8.5</v>
      </c>
      <c r="W37" s="169" t="s">
        <v>147</v>
      </c>
      <c r="X37">
        <v>1</v>
      </c>
      <c r="Y37">
        <v>9</v>
      </c>
      <c r="Z37" t="s">
        <v>242</v>
      </c>
      <c r="AC37" s="181" t="s">
        <v>428</v>
      </c>
      <c r="AD37" s="172" t="s">
        <v>176</v>
      </c>
      <c r="AE37" s="169">
        <v>6</v>
      </c>
      <c r="AF37" s="169">
        <v>6</v>
      </c>
      <c r="AG37" s="169">
        <v>7</v>
      </c>
      <c r="AH37" s="169">
        <v>8</v>
      </c>
      <c r="AI37" s="169">
        <v>130010</v>
      </c>
      <c r="AJ37" s="169">
        <v>122820</v>
      </c>
      <c r="AK37" s="169">
        <v>145560</v>
      </c>
      <c r="AL37" s="169">
        <v>147330</v>
      </c>
      <c r="AM37" s="169">
        <v>7.5</v>
      </c>
      <c r="AN37" s="169">
        <v>8</v>
      </c>
      <c r="AO37" s="169">
        <v>10</v>
      </c>
      <c r="AP37" s="169">
        <v>10</v>
      </c>
      <c r="AQ37" s="169">
        <v>27</v>
      </c>
      <c r="AR37" s="169">
        <v>545720</v>
      </c>
      <c r="AS37" s="169">
        <v>35.5</v>
      </c>
    </row>
    <row r="38" spans="1:45" x14ac:dyDescent="0.25">
      <c r="A38" s="169" t="s">
        <v>174</v>
      </c>
      <c r="B38">
        <v>15</v>
      </c>
      <c r="C38" s="169" t="s">
        <v>435</v>
      </c>
      <c r="D38">
        <v>429023091</v>
      </c>
      <c r="F38" s="169" t="s">
        <v>183</v>
      </c>
      <c r="H38" s="169" t="s">
        <v>172</v>
      </c>
      <c r="I38" s="169" t="s">
        <v>172</v>
      </c>
      <c r="K38">
        <v>33</v>
      </c>
      <c r="L38">
        <v>46</v>
      </c>
      <c r="M38">
        <v>49630</v>
      </c>
      <c r="N38">
        <v>14700</v>
      </c>
      <c r="O38">
        <v>52</v>
      </c>
      <c r="P38">
        <v>13</v>
      </c>
      <c r="Q38">
        <v>4</v>
      </c>
      <c r="R38">
        <v>20</v>
      </c>
      <c r="S38">
        <v>6</v>
      </c>
      <c r="T38">
        <v>6</v>
      </c>
      <c r="U38" s="168">
        <v>44772</v>
      </c>
      <c r="V38">
        <v>9.5</v>
      </c>
      <c r="W38" s="169" t="s">
        <v>147</v>
      </c>
      <c r="X38">
        <v>1</v>
      </c>
      <c r="Y38">
        <v>1</v>
      </c>
      <c r="Z38" t="s">
        <v>242</v>
      </c>
      <c r="AC38" s="181" t="s">
        <v>427</v>
      </c>
      <c r="AD38" s="172" t="s">
        <v>171</v>
      </c>
      <c r="AE38" s="169">
        <v>4</v>
      </c>
      <c r="AF38" s="169">
        <v>5</v>
      </c>
      <c r="AG38" s="169">
        <v>6</v>
      </c>
      <c r="AH38" s="169">
        <v>6</v>
      </c>
      <c r="AI38" s="169">
        <v>76330</v>
      </c>
      <c r="AJ38" s="169">
        <v>86110</v>
      </c>
      <c r="AK38" s="169">
        <v>91850</v>
      </c>
      <c r="AL38" s="169">
        <v>93890</v>
      </c>
      <c r="AM38" s="169">
        <v>5.5</v>
      </c>
      <c r="AN38" s="169">
        <v>7.5</v>
      </c>
      <c r="AO38" s="169">
        <v>7.5</v>
      </c>
      <c r="AP38" s="169">
        <v>8.5</v>
      </c>
      <c r="AQ38" s="169">
        <v>21</v>
      </c>
      <c r="AR38" s="169">
        <v>348180</v>
      </c>
      <c r="AS38" s="169">
        <v>29</v>
      </c>
    </row>
    <row r="39" spans="1:45" x14ac:dyDescent="0.25">
      <c r="A39" s="169" t="s">
        <v>174</v>
      </c>
      <c r="B39">
        <v>15</v>
      </c>
      <c r="C39" s="169" t="s">
        <v>435</v>
      </c>
      <c r="D39">
        <v>429023091</v>
      </c>
      <c r="F39" s="169" t="s">
        <v>183</v>
      </c>
      <c r="H39" s="169" t="s">
        <v>172</v>
      </c>
      <c r="I39" s="169"/>
      <c r="J39" s="169" t="s">
        <v>172</v>
      </c>
      <c r="K39">
        <v>33</v>
      </c>
      <c r="L39">
        <v>56</v>
      </c>
      <c r="M39">
        <v>45830</v>
      </c>
      <c r="N39">
        <v>14700</v>
      </c>
      <c r="O39">
        <v>53</v>
      </c>
      <c r="P39">
        <v>13</v>
      </c>
      <c r="Q39">
        <v>4</v>
      </c>
      <c r="R39">
        <v>20</v>
      </c>
      <c r="S39">
        <v>6</v>
      </c>
      <c r="T39">
        <v>6</v>
      </c>
      <c r="U39" s="168">
        <v>44783</v>
      </c>
      <c r="V39">
        <v>9</v>
      </c>
      <c r="W39" s="169" t="s">
        <v>147</v>
      </c>
      <c r="X39">
        <v>1</v>
      </c>
      <c r="Y39">
        <v>2</v>
      </c>
      <c r="Z39" t="s">
        <v>242</v>
      </c>
      <c r="AC39" s="181" t="s">
        <v>435</v>
      </c>
      <c r="AD39" s="172" t="s">
        <v>183</v>
      </c>
      <c r="AE39" s="169">
        <v>6</v>
      </c>
      <c r="AF39" s="169">
        <v>6</v>
      </c>
      <c r="AG39" s="169">
        <v>6</v>
      </c>
      <c r="AH39" s="169">
        <v>6</v>
      </c>
      <c r="AI39" s="169">
        <v>49630</v>
      </c>
      <c r="AJ39" s="169">
        <v>45830</v>
      </c>
      <c r="AK39" s="169">
        <v>45420</v>
      </c>
      <c r="AL39" s="169">
        <v>45660</v>
      </c>
      <c r="AM39" s="169">
        <v>9.5</v>
      </c>
      <c r="AN39" s="169">
        <v>9</v>
      </c>
      <c r="AO39" s="169">
        <v>8.5</v>
      </c>
      <c r="AP39" s="169">
        <v>7.5</v>
      </c>
      <c r="AQ39" s="169">
        <v>24</v>
      </c>
      <c r="AR39" s="169">
        <v>186540</v>
      </c>
      <c r="AS39" s="169">
        <v>34.5</v>
      </c>
    </row>
    <row r="40" spans="1:45" x14ac:dyDescent="0.25">
      <c r="A40" s="169" t="s">
        <v>174</v>
      </c>
      <c r="B40">
        <v>15</v>
      </c>
      <c r="C40" s="169" t="s">
        <v>435</v>
      </c>
      <c r="D40">
        <v>429023091</v>
      </c>
      <c r="F40" s="169" t="s">
        <v>183</v>
      </c>
      <c r="H40" s="169" t="s">
        <v>172</v>
      </c>
      <c r="I40" s="169"/>
      <c r="J40" s="169" t="s">
        <v>172</v>
      </c>
      <c r="K40">
        <v>33</v>
      </c>
      <c r="L40">
        <v>88</v>
      </c>
      <c r="M40">
        <v>45420</v>
      </c>
      <c r="N40">
        <v>14700</v>
      </c>
      <c r="O40">
        <v>58</v>
      </c>
      <c r="P40">
        <v>13</v>
      </c>
      <c r="Q40">
        <v>4</v>
      </c>
      <c r="R40">
        <v>20</v>
      </c>
      <c r="S40">
        <v>6</v>
      </c>
      <c r="T40">
        <v>6</v>
      </c>
      <c r="U40" s="168">
        <v>44814</v>
      </c>
      <c r="V40">
        <v>8.5</v>
      </c>
      <c r="W40" s="169" t="s">
        <v>147</v>
      </c>
      <c r="X40">
        <v>1</v>
      </c>
      <c r="Y40">
        <v>8</v>
      </c>
      <c r="Z40" t="s">
        <v>242</v>
      </c>
      <c r="AC40" s="181" t="s">
        <v>429</v>
      </c>
      <c r="AD40" s="172" t="s">
        <v>171</v>
      </c>
      <c r="AE40" s="169"/>
      <c r="AF40" s="169">
        <v>7</v>
      </c>
      <c r="AG40" s="169">
        <v>5</v>
      </c>
      <c r="AH40" s="169">
        <v>5</v>
      </c>
      <c r="AI40" s="169"/>
      <c r="AJ40" s="169">
        <v>201640</v>
      </c>
      <c r="AK40" s="169">
        <v>175060</v>
      </c>
      <c r="AL40" s="169">
        <v>167550</v>
      </c>
      <c r="AM40" s="169"/>
      <c r="AN40" s="169">
        <v>9.5</v>
      </c>
      <c r="AO40" s="169">
        <v>8</v>
      </c>
      <c r="AP40" s="169">
        <v>7.5</v>
      </c>
      <c r="AQ40" s="169">
        <v>17</v>
      </c>
      <c r="AR40" s="169">
        <v>544250</v>
      </c>
      <c r="AS40" s="169">
        <v>25</v>
      </c>
    </row>
    <row r="41" spans="1:45" x14ac:dyDescent="0.25">
      <c r="A41" s="169" t="s">
        <v>174</v>
      </c>
      <c r="B41">
        <v>15</v>
      </c>
      <c r="C41" s="169" t="s">
        <v>435</v>
      </c>
      <c r="D41">
        <v>429023091</v>
      </c>
      <c r="F41" s="169" t="s">
        <v>183</v>
      </c>
      <c r="H41" s="169" t="s">
        <v>172</v>
      </c>
      <c r="I41" s="169"/>
      <c r="J41">
        <v>1</v>
      </c>
      <c r="K41">
        <v>33</v>
      </c>
      <c r="L41">
        <v>97</v>
      </c>
      <c r="M41">
        <v>45660</v>
      </c>
      <c r="N41">
        <v>14700</v>
      </c>
      <c r="O41">
        <v>59</v>
      </c>
      <c r="P41">
        <v>13</v>
      </c>
      <c r="Q41">
        <v>4</v>
      </c>
      <c r="R41">
        <v>20</v>
      </c>
      <c r="S41">
        <v>6</v>
      </c>
      <c r="T41">
        <v>6</v>
      </c>
      <c r="U41" s="168">
        <v>44825</v>
      </c>
      <c r="V41">
        <v>7.5</v>
      </c>
      <c r="W41" s="169" t="s">
        <v>148</v>
      </c>
      <c r="X41">
        <v>1</v>
      </c>
      <c r="Y41">
        <v>9</v>
      </c>
      <c r="Z41" t="s">
        <v>242</v>
      </c>
      <c r="AC41" s="172" t="s">
        <v>244</v>
      </c>
      <c r="AE41" s="169">
        <v>7</v>
      </c>
      <c r="AF41" s="169">
        <v>6</v>
      </c>
      <c r="AG41" s="169">
        <v>8</v>
      </c>
      <c r="AH41" s="169">
        <v>7</v>
      </c>
      <c r="AI41" s="169">
        <v>97110</v>
      </c>
      <c r="AJ41" s="169">
        <v>92130</v>
      </c>
      <c r="AK41" s="169">
        <v>104000</v>
      </c>
      <c r="AL41" s="169">
        <v>98130</v>
      </c>
      <c r="AM41" s="169">
        <v>8.5</v>
      </c>
      <c r="AN41" s="169">
        <v>7</v>
      </c>
      <c r="AO41" s="169">
        <v>8.5</v>
      </c>
      <c r="AP41" s="169">
        <v>8</v>
      </c>
      <c r="AQ41" s="169">
        <v>28</v>
      </c>
      <c r="AR41" s="169">
        <v>391370</v>
      </c>
      <c r="AS41" s="169">
        <v>32</v>
      </c>
    </row>
    <row r="42" spans="1:45" x14ac:dyDescent="0.25">
      <c r="A42" s="169" t="s">
        <v>210</v>
      </c>
      <c r="B42">
        <v>12</v>
      </c>
      <c r="C42" s="169" t="s">
        <v>433</v>
      </c>
      <c r="D42">
        <v>433112817</v>
      </c>
      <c r="F42" s="169" t="s">
        <v>172</v>
      </c>
      <c r="H42" s="169" t="s">
        <v>172</v>
      </c>
      <c r="I42" s="169" t="s">
        <v>172</v>
      </c>
      <c r="K42">
        <v>32</v>
      </c>
      <c r="L42">
        <v>26</v>
      </c>
      <c r="M42">
        <v>40660</v>
      </c>
      <c r="N42">
        <v>13752</v>
      </c>
      <c r="O42">
        <v>54</v>
      </c>
      <c r="P42">
        <v>10</v>
      </c>
      <c r="Q42">
        <v>4</v>
      </c>
      <c r="R42">
        <v>20</v>
      </c>
      <c r="S42">
        <v>7</v>
      </c>
      <c r="T42">
        <v>6</v>
      </c>
      <c r="U42" s="168">
        <v>44772</v>
      </c>
      <c r="V42">
        <v>8.5</v>
      </c>
      <c r="W42" s="169" t="s">
        <v>207</v>
      </c>
      <c r="X42">
        <v>1</v>
      </c>
      <c r="Y42">
        <v>1</v>
      </c>
      <c r="Z42" t="s">
        <v>459</v>
      </c>
      <c r="AC42" s="181" t="s">
        <v>425</v>
      </c>
      <c r="AD42" s="172"/>
      <c r="AE42" s="169">
        <v>7</v>
      </c>
      <c r="AF42" s="169">
        <v>6</v>
      </c>
      <c r="AG42" s="169">
        <v>8</v>
      </c>
      <c r="AH42" s="169">
        <v>7</v>
      </c>
      <c r="AI42" s="169">
        <v>97110</v>
      </c>
      <c r="AJ42" s="169">
        <v>92130</v>
      </c>
      <c r="AK42" s="169">
        <v>104000</v>
      </c>
      <c r="AL42" s="169">
        <v>98130</v>
      </c>
      <c r="AM42" s="169">
        <v>8.5</v>
      </c>
      <c r="AN42" s="169">
        <v>7</v>
      </c>
      <c r="AO42" s="169">
        <v>8.5</v>
      </c>
      <c r="AP42" s="169">
        <v>8</v>
      </c>
      <c r="AQ42" s="169">
        <v>28</v>
      </c>
      <c r="AR42" s="169">
        <v>391370</v>
      </c>
      <c r="AS42" s="169">
        <v>32</v>
      </c>
    </row>
    <row r="43" spans="1:45" x14ac:dyDescent="0.25">
      <c r="A43" s="169" t="s">
        <v>210</v>
      </c>
      <c r="B43">
        <v>12</v>
      </c>
      <c r="C43" s="169" t="s">
        <v>433</v>
      </c>
      <c r="D43">
        <v>433112817</v>
      </c>
      <c r="F43" s="169" t="s">
        <v>172</v>
      </c>
      <c r="H43" s="169" t="s">
        <v>172</v>
      </c>
      <c r="I43" s="169"/>
      <c r="J43" s="169" t="s">
        <v>172</v>
      </c>
      <c r="K43">
        <v>32</v>
      </c>
      <c r="L43">
        <v>36</v>
      </c>
      <c r="M43">
        <v>39540</v>
      </c>
      <c r="N43">
        <v>13752</v>
      </c>
      <c r="O43">
        <v>56</v>
      </c>
      <c r="P43">
        <v>10</v>
      </c>
      <c r="Q43">
        <v>4</v>
      </c>
      <c r="R43">
        <v>20</v>
      </c>
      <c r="S43">
        <v>6</v>
      </c>
      <c r="T43">
        <v>6</v>
      </c>
      <c r="U43" s="168">
        <v>44783</v>
      </c>
      <c r="V43">
        <v>8</v>
      </c>
      <c r="W43" s="169" t="s">
        <v>201</v>
      </c>
      <c r="X43">
        <v>1</v>
      </c>
      <c r="Y43">
        <v>2</v>
      </c>
      <c r="Z43" t="s">
        <v>459</v>
      </c>
      <c r="AC43" s="172" t="s">
        <v>173</v>
      </c>
      <c r="AE43" s="169"/>
      <c r="AF43" s="169">
        <v>6</v>
      </c>
      <c r="AG43" s="169">
        <v>7</v>
      </c>
      <c r="AH43" s="169">
        <v>7</v>
      </c>
      <c r="AI43" s="169"/>
      <c r="AJ43" s="169">
        <v>32190</v>
      </c>
      <c r="AK43" s="169">
        <v>39150</v>
      </c>
      <c r="AL43" s="169">
        <v>39170</v>
      </c>
      <c r="AM43" s="169"/>
      <c r="AN43" s="169">
        <v>7.5</v>
      </c>
      <c r="AO43" s="169">
        <v>8</v>
      </c>
      <c r="AP43" s="169">
        <v>8.5</v>
      </c>
      <c r="AQ43" s="169">
        <v>20</v>
      </c>
      <c r="AR43" s="169">
        <v>110510</v>
      </c>
      <c r="AS43" s="169">
        <v>24</v>
      </c>
    </row>
    <row r="44" spans="1:45" x14ac:dyDescent="0.25">
      <c r="A44" s="169" t="s">
        <v>210</v>
      </c>
      <c r="B44">
        <v>12</v>
      </c>
      <c r="C44" s="169" t="s">
        <v>433</v>
      </c>
      <c r="D44">
        <v>433112817</v>
      </c>
      <c r="F44" s="169" t="s">
        <v>172</v>
      </c>
      <c r="H44" s="169" t="s">
        <v>172</v>
      </c>
      <c r="I44" s="169"/>
      <c r="J44" s="169" t="s">
        <v>172</v>
      </c>
      <c r="K44">
        <v>32</v>
      </c>
      <c r="L44">
        <v>68</v>
      </c>
      <c r="M44">
        <v>40320</v>
      </c>
      <c r="N44">
        <v>13752</v>
      </c>
      <c r="O44">
        <v>60</v>
      </c>
      <c r="P44">
        <v>11</v>
      </c>
      <c r="Q44">
        <v>4</v>
      </c>
      <c r="R44">
        <v>20</v>
      </c>
      <c r="S44">
        <v>7</v>
      </c>
      <c r="T44">
        <v>6</v>
      </c>
      <c r="U44" s="168">
        <v>44814</v>
      </c>
      <c r="V44">
        <v>8.5</v>
      </c>
      <c r="W44" s="169" t="s">
        <v>177</v>
      </c>
      <c r="X44">
        <v>1</v>
      </c>
      <c r="Y44">
        <v>8</v>
      </c>
      <c r="Z44" t="s">
        <v>459</v>
      </c>
      <c r="AC44" s="181" t="s">
        <v>484</v>
      </c>
      <c r="AD44" s="172"/>
      <c r="AE44" s="169"/>
      <c r="AF44" s="169">
        <v>6</v>
      </c>
      <c r="AG44" s="169">
        <v>7</v>
      </c>
      <c r="AH44" s="169">
        <v>7</v>
      </c>
      <c r="AI44" s="169"/>
      <c r="AJ44" s="169">
        <v>32190</v>
      </c>
      <c r="AK44" s="169">
        <v>39150</v>
      </c>
      <c r="AL44" s="169">
        <v>39170</v>
      </c>
      <c r="AM44" s="169"/>
      <c r="AN44" s="169">
        <v>7.5</v>
      </c>
      <c r="AO44" s="169">
        <v>8</v>
      </c>
      <c r="AP44" s="169">
        <v>8.5</v>
      </c>
      <c r="AQ44" s="169">
        <v>20</v>
      </c>
      <c r="AR44" s="169">
        <v>110510</v>
      </c>
      <c r="AS44" s="169">
        <v>24</v>
      </c>
    </row>
    <row r="45" spans="1:45" x14ac:dyDescent="0.25">
      <c r="A45" s="169" t="s">
        <v>210</v>
      </c>
      <c r="B45">
        <v>12</v>
      </c>
      <c r="C45" s="169" t="s">
        <v>433</v>
      </c>
      <c r="D45">
        <v>433112817</v>
      </c>
      <c r="F45" s="169" t="s">
        <v>172</v>
      </c>
      <c r="H45" s="169" t="s">
        <v>172</v>
      </c>
      <c r="I45" s="169"/>
      <c r="K45">
        <v>32</v>
      </c>
      <c r="L45">
        <v>77</v>
      </c>
      <c r="M45">
        <v>41430</v>
      </c>
      <c r="N45">
        <v>13752</v>
      </c>
      <c r="O45">
        <v>62</v>
      </c>
      <c r="P45">
        <v>11</v>
      </c>
      <c r="Q45">
        <v>4</v>
      </c>
      <c r="R45">
        <v>20</v>
      </c>
      <c r="S45">
        <v>7</v>
      </c>
      <c r="T45">
        <v>6</v>
      </c>
      <c r="U45" s="168">
        <v>44825</v>
      </c>
      <c r="V45">
        <v>5.5</v>
      </c>
      <c r="W45" s="169" t="s">
        <v>148</v>
      </c>
      <c r="X45">
        <v>1</v>
      </c>
      <c r="Y45">
        <v>9</v>
      </c>
      <c r="Z45" t="s">
        <v>459</v>
      </c>
      <c r="AC45" s="172" t="s">
        <v>229</v>
      </c>
      <c r="AE45" s="169">
        <v>73</v>
      </c>
      <c r="AF45" s="169">
        <v>90</v>
      </c>
      <c r="AG45" s="169">
        <v>103</v>
      </c>
      <c r="AH45" s="169">
        <v>103</v>
      </c>
      <c r="AI45" s="169">
        <v>1735340</v>
      </c>
      <c r="AJ45" s="169">
        <v>2118260</v>
      </c>
      <c r="AK45" s="169">
        <v>2329920</v>
      </c>
      <c r="AL45" s="169">
        <v>2308080</v>
      </c>
      <c r="AM45" s="169">
        <v>104.5</v>
      </c>
      <c r="AN45" s="169">
        <v>127</v>
      </c>
      <c r="AO45" s="169">
        <v>138</v>
      </c>
      <c r="AP45" s="169">
        <v>121</v>
      </c>
      <c r="AQ45" s="169">
        <v>369</v>
      </c>
      <c r="AR45" s="169">
        <v>8491600</v>
      </c>
      <c r="AS45" s="169">
        <v>490.5</v>
      </c>
    </row>
    <row r="46" spans="1:45" x14ac:dyDescent="0.25">
      <c r="A46" s="169" t="s">
        <v>186</v>
      </c>
      <c r="B46">
        <v>8</v>
      </c>
      <c r="C46" s="169" t="s">
        <v>430</v>
      </c>
      <c r="D46">
        <v>432101324</v>
      </c>
      <c r="F46" s="169" t="s">
        <v>176</v>
      </c>
      <c r="H46" s="169" t="s">
        <v>172</v>
      </c>
      <c r="I46" s="169" t="s">
        <v>172</v>
      </c>
      <c r="K46">
        <v>32</v>
      </c>
      <c r="L46">
        <v>38</v>
      </c>
      <c r="M46">
        <v>71160</v>
      </c>
      <c r="N46">
        <v>16740</v>
      </c>
      <c r="O46">
        <v>43</v>
      </c>
      <c r="P46">
        <v>11</v>
      </c>
      <c r="Q46">
        <v>3</v>
      </c>
      <c r="R46">
        <v>19</v>
      </c>
      <c r="S46">
        <v>6</v>
      </c>
      <c r="T46">
        <v>6</v>
      </c>
      <c r="U46" s="168">
        <v>44772</v>
      </c>
      <c r="V46">
        <v>8.5</v>
      </c>
      <c r="W46" s="169" t="s">
        <v>147</v>
      </c>
      <c r="X46">
        <v>1</v>
      </c>
      <c r="Y46">
        <v>1</v>
      </c>
      <c r="Z46" t="s">
        <v>241</v>
      </c>
    </row>
    <row r="47" spans="1:45" x14ac:dyDescent="0.25">
      <c r="A47" s="169" t="s">
        <v>186</v>
      </c>
      <c r="B47">
        <v>8</v>
      </c>
      <c r="C47" s="169" t="s">
        <v>430</v>
      </c>
      <c r="D47">
        <v>432101324</v>
      </c>
      <c r="F47" s="169" t="s">
        <v>176</v>
      </c>
      <c r="H47" s="169" t="s">
        <v>172</v>
      </c>
      <c r="I47" s="169"/>
      <c r="J47" s="169" t="s">
        <v>172</v>
      </c>
      <c r="K47">
        <v>32</v>
      </c>
      <c r="L47">
        <v>48</v>
      </c>
      <c r="M47">
        <v>69480</v>
      </c>
      <c r="N47">
        <v>16740</v>
      </c>
      <c r="O47">
        <v>45</v>
      </c>
      <c r="P47">
        <v>11</v>
      </c>
      <c r="Q47">
        <v>3</v>
      </c>
      <c r="R47">
        <v>19</v>
      </c>
      <c r="S47">
        <v>6</v>
      </c>
      <c r="T47">
        <v>6</v>
      </c>
      <c r="U47" s="168">
        <v>44779</v>
      </c>
      <c r="V47">
        <v>8</v>
      </c>
      <c r="W47" s="169" t="s">
        <v>201</v>
      </c>
      <c r="X47">
        <v>1</v>
      </c>
      <c r="Y47">
        <v>2</v>
      </c>
      <c r="Z47" t="s">
        <v>241</v>
      </c>
    </row>
    <row r="48" spans="1:45" x14ac:dyDescent="0.25">
      <c r="A48" s="169" t="s">
        <v>186</v>
      </c>
      <c r="B48">
        <v>8</v>
      </c>
      <c r="C48" s="169" t="s">
        <v>430</v>
      </c>
      <c r="D48">
        <v>432101324</v>
      </c>
      <c r="F48" s="169" t="s">
        <v>176</v>
      </c>
      <c r="H48" s="169" t="s">
        <v>172</v>
      </c>
      <c r="I48" s="169">
        <v>1</v>
      </c>
      <c r="J48" s="169" t="s">
        <v>172</v>
      </c>
      <c r="K48">
        <v>32</v>
      </c>
      <c r="L48">
        <v>80</v>
      </c>
      <c r="M48">
        <v>68320</v>
      </c>
      <c r="N48">
        <v>16740</v>
      </c>
      <c r="O48">
        <v>49</v>
      </c>
      <c r="P48">
        <v>12</v>
      </c>
      <c r="Q48">
        <v>3</v>
      </c>
      <c r="R48">
        <v>20</v>
      </c>
      <c r="S48">
        <v>6</v>
      </c>
      <c r="T48">
        <v>6</v>
      </c>
      <c r="U48" s="168">
        <v>44814</v>
      </c>
      <c r="V48">
        <v>7.5</v>
      </c>
      <c r="W48" s="169" t="s">
        <v>201</v>
      </c>
      <c r="X48">
        <v>1</v>
      </c>
      <c r="Y48">
        <v>8</v>
      </c>
      <c r="Z48" t="s">
        <v>241</v>
      </c>
    </row>
    <row r="49" spans="1:26" x14ac:dyDescent="0.25">
      <c r="A49" s="169" t="s">
        <v>186</v>
      </c>
      <c r="B49">
        <v>8</v>
      </c>
      <c r="C49" s="169" t="s">
        <v>430</v>
      </c>
      <c r="D49">
        <v>432101324</v>
      </c>
      <c r="F49" s="169" t="s">
        <v>176</v>
      </c>
      <c r="H49" s="169" t="s">
        <v>172</v>
      </c>
      <c r="I49" s="169">
        <v>1</v>
      </c>
      <c r="K49">
        <v>32</v>
      </c>
      <c r="L49">
        <v>89</v>
      </c>
      <c r="M49">
        <v>66270</v>
      </c>
      <c r="N49">
        <v>16740</v>
      </c>
      <c r="O49">
        <v>51</v>
      </c>
      <c r="P49">
        <v>12</v>
      </c>
      <c r="Q49">
        <v>3</v>
      </c>
      <c r="R49">
        <v>20</v>
      </c>
      <c r="S49">
        <v>6</v>
      </c>
      <c r="T49">
        <v>6</v>
      </c>
      <c r="U49" s="168">
        <v>44821</v>
      </c>
      <c r="V49">
        <v>8</v>
      </c>
      <c r="W49" s="169" t="s">
        <v>201</v>
      </c>
      <c r="X49">
        <v>1</v>
      </c>
      <c r="Y49">
        <v>9</v>
      </c>
      <c r="Z49" t="s">
        <v>241</v>
      </c>
    </row>
    <row r="50" spans="1:26" x14ac:dyDescent="0.25">
      <c r="A50" s="169" t="s">
        <v>190</v>
      </c>
      <c r="B50">
        <v>16</v>
      </c>
      <c r="C50" s="169" t="s">
        <v>436</v>
      </c>
      <c r="D50">
        <v>428365466</v>
      </c>
      <c r="F50" s="169" t="s">
        <v>172</v>
      </c>
      <c r="H50" s="169" t="s">
        <v>172</v>
      </c>
      <c r="I50" s="169" t="s">
        <v>172</v>
      </c>
      <c r="K50">
        <v>33</v>
      </c>
      <c r="L50">
        <v>84</v>
      </c>
      <c r="M50">
        <v>36850</v>
      </c>
      <c r="N50">
        <v>8760</v>
      </c>
      <c r="O50">
        <v>68</v>
      </c>
      <c r="P50">
        <v>9</v>
      </c>
      <c r="Q50">
        <v>4</v>
      </c>
      <c r="R50">
        <v>20</v>
      </c>
      <c r="S50">
        <v>6</v>
      </c>
      <c r="T50">
        <v>5</v>
      </c>
      <c r="U50" s="168">
        <v>44772</v>
      </c>
      <c r="V50">
        <v>9</v>
      </c>
      <c r="W50" s="169" t="s">
        <v>181</v>
      </c>
      <c r="X50">
        <v>1</v>
      </c>
      <c r="Y50">
        <v>1</v>
      </c>
      <c r="Z50" t="s">
        <v>241</v>
      </c>
    </row>
    <row r="51" spans="1:26" x14ac:dyDescent="0.25">
      <c r="A51" s="169" t="s">
        <v>190</v>
      </c>
      <c r="B51">
        <v>16</v>
      </c>
      <c r="C51" s="169" t="s">
        <v>436</v>
      </c>
      <c r="D51">
        <v>428365466</v>
      </c>
      <c r="F51" s="169" t="s">
        <v>172</v>
      </c>
      <c r="H51" s="169" t="s">
        <v>172</v>
      </c>
      <c r="I51" s="169"/>
      <c r="J51" s="169" t="s">
        <v>172</v>
      </c>
      <c r="K51">
        <v>33</v>
      </c>
      <c r="L51">
        <v>94</v>
      </c>
      <c r="M51">
        <v>36240</v>
      </c>
      <c r="N51">
        <v>8760</v>
      </c>
      <c r="O51">
        <v>70</v>
      </c>
      <c r="P51">
        <v>9</v>
      </c>
      <c r="Q51">
        <v>4</v>
      </c>
      <c r="R51">
        <v>20</v>
      </c>
      <c r="S51">
        <v>6</v>
      </c>
      <c r="T51">
        <v>5</v>
      </c>
      <c r="U51" s="168">
        <v>44783</v>
      </c>
      <c r="V51">
        <v>7</v>
      </c>
      <c r="W51" s="169" t="s">
        <v>148</v>
      </c>
      <c r="X51">
        <v>1</v>
      </c>
      <c r="Y51">
        <v>2</v>
      </c>
      <c r="Z51" t="s">
        <v>241</v>
      </c>
    </row>
    <row r="52" spans="1:26" x14ac:dyDescent="0.25">
      <c r="A52" s="169" t="s">
        <v>190</v>
      </c>
      <c r="B52">
        <v>16</v>
      </c>
      <c r="C52" s="169" t="s">
        <v>436</v>
      </c>
      <c r="D52">
        <v>428365466</v>
      </c>
      <c r="F52" s="169" t="s">
        <v>172</v>
      </c>
      <c r="H52" s="169" t="s">
        <v>172</v>
      </c>
      <c r="I52" s="169"/>
      <c r="J52" s="169" t="s">
        <v>172</v>
      </c>
      <c r="K52">
        <v>34</v>
      </c>
      <c r="L52">
        <v>14</v>
      </c>
      <c r="M52">
        <v>18440</v>
      </c>
      <c r="N52">
        <v>6372</v>
      </c>
      <c r="O52">
        <v>74</v>
      </c>
      <c r="P52">
        <v>10</v>
      </c>
      <c r="Q52">
        <v>4</v>
      </c>
      <c r="R52">
        <v>20</v>
      </c>
      <c r="S52">
        <v>7</v>
      </c>
      <c r="T52">
        <v>5</v>
      </c>
      <c r="U52" s="168">
        <v>44814</v>
      </c>
      <c r="V52">
        <v>9</v>
      </c>
      <c r="W52" s="169" t="s">
        <v>181</v>
      </c>
      <c r="X52">
        <v>1</v>
      </c>
      <c r="Y52">
        <v>8</v>
      </c>
      <c r="Z52" t="s">
        <v>241</v>
      </c>
    </row>
    <row r="53" spans="1:26" x14ac:dyDescent="0.25">
      <c r="A53" s="169" t="s">
        <v>190</v>
      </c>
      <c r="B53">
        <v>16</v>
      </c>
      <c r="C53" s="169" t="s">
        <v>436</v>
      </c>
      <c r="D53">
        <v>428365466</v>
      </c>
      <c r="F53" s="169" t="s">
        <v>172</v>
      </c>
      <c r="H53" s="169" t="s">
        <v>172</v>
      </c>
      <c r="I53" s="169"/>
      <c r="K53">
        <v>34</v>
      </c>
      <c r="L53">
        <v>23</v>
      </c>
      <c r="M53">
        <v>18650</v>
      </c>
      <c r="N53">
        <v>6372</v>
      </c>
      <c r="O53">
        <v>76</v>
      </c>
      <c r="P53">
        <v>10</v>
      </c>
      <c r="Q53">
        <v>4</v>
      </c>
      <c r="R53">
        <v>20</v>
      </c>
      <c r="S53">
        <v>8</v>
      </c>
      <c r="T53">
        <v>5</v>
      </c>
      <c r="U53" s="168">
        <v>44825</v>
      </c>
      <c r="V53">
        <v>8</v>
      </c>
      <c r="W53" s="169" t="s">
        <v>201</v>
      </c>
      <c r="X53">
        <v>1</v>
      </c>
      <c r="Y53">
        <v>9</v>
      </c>
      <c r="Z53" t="s">
        <v>241</v>
      </c>
    </row>
    <row r="54" spans="1:26" x14ac:dyDescent="0.25">
      <c r="A54" s="169" t="s">
        <v>174</v>
      </c>
      <c r="B54">
        <v>17</v>
      </c>
      <c r="C54" s="169" t="s">
        <v>437</v>
      </c>
      <c r="D54">
        <v>440000802</v>
      </c>
      <c r="F54" s="169" t="s">
        <v>183</v>
      </c>
      <c r="G54">
        <v>1</v>
      </c>
      <c r="H54" s="169" t="s">
        <v>172</v>
      </c>
      <c r="I54" s="169" t="s">
        <v>172</v>
      </c>
      <c r="K54">
        <v>29</v>
      </c>
      <c r="L54">
        <v>8</v>
      </c>
      <c r="M54">
        <v>389960</v>
      </c>
      <c r="N54">
        <v>35000</v>
      </c>
      <c r="O54">
        <v>192</v>
      </c>
      <c r="P54">
        <v>8</v>
      </c>
      <c r="Q54">
        <v>5</v>
      </c>
      <c r="R54">
        <v>20</v>
      </c>
      <c r="S54">
        <v>7</v>
      </c>
      <c r="T54">
        <v>7</v>
      </c>
      <c r="U54" s="168">
        <v>44772</v>
      </c>
      <c r="V54">
        <v>12</v>
      </c>
      <c r="W54" s="169" t="s">
        <v>148</v>
      </c>
      <c r="X54">
        <v>1</v>
      </c>
      <c r="Y54">
        <v>1</v>
      </c>
      <c r="Z54" t="s">
        <v>148</v>
      </c>
    </row>
    <row r="55" spans="1:26" x14ac:dyDescent="0.25">
      <c r="A55" s="169" t="s">
        <v>174</v>
      </c>
      <c r="B55">
        <v>9</v>
      </c>
      <c r="C55" s="169" t="s">
        <v>437</v>
      </c>
      <c r="D55">
        <v>440000802</v>
      </c>
      <c r="F55" s="169" t="s">
        <v>183</v>
      </c>
      <c r="G55">
        <v>1</v>
      </c>
      <c r="H55" s="169" t="s">
        <v>172</v>
      </c>
      <c r="I55" s="169"/>
      <c r="J55" s="169" t="s">
        <v>172</v>
      </c>
      <c r="K55">
        <v>29</v>
      </c>
      <c r="L55">
        <v>18</v>
      </c>
      <c r="M55">
        <v>396650</v>
      </c>
      <c r="N55">
        <v>35000</v>
      </c>
      <c r="O55">
        <v>194</v>
      </c>
      <c r="P55">
        <v>8</v>
      </c>
      <c r="Q55">
        <v>5</v>
      </c>
      <c r="R55">
        <v>20</v>
      </c>
      <c r="S55">
        <v>7</v>
      </c>
      <c r="T55">
        <v>7</v>
      </c>
      <c r="U55" s="168">
        <v>44779</v>
      </c>
      <c r="V55">
        <v>12</v>
      </c>
      <c r="W55" s="169" t="s">
        <v>148</v>
      </c>
      <c r="X55">
        <v>1</v>
      </c>
      <c r="Y55">
        <v>2</v>
      </c>
      <c r="Z55" t="s">
        <v>148</v>
      </c>
    </row>
    <row r="56" spans="1:26" x14ac:dyDescent="0.25">
      <c r="A56" s="169" t="s">
        <v>174</v>
      </c>
      <c r="B56">
        <v>9</v>
      </c>
      <c r="C56" s="169" t="s">
        <v>437</v>
      </c>
      <c r="D56">
        <v>440000802</v>
      </c>
      <c r="F56" s="169" t="s">
        <v>183</v>
      </c>
      <c r="G56">
        <v>1</v>
      </c>
      <c r="H56" s="169" t="s">
        <v>172</v>
      </c>
      <c r="I56" s="169"/>
      <c r="J56" s="169" t="s">
        <v>172</v>
      </c>
      <c r="K56">
        <v>29</v>
      </c>
      <c r="L56">
        <v>50</v>
      </c>
      <c r="M56">
        <v>387520</v>
      </c>
      <c r="N56">
        <v>35000</v>
      </c>
      <c r="O56">
        <v>198</v>
      </c>
      <c r="P56">
        <v>8</v>
      </c>
      <c r="Q56">
        <v>5</v>
      </c>
      <c r="R56">
        <v>20</v>
      </c>
      <c r="S56">
        <v>7</v>
      </c>
      <c r="T56">
        <v>7</v>
      </c>
      <c r="U56" s="168">
        <v>44814</v>
      </c>
      <c r="V56">
        <v>11.5</v>
      </c>
      <c r="W56" s="169" t="s">
        <v>148</v>
      </c>
      <c r="X56">
        <v>1</v>
      </c>
      <c r="Y56">
        <v>8</v>
      </c>
      <c r="Z56" t="s">
        <v>148</v>
      </c>
    </row>
    <row r="57" spans="1:26" x14ac:dyDescent="0.25">
      <c r="A57" s="169" t="s">
        <v>174</v>
      </c>
      <c r="B57">
        <v>9</v>
      </c>
      <c r="C57" s="169" t="s">
        <v>437</v>
      </c>
      <c r="D57">
        <v>440000802</v>
      </c>
      <c r="F57" s="169" t="s">
        <v>183</v>
      </c>
      <c r="G57">
        <v>1</v>
      </c>
      <c r="H57" s="169" t="s">
        <v>172</v>
      </c>
      <c r="I57" s="169"/>
      <c r="K57">
        <v>29</v>
      </c>
      <c r="L57">
        <v>59</v>
      </c>
      <c r="M57">
        <v>378500</v>
      </c>
      <c r="N57">
        <v>35000</v>
      </c>
      <c r="O57">
        <v>200</v>
      </c>
      <c r="P57">
        <v>8</v>
      </c>
      <c r="Q57">
        <v>5</v>
      </c>
      <c r="R57">
        <v>20</v>
      </c>
      <c r="S57">
        <v>7</v>
      </c>
      <c r="T57">
        <v>7</v>
      </c>
      <c r="U57" s="168">
        <v>44825</v>
      </c>
      <c r="V57">
        <v>8</v>
      </c>
      <c r="W57" s="169" t="s">
        <v>147</v>
      </c>
      <c r="X57">
        <v>1</v>
      </c>
      <c r="Y57">
        <v>9</v>
      </c>
      <c r="Z57" t="s">
        <v>148</v>
      </c>
    </row>
    <row r="58" spans="1:26" x14ac:dyDescent="0.25">
      <c r="A58" s="169" t="s">
        <v>439</v>
      </c>
      <c r="C58" s="169" t="s">
        <v>440</v>
      </c>
      <c r="D58">
        <v>369277515</v>
      </c>
      <c r="E58">
        <v>1</v>
      </c>
      <c r="F58" s="169" t="s">
        <v>172</v>
      </c>
      <c r="H58" s="169" t="s">
        <v>172</v>
      </c>
      <c r="I58" s="169" t="s">
        <v>172</v>
      </c>
      <c r="K58">
        <v>50</v>
      </c>
      <c r="L58">
        <v>35</v>
      </c>
      <c r="M58">
        <v>0</v>
      </c>
      <c r="N58">
        <v>300</v>
      </c>
      <c r="O58">
        <v>245</v>
      </c>
      <c r="P58">
        <v>12</v>
      </c>
      <c r="Q58">
        <v>6</v>
      </c>
      <c r="R58">
        <v>20</v>
      </c>
      <c r="S58">
        <v>2</v>
      </c>
      <c r="T58">
        <v>1</v>
      </c>
      <c r="U58" s="168">
        <v>44174</v>
      </c>
      <c r="V58">
        <v>5</v>
      </c>
      <c r="W58" s="169" t="s">
        <v>173</v>
      </c>
      <c r="Y58">
        <v>1</v>
      </c>
    </row>
    <row r="59" spans="1:26" x14ac:dyDescent="0.25">
      <c r="A59" s="169" t="s">
        <v>439</v>
      </c>
      <c r="B59">
        <v>50</v>
      </c>
      <c r="C59" s="169" t="s">
        <v>440</v>
      </c>
      <c r="D59">
        <v>369277515</v>
      </c>
      <c r="E59">
        <v>1</v>
      </c>
      <c r="F59" s="169" t="s">
        <v>172</v>
      </c>
      <c r="H59" s="169" t="s">
        <v>172</v>
      </c>
      <c r="I59" s="169"/>
      <c r="J59" s="169" t="s">
        <v>172</v>
      </c>
      <c r="K59">
        <v>50</v>
      </c>
      <c r="L59">
        <v>45</v>
      </c>
      <c r="M59">
        <v>0</v>
      </c>
      <c r="N59">
        <v>300</v>
      </c>
      <c r="O59">
        <v>247</v>
      </c>
      <c r="P59">
        <v>12</v>
      </c>
      <c r="Q59">
        <v>6</v>
      </c>
      <c r="R59">
        <v>20</v>
      </c>
      <c r="S59">
        <v>2</v>
      </c>
      <c r="T59">
        <v>1</v>
      </c>
      <c r="U59" s="168">
        <v>44174</v>
      </c>
      <c r="V59">
        <v>5</v>
      </c>
      <c r="W59" s="169" t="s">
        <v>173</v>
      </c>
      <c r="Y59">
        <v>2</v>
      </c>
    </row>
    <row r="60" spans="1:26" x14ac:dyDescent="0.25">
      <c r="A60" s="169" t="s">
        <v>439</v>
      </c>
      <c r="B60">
        <v>50</v>
      </c>
      <c r="C60" s="169" t="s">
        <v>440</v>
      </c>
      <c r="D60">
        <v>369277515</v>
      </c>
      <c r="E60">
        <v>1</v>
      </c>
      <c r="F60" s="169" t="s">
        <v>172</v>
      </c>
      <c r="H60" s="169" t="s">
        <v>172</v>
      </c>
      <c r="I60" s="169"/>
      <c r="J60" s="169" t="s">
        <v>172</v>
      </c>
      <c r="K60">
        <v>50</v>
      </c>
      <c r="L60">
        <v>77</v>
      </c>
      <c r="M60">
        <v>0</v>
      </c>
      <c r="N60">
        <v>300</v>
      </c>
      <c r="O60">
        <v>251</v>
      </c>
      <c r="P60">
        <v>12</v>
      </c>
      <c r="Q60">
        <v>6</v>
      </c>
      <c r="R60">
        <v>20</v>
      </c>
      <c r="S60">
        <v>6</v>
      </c>
      <c r="T60">
        <v>1</v>
      </c>
      <c r="U60" s="168">
        <v>44174</v>
      </c>
      <c r="V60">
        <v>5</v>
      </c>
      <c r="W60" s="169" t="s">
        <v>173</v>
      </c>
      <c r="Y60">
        <v>8</v>
      </c>
    </row>
    <row r="61" spans="1:26" x14ac:dyDescent="0.25">
      <c r="A61" s="169" t="s">
        <v>439</v>
      </c>
      <c r="B61">
        <v>50</v>
      </c>
      <c r="C61" s="169" t="s">
        <v>440</v>
      </c>
      <c r="D61">
        <v>369277515</v>
      </c>
      <c r="E61">
        <v>1</v>
      </c>
      <c r="F61" s="169" t="s">
        <v>172</v>
      </c>
      <c r="H61" s="169" t="s">
        <v>172</v>
      </c>
      <c r="I61" s="169"/>
      <c r="K61">
        <v>50</v>
      </c>
      <c r="L61">
        <v>86</v>
      </c>
      <c r="M61">
        <v>0</v>
      </c>
      <c r="N61">
        <v>300</v>
      </c>
      <c r="O61">
        <v>253</v>
      </c>
      <c r="P61">
        <v>12</v>
      </c>
      <c r="Q61">
        <v>6</v>
      </c>
      <c r="R61">
        <v>20</v>
      </c>
      <c r="S61">
        <v>7</v>
      </c>
      <c r="T61">
        <v>1</v>
      </c>
      <c r="U61" s="168">
        <v>44818</v>
      </c>
      <c r="V61">
        <v>5</v>
      </c>
      <c r="W61" s="169" t="s">
        <v>173</v>
      </c>
      <c r="Y61">
        <v>9</v>
      </c>
    </row>
    <row r="62" spans="1:26" x14ac:dyDescent="0.25">
      <c r="A62" s="169" t="s">
        <v>268</v>
      </c>
      <c r="B62">
        <v>1</v>
      </c>
      <c r="C62" s="169" t="s">
        <v>484</v>
      </c>
      <c r="D62">
        <v>456095772</v>
      </c>
      <c r="F62" s="169" t="s">
        <v>172</v>
      </c>
      <c r="H62" s="169" t="s">
        <v>172</v>
      </c>
      <c r="I62" s="169"/>
      <c r="J62" s="169" t="s">
        <v>172</v>
      </c>
      <c r="K62">
        <v>22</v>
      </c>
      <c r="L62">
        <v>89</v>
      </c>
      <c r="M62">
        <v>32190</v>
      </c>
      <c r="N62">
        <v>14412</v>
      </c>
      <c r="O62">
        <v>1</v>
      </c>
      <c r="P62">
        <v>5</v>
      </c>
      <c r="Q62">
        <v>5</v>
      </c>
      <c r="R62">
        <v>4</v>
      </c>
      <c r="S62">
        <v>6</v>
      </c>
      <c r="T62">
        <v>7</v>
      </c>
      <c r="U62" s="168">
        <v>44783</v>
      </c>
      <c r="V62">
        <v>7.5</v>
      </c>
      <c r="W62" s="169" t="s">
        <v>173</v>
      </c>
      <c r="X62">
        <v>1</v>
      </c>
      <c r="Y62">
        <v>2</v>
      </c>
      <c r="Z62" t="s">
        <v>173</v>
      </c>
    </row>
    <row r="63" spans="1:26" x14ac:dyDescent="0.25">
      <c r="A63" s="169" t="s">
        <v>268</v>
      </c>
      <c r="B63">
        <v>1</v>
      </c>
      <c r="C63" s="169" t="s">
        <v>484</v>
      </c>
      <c r="D63">
        <v>456095772</v>
      </c>
      <c r="F63" s="169" t="s">
        <v>172</v>
      </c>
      <c r="H63" s="169" t="s">
        <v>172</v>
      </c>
      <c r="I63" s="169"/>
      <c r="J63" s="169" t="s">
        <v>172</v>
      </c>
      <c r="K63">
        <v>23</v>
      </c>
      <c r="L63">
        <v>9</v>
      </c>
      <c r="M63">
        <v>39150</v>
      </c>
      <c r="N63">
        <v>17772</v>
      </c>
      <c r="O63">
        <v>5</v>
      </c>
      <c r="P63">
        <v>6</v>
      </c>
      <c r="Q63">
        <v>5</v>
      </c>
      <c r="R63">
        <v>7</v>
      </c>
      <c r="S63">
        <v>7</v>
      </c>
      <c r="T63">
        <v>7</v>
      </c>
      <c r="U63" s="168">
        <v>44814</v>
      </c>
      <c r="V63">
        <v>8</v>
      </c>
      <c r="W63" s="169" t="s">
        <v>173</v>
      </c>
      <c r="X63">
        <v>1</v>
      </c>
      <c r="Y63">
        <v>8</v>
      </c>
      <c r="Z63" t="s">
        <v>173</v>
      </c>
    </row>
    <row r="64" spans="1:26" x14ac:dyDescent="0.25">
      <c r="A64" s="169" t="s">
        <v>268</v>
      </c>
      <c r="B64">
        <v>1</v>
      </c>
      <c r="C64" s="169" t="s">
        <v>484</v>
      </c>
      <c r="D64">
        <v>456095772</v>
      </c>
      <c r="F64" s="169" t="s">
        <v>172</v>
      </c>
      <c r="H64" s="169" t="s">
        <v>172</v>
      </c>
      <c r="I64" s="169"/>
      <c r="K64">
        <v>23</v>
      </c>
      <c r="L64">
        <v>18</v>
      </c>
      <c r="M64">
        <v>39170</v>
      </c>
      <c r="N64">
        <v>17772</v>
      </c>
      <c r="O64">
        <v>7</v>
      </c>
      <c r="P64">
        <v>6</v>
      </c>
      <c r="Q64">
        <v>5</v>
      </c>
      <c r="R64">
        <v>8</v>
      </c>
      <c r="S64">
        <v>7</v>
      </c>
      <c r="T64">
        <v>8</v>
      </c>
      <c r="U64" s="168">
        <v>44825</v>
      </c>
      <c r="V64">
        <v>8.5</v>
      </c>
      <c r="W64" s="169" t="s">
        <v>173</v>
      </c>
      <c r="X64">
        <v>1</v>
      </c>
      <c r="Y64">
        <v>9</v>
      </c>
      <c r="Z64" t="s">
        <v>173</v>
      </c>
    </row>
    <row r="65" spans="1:26" x14ac:dyDescent="0.25">
      <c r="A65" s="169" t="s">
        <v>174</v>
      </c>
      <c r="B65">
        <v>7</v>
      </c>
      <c r="C65" s="169" t="s">
        <v>499</v>
      </c>
      <c r="D65">
        <v>435269211</v>
      </c>
      <c r="F65" s="169" t="s">
        <v>183</v>
      </c>
      <c r="H65" s="169" t="s">
        <v>172</v>
      </c>
      <c r="I65" s="169"/>
      <c r="J65" s="169" t="s">
        <v>172</v>
      </c>
      <c r="K65">
        <v>31</v>
      </c>
      <c r="L65">
        <v>60</v>
      </c>
      <c r="M65">
        <v>184430</v>
      </c>
      <c r="N65">
        <v>22360</v>
      </c>
      <c r="O65">
        <v>3</v>
      </c>
      <c r="P65">
        <v>9</v>
      </c>
      <c r="Q65">
        <v>1</v>
      </c>
      <c r="R65">
        <v>5</v>
      </c>
      <c r="S65">
        <v>6</v>
      </c>
      <c r="T65">
        <v>6</v>
      </c>
      <c r="U65" s="168">
        <v>44814</v>
      </c>
      <c r="V65">
        <v>9.5</v>
      </c>
      <c r="W65" s="169" t="s">
        <v>148</v>
      </c>
      <c r="X65">
        <v>1</v>
      </c>
      <c r="Y65">
        <v>8</v>
      </c>
      <c r="Z65" t="s">
        <v>148</v>
      </c>
    </row>
    <row r="66" spans="1:26" x14ac:dyDescent="0.25">
      <c r="A66" s="169" t="s">
        <v>174</v>
      </c>
      <c r="B66">
        <v>7</v>
      </c>
      <c r="C66" s="169" t="s">
        <v>499</v>
      </c>
      <c r="D66">
        <v>435269211</v>
      </c>
      <c r="F66" s="169" t="s">
        <v>183</v>
      </c>
      <c r="H66" s="169" t="s">
        <v>172</v>
      </c>
      <c r="I66" s="169"/>
      <c r="K66">
        <v>31</v>
      </c>
      <c r="L66">
        <v>69</v>
      </c>
      <c r="M66">
        <v>192870</v>
      </c>
      <c r="N66">
        <v>22360</v>
      </c>
      <c r="O66">
        <v>4</v>
      </c>
      <c r="P66">
        <v>9</v>
      </c>
      <c r="Q66">
        <v>1</v>
      </c>
      <c r="R66">
        <v>6</v>
      </c>
      <c r="S66">
        <v>7</v>
      </c>
      <c r="T66">
        <v>6</v>
      </c>
      <c r="U66" s="168">
        <v>44821</v>
      </c>
      <c r="V66">
        <v>10</v>
      </c>
      <c r="W66" s="169" t="s">
        <v>148</v>
      </c>
      <c r="X66">
        <v>1</v>
      </c>
      <c r="Y66">
        <v>9</v>
      </c>
      <c r="Z66" t="s">
        <v>148</v>
      </c>
    </row>
    <row r="67" spans="1:26" x14ac:dyDescent="0.25">
      <c r="A67" s="169" t="s">
        <v>174</v>
      </c>
      <c r="B67">
        <v>6</v>
      </c>
      <c r="C67" s="169" t="s">
        <v>429</v>
      </c>
      <c r="D67">
        <v>438673045</v>
      </c>
      <c r="F67" s="169" t="s">
        <v>171</v>
      </c>
      <c r="H67" s="169" t="s">
        <v>172</v>
      </c>
      <c r="I67" s="169"/>
      <c r="J67" s="169" t="s">
        <v>172</v>
      </c>
      <c r="K67">
        <v>29</v>
      </c>
      <c r="L67">
        <v>70</v>
      </c>
      <c r="M67">
        <v>201640</v>
      </c>
      <c r="N67">
        <v>23720</v>
      </c>
      <c r="O67">
        <v>33</v>
      </c>
      <c r="P67">
        <v>9</v>
      </c>
      <c r="Q67">
        <v>5</v>
      </c>
      <c r="R67">
        <v>16</v>
      </c>
      <c r="S67">
        <v>7</v>
      </c>
      <c r="T67">
        <v>7</v>
      </c>
      <c r="U67" s="168">
        <v>44779</v>
      </c>
      <c r="V67">
        <v>9.5</v>
      </c>
      <c r="W67" s="169" t="s">
        <v>147</v>
      </c>
      <c r="X67">
        <v>1</v>
      </c>
      <c r="Y67">
        <v>2</v>
      </c>
      <c r="Z67" t="s">
        <v>242</v>
      </c>
    </row>
    <row r="68" spans="1:26" x14ac:dyDescent="0.25">
      <c r="A68" s="169" t="s">
        <v>174</v>
      </c>
      <c r="B68">
        <v>6</v>
      </c>
      <c r="C68" s="169" t="s">
        <v>429</v>
      </c>
      <c r="D68">
        <v>438673045</v>
      </c>
      <c r="F68" s="169" t="s">
        <v>171</v>
      </c>
      <c r="H68" s="169" t="s">
        <v>172</v>
      </c>
      <c r="I68" s="169"/>
      <c r="J68" s="169" t="s">
        <v>172</v>
      </c>
      <c r="K68">
        <v>29</v>
      </c>
      <c r="L68">
        <v>102</v>
      </c>
      <c r="M68">
        <v>175060</v>
      </c>
      <c r="N68">
        <v>23720</v>
      </c>
      <c r="O68">
        <v>37</v>
      </c>
      <c r="P68">
        <v>9</v>
      </c>
      <c r="Q68">
        <v>5</v>
      </c>
      <c r="R68">
        <v>17</v>
      </c>
      <c r="S68">
        <v>5</v>
      </c>
      <c r="T68">
        <v>7</v>
      </c>
      <c r="U68" s="168">
        <v>44814</v>
      </c>
      <c r="V68">
        <v>8</v>
      </c>
      <c r="W68" s="169" t="s">
        <v>147</v>
      </c>
      <c r="X68">
        <v>1</v>
      </c>
      <c r="Y68">
        <v>8</v>
      </c>
      <c r="Z68" t="s">
        <v>242</v>
      </c>
    </row>
    <row r="69" spans="1:26" x14ac:dyDescent="0.25">
      <c r="A69" s="169" t="s">
        <v>174</v>
      </c>
      <c r="B69">
        <v>6</v>
      </c>
      <c r="C69" s="169" t="s">
        <v>429</v>
      </c>
      <c r="D69">
        <v>438673045</v>
      </c>
      <c r="F69" s="169" t="s">
        <v>171</v>
      </c>
      <c r="H69" s="169" t="s">
        <v>172</v>
      </c>
      <c r="I69" s="169"/>
      <c r="K69">
        <v>29</v>
      </c>
      <c r="L69">
        <v>111</v>
      </c>
      <c r="M69">
        <v>167550</v>
      </c>
      <c r="N69">
        <v>23720</v>
      </c>
      <c r="O69">
        <v>38</v>
      </c>
      <c r="P69">
        <v>9</v>
      </c>
      <c r="Q69">
        <v>5</v>
      </c>
      <c r="R69">
        <v>18</v>
      </c>
      <c r="S69">
        <v>5</v>
      </c>
      <c r="T69">
        <v>7</v>
      </c>
      <c r="U69" s="168">
        <v>44821</v>
      </c>
      <c r="V69">
        <v>7.5</v>
      </c>
      <c r="W69" s="169" t="s">
        <v>147</v>
      </c>
      <c r="X69">
        <v>1</v>
      </c>
      <c r="Y69">
        <v>9</v>
      </c>
      <c r="Z69" t="s">
        <v>242</v>
      </c>
    </row>
  </sheetData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354C-2065-4499-812B-31AB988AD333}">
  <sheetPr>
    <tabColor theme="9" tint="0.79998168889431442"/>
  </sheetPr>
  <dimension ref="A1:AS74"/>
  <sheetViews>
    <sheetView zoomScale="80" zoomScaleNormal="80" workbookViewId="0">
      <selection activeCell="AB32" sqref="AB32"/>
    </sheetView>
  </sheetViews>
  <sheetFormatPr baseColWidth="10" defaultRowHeight="15" x14ac:dyDescent="0.25"/>
  <cols>
    <col min="1" max="1" width="12" customWidth="1"/>
    <col min="2" max="2" width="5.28515625" customWidth="1"/>
    <col min="3" max="3" width="21.85546875" bestFit="1" customWidth="1"/>
    <col min="4" max="4" width="15.5703125" bestFit="1" customWidth="1"/>
    <col min="5" max="5" width="6.28515625" customWidth="1"/>
    <col min="6" max="6" width="9.85546875" customWidth="1"/>
    <col min="7" max="10" width="6.28515625" customWidth="1"/>
    <col min="11" max="11" width="7.5703125" bestFit="1" customWidth="1"/>
    <col min="12" max="12" width="7" bestFit="1" customWidth="1"/>
    <col min="13" max="13" width="7.7109375" bestFit="1" customWidth="1"/>
    <col min="14" max="14" width="9.28515625" bestFit="1" customWidth="1"/>
    <col min="15" max="15" width="20.28515625" bestFit="1" customWidth="1"/>
    <col min="16" max="20" width="9.140625" customWidth="1"/>
    <col min="21" max="21" width="21.7109375" bestFit="1" customWidth="1"/>
    <col min="22" max="22" width="9.140625" customWidth="1"/>
    <col min="23" max="23" width="28.140625" bestFit="1" customWidth="1"/>
    <col min="29" max="29" width="18.42578125" bestFit="1" customWidth="1"/>
    <col min="30" max="30" width="17.85546875" bestFit="1" customWidth="1"/>
    <col min="31" max="31" width="17.28515625" bestFit="1" customWidth="1"/>
    <col min="32" max="32" width="16.7109375" bestFit="1" customWidth="1"/>
    <col min="33" max="33" width="12.140625" bestFit="1" customWidth="1"/>
    <col min="34" max="34" width="15.5703125" bestFit="1" customWidth="1"/>
    <col min="35" max="35" width="18.7109375" bestFit="1" customWidth="1"/>
    <col min="36" max="36" width="23.42578125" bestFit="1" customWidth="1"/>
    <col min="37" max="37" width="23.140625" bestFit="1" customWidth="1"/>
    <col min="40" max="40" width="24.7109375" bestFit="1" customWidth="1"/>
    <col min="41" max="41" width="15" bestFit="1" customWidth="1"/>
    <col min="42" max="42" width="23.140625" bestFit="1" customWidth="1"/>
    <col min="43" max="43" width="12.140625" bestFit="1" customWidth="1"/>
    <col min="44" max="44" width="15.140625" bestFit="1" customWidth="1"/>
    <col min="45" max="45" width="12.140625" bestFit="1" customWidth="1"/>
    <col min="46" max="46" width="12.85546875" bestFit="1" customWidth="1"/>
    <col min="47" max="47" width="23.140625" bestFit="1" customWidth="1"/>
  </cols>
  <sheetData>
    <row r="1" spans="1:45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2</v>
      </c>
    </row>
    <row r="2" spans="1:45" x14ac:dyDescent="0.25">
      <c r="A2" s="169" t="s">
        <v>174</v>
      </c>
      <c r="B2">
        <v>33</v>
      </c>
      <c r="C2" s="169" t="s">
        <v>408</v>
      </c>
      <c r="D2">
        <v>458489979</v>
      </c>
      <c r="F2" s="169" t="s">
        <v>172</v>
      </c>
      <c r="G2">
        <v>1</v>
      </c>
      <c r="H2" s="169" t="s">
        <v>172</v>
      </c>
      <c r="J2" s="169" t="s">
        <v>172</v>
      </c>
      <c r="K2">
        <v>23</v>
      </c>
      <c r="L2">
        <v>57</v>
      </c>
      <c r="M2">
        <v>200</v>
      </c>
      <c r="N2">
        <v>250</v>
      </c>
      <c r="O2">
        <v>76</v>
      </c>
      <c r="P2">
        <v>2</v>
      </c>
      <c r="Q2">
        <v>5</v>
      </c>
      <c r="R2">
        <v>20</v>
      </c>
      <c r="S2">
        <v>5</v>
      </c>
      <c r="T2">
        <v>8</v>
      </c>
      <c r="U2" s="168">
        <v>44653</v>
      </c>
      <c r="V2">
        <v>25</v>
      </c>
      <c r="W2" s="169" t="s">
        <v>147</v>
      </c>
      <c r="X2">
        <v>0</v>
      </c>
      <c r="Y2">
        <v>2</v>
      </c>
      <c r="AC2" s="171" t="s">
        <v>224</v>
      </c>
      <c r="AD2" s="172">
        <v>1</v>
      </c>
      <c r="AN2" s="171" t="s">
        <v>224</v>
      </c>
      <c r="AO2" s="172">
        <v>1</v>
      </c>
    </row>
    <row r="3" spans="1:45" x14ac:dyDescent="0.25">
      <c r="A3" s="169" t="s">
        <v>174</v>
      </c>
      <c r="B3">
        <v>33</v>
      </c>
      <c r="C3" s="169" t="s">
        <v>408</v>
      </c>
      <c r="D3">
        <v>458489979</v>
      </c>
      <c r="F3" s="169" t="s">
        <v>172</v>
      </c>
      <c r="G3">
        <v>1</v>
      </c>
      <c r="H3" s="169" t="s">
        <v>172</v>
      </c>
      <c r="K3">
        <v>23</v>
      </c>
      <c r="L3">
        <v>53</v>
      </c>
      <c r="M3">
        <v>210</v>
      </c>
      <c r="N3">
        <v>250</v>
      </c>
      <c r="O3">
        <v>76</v>
      </c>
      <c r="P3">
        <v>2</v>
      </c>
      <c r="Q3">
        <v>5</v>
      </c>
      <c r="R3">
        <v>20</v>
      </c>
      <c r="S3">
        <v>5</v>
      </c>
      <c r="T3">
        <v>8</v>
      </c>
      <c r="U3" s="168">
        <v>44653</v>
      </c>
      <c r="V3">
        <v>2.5</v>
      </c>
      <c r="W3" s="169" t="s">
        <v>147</v>
      </c>
      <c r="X3">
        <v>0</v>
      </c>
      <c r="Y3">
        <v>1</v>
      </c>
    </row>
    <row r="4" spans="1:45" x14ac:dyDescent="0.25">
      <c r="A4" s="169" t="s">
        <v>390</v>
      </c>
      <c r="B4">
        <v>8</v>
      </c>
      <c r="C4" s="169" t="s">
        <v>391</v>
      </c>
      <c r="D4">
        <v>435478159</v>
      </c>
      <c r="F4" s="169" t="s">
        <v>180</v>
      </c>
      <c r="H4" s="169" t="s">
        <v>172</v>
      </c>
      <c r="K4">
        <v>31</v>
      </c>
      <c r="L4">
        <v>7</v>
      </c>
      <c r="M4">
        <v>157410</v>
      </c>
      <c r="N4">
        <v>35172</v>
      </c>
      <c r="O4">
        <v>18</v>
      </c>
      <c r="P4">
        <v>13</v>
      </c>
      <c r="Q4">
        <v>1</v>
      </c>
      <c r="R4">
        <v>12</v>
      </c>
      <c r="S4">
        <v>6</v>
      </c>
      <c r="T4">
        <v>8</v>
      </c>
      <c r="U4" s="168">
        <v>44772</v>
      </c>
      <c r="V4">
        <v>9</v>
      </c>
      <c r="W4" s="169" t="s">
        <v>207</v>
      </c>
      <c r="X4">
        <v>1</v>
      </c>
      <c r="Y4">
        <v>1</v>
      </c>
      <c r="Z4" t="s">
        <v>459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  <c r="AN4" s="182"/>
      <c r="AP4" s="171" t="s">
        <v>239</v>
      </c>
    </row>
    <row r="5" spans="1:45" x14ac:dyDescent="0.25">
      <c r="A5" s="169" t="s">
        <v>390</v>
      </c>
      <c r="B5">
        <v>8</v>
      </c>
      <c r="C5" s="169" t="s">
        <v>391</v>
      </c>
      <c r="D5">
        <v>435478159</v>
      </c>
      <c r="F5" s="169" t="s">
        <v>180</v>
      </c>
      <c r="H5" s="169" t="s">
        <v>172</v>
      </c>
      <c r="J5" s="169" t="s">
        <v>172</v>
      </c>
      <c r="K5">
        <v>31</v>
      </c>
      <c r="L5">
        <v>11</v>
      </c>
      <c r="M5">
        <v>170060</v>
      </c>
      <c r="N5">
        <v>35172</v>
      </c>
      <c r="O5">
        <v>18</v>
      </c>
      <c r="P5">
        <v>13</v>
      </c>
      <c r="Q5">
        <v>1</v>
      </c>
      <c r="R5">
        <v>12</v>
      </c>
      <c r="S5">
        <v>6</v>
      </c>
      <c r="T5">
        <v>8</v>
      </c>
      <c r="U5" s="168">
        <v>44776</v>
      </c>
      <c r="V5">
        <v>8</v>
      </c>
      <c r="W5" s="169" t="s">
        <v>181</v>
      </c>
      <c r="X5">
        <v>1</v>
      </c>
      <c r="Y5">
        <v>2</v>
      </c>
      <c r="Z5" t="s">
        <v>459</v>
      </c>
      <c r="AC5" s="172"/>
      <c r="AD5" s="169">
        <v>1</v>
      </c>
      <c r="AE5" s="173">
        <v>31</v>
      </c>
      <c r="AF5" s="173">
        <v>70</v>
      </c>
      <c r="AG5" s="173">
        <v>56750</v>
      </c>
      <c r="AH5" s="173">
        <v>31128</v>
      </c>
      <c r="AI5" s="173">
        <v>5</v>
      </c>
      <c r="AJ5" s="173">
        <v>11</v>
      </c>
      <c r="AK5" s="173">
        <v>7</v>
      </c>
      <c r="AP5">
        <v>1</v>
      </c>
      <c r="AR5">
        <v>2</v>
      </c>
    </row>
    <row r="6" spans="1:45" x14ac:dyDescent="0.25">
      <c r="A6" s="169" t="s">
        <v>174</v>
      </c>
      <c r="B6">
        <v>13</v>
      </c>
      <c r="C6" s="169" t="s">
        <v>397</v>
      </c>
      <c r="D6">
        <v>440189964</v>
      </c>
      <c r="F6" s="169" t="s">
        <v>172</v>
      </c>
      <c r="G6">
        <v>1</v>
      </c>
      <c r="H6" s="169" t="s">
        <v>172</v>
      </c>
      <c r="J6" s="169" t="s">
        <v>172</v>
      </c>
      <c r="K6">
        <v>29</v>
      </c>
      <c r="L6">
        <v>6</v>
      </c>
      <c r="M6">
        <v>60</v>
      </c>
      <c r="N6">
        <v>660</v>
      </c>
      <c r="O6">
        <v>192</v>
      </c>
      <c r="P6">
        <v>5</v>
      </c>
      <c r="Q6">
        <v>3</v>
      </c>
      <c r="R6">
        <v>20</v>
      </c>
      <c r="S6">
        <v>2</v>
      </c>
      <c r="T6">
        <v>7</v>
      </c>
      <c r="U6" s="168">
        <v>44727</v>
      </c>
      <c r="V6">
        <v>15</v>
      </c>
      <c r="W6" s="169" t="s">
        <v>173</v>
      </c>
      <c r="X6">
        <v>0</v>
      </c>
      <c r="Y6">
        <v>2</v>
      </c>
      <c r="AC6" s="172" t="s">
        <v>183</v>
      </c>
      <c r="AD6" s="169">
        <v>2</v>
      </c>
      <c r="AE6" s="173">
        <v>30.5</v>
      </c>
      <c r="AF6" s="173">
        <v>49</v>
      </c>
      <c r="AG6" s="173">
        <v>551600</v>
      </c>
      <c r="AH6" s="173">
        <v>82152</v>
      </c>
      <c r="AI6" s="173">
        <v>7.5</v>
      </c>
      <c r="AJ6" s="173">
        <v>14</v>
      </c>
      <c r="AK6" s="173">
        <v>7.5</v>
      </c>
      <c r="AN6" s="171" t="s">
        <v>228</v>
      </c>
      <c r="AO6" s="171" t="s">
        <v>153</v>
      </c>
      <c r="AP6" t="s">
        <v>462</v>
      </c>
      <c r="AQ6" t="s">
        <v>226</v>
      </c>
      <c r="AR6" t="s">
        <v>462</v>
      </c>
      <c r="AS6" t="s">
        <v>226</v>
      </c>
    </row>
    <row r="7" spans="1:45" x14ac:dyDescent="0.25">
      <c r="A7" s="169" t="s">
        <v>174</v>
      </c>
      <c r="B7">
        <v>13</v>
      </c>
      <c r="C7" s="169" t="s">
        <v>397</v>
      </c>
      <c r="D7">
        <v>440189964</v>
      </c>
      <c r="F7" s="169" t="s">
        <v>172</v>
      </c>
      <c r="G7">
        <v>1</v>
      </c>
      <c r="H7" s="169" t="s">
        <v>172</v>
      </c>
      <c r="K7">
        <v>29</v>
      </c>
      <c r="L7">
        <v>2</v>
      </c>
      <c r="M7">
        <v>70</v>
      </c>
      <c r="N7">
        <v>660</v>
      </c>
      <c r="O7">
        <v>192</v>
      </c>
      <c r="P7">
        <v>5</v>
      </c>
      <c r="Q7">
        <v>3</v>
      </c>
      <c r="R7">
        <v>20</v>
      </c>
      <c r="S7">
        <v>3</v>
      </c>
      <c r="T7">
        <v>7</v>
      </c>
      <c r="U7" s="168">
        <v>44727</v>
      </c>
      <c r="V7">
        <v>1.5</v>
      </c>
      <c r="W7" s="169" t="s">
        <v>173</v>
      </c>
      <c r="X7">
        <v>0</v>
      </c>
      <c r="Y7">
        <v>1</v>
      </c>
      <c r="AC7" s="172" t="s">
        <v>171</v>
      </c>
      <c r="AD7" s="169">
        <v>6</v>
      </c>
      <c r="AE7" s="173">
        <v>31.333333333333332</v>
      </c>
      <c r="AF7" s="173">
        <v>54.5</v>
      </c>
      <c r="AG7" s="173">
        <v>1263790</v>
      </c>
      <c r="AH7" s="173">
        <v>269976</v>
      </c>
      <c r="AI7" s="173">
        <v>6</v>
      </c>
      <c r="AJ7" s="173">
        <v>14</v>
      </c>
      <c r="AK7" s="173">
        <v>7.333333333333333</v>
      </c>
      <c r="AN7" s="172" t="s">
        <v>173</v>
      </c>
      <c r="AP7" s="169"/>
      <c r="AQ7" s="169"/>
      <c r="AR7" s="169"/>
      <c r="AS7" s="169"/>
    </row>
    <row r="8" spans="1:45" x14ac:dyDescent="0.25">
      <c r="A8" s="169" t="s">
        <v>174</v>
      </c>
      <c r="C8" s="169" t="s">
        <v>410</v>
      </c>
      <c r="D8">
        <v>455234086</v>
      </c>
      <c r="F8" s="169" t="s">
        <v>180</v>
      </c>
      <c r="G8">
        <v>1</v>
      </c>
      <c r="H8" s="169" t="s">
        <v>172</v>
      </c>
      <c r="K8">
        <v>25</v>
      </c>
      <c r="L8">
        <v>4</v>
      </c>
      <c r="M8">
        <v>560</v>
      </c>
      <c r="N8">
        <v>350</v>
      </c>
      <c r="O8">
        <v>98</v>
      </c>
      <c r="P8">
        <v>2</v>
      </c>
      <c r="Q8">
        <v>4</v>
      </c>
      <c r="R8">
        <v>20</v>
      </c>
      <c r="S8">
        <v>2</v>
      </c>
      <c r="T8">
        <v>8</v>
      </c>
      <c r="U8" s="168">
        <v>44755</v>
      </c>
      <c r="V8">
        <v>3</v>
      </c>
      <c r="W8" s="169" t="s">
        <v>146</v>
      </c>
      <c r="X8">
        <v>0</v>
      </c>
      <c r="Y8">
        <v>1</v>
      </c>
      <c r="AC8" s="172" t="s">
        <v>176</v>
      </c>
      <c r="AD8" s="169">
        <v>4</v>
      </c>
      <c r="AE8" s="173">
        <v>30.5</v>
      </c>
      <c r="AF8" s="173">
        <v>68.25</v>
      </c>
      <c r="AG8" s="173">
        <v>692900</v>
      </c>
      <c r="AH8" s="173">
        <v>141360</v>
      </c>
      <c r="AI8" s="173">
        <v>5.75</v>
      </c>
      <c r="AJ8" s="173">
        <v>10</v>
      </c>
      <c r="AK8" s="173">
        <v>7.5</v>
      </c>
      <c r="AN8" s="181" t="s">
        <v>377</v>
      </c>
      <c r="AO8" s="172"/>
      <c r="AP8" s="169">
        <v>5</v>
      </c>
      <c r="AQ8" s="169">
        <v>52730</v>
      </c>
      <c r="AR8" s="169">
        <v>5</v>
      </c>
      <c r="AS8" s="169">
        <v>56750</v>
      </c>
    </row>
    <row r="9" spans="1:45" x14ac:dyDescent="0.25">
      <c r="A9" s="169" t="s">
        <v>174</v>
      </c>
      <c r="C9" s="169" t="s">
        <v>410</v>
      </c>
      <c r="D9">
        <v>455234086</v>
      </c>
      <c r="F9" s="169" t="s">
        <v>180</v>
      </c>
      <c r="G9">
        <v>1</v>
      </c>
      <c r="H9" s="169" t="s">
        <v>172</v>
      </c>
      <c r="J9" s="169" t="s">
        <v>172</v>
      </c>
      <c r="K9">
        <v>25</v>
      </c>
      <c r="L9">
        <v>8</v>
      </c>
      <c r="M9">
        <v>580</v>
      </c>
      <c r="N9">
        <v>350</v>
      </c>
      <c r="O9">
        <v>98</v>
      </c>
      <c r="P9">
        <v>2</v>
      </c>
      <c r="Q9">
        <v>4</v>
      </c>
      <c r="R9">
        <v>20</v>
      </c>
      <c r="S9">
        <v>2</v>
      </c>
      <c r="T9">
        <v>8</v>
      </c>
      <c r="U9" s="168">
        <v>44755</v>
      </c>
      <c r="V9">
        <v>3</v>
      </c>
      <c r="W9" s="169" t="s">
        <v>146</v>
      </c>
      <c r="X9">
        <v>0</v>
      </c>
      <c r="Y9">
        <v>2</v>
      </c>
      <c r="AC9" s="172" t="s">
        <v>180</v>
      </c>
      <c r="AD9" s="169">
        <v>2</v>
      </c>
      <c r="AE9" s="173">
        <v>31.5</v>
      </c>
      <c r="AF9" s="173">
        <v>41.5</v>
      </c>
      <c r="AG9" s="173">
        <v>250330</v>
      </c>
      <c r="AH9" s="173">
        <v>45624</v>
      </c>
      <c r="AI9" s="173">
        <v>6</v>
      </c>
      <c r="AJ9" s="173">
        <v>11.5</v>
      </c>
      <c r="AK9" s="173">
        <v>7.5</v>
      </c>
      <c r="AN9" s="172" t="s">
        <v>148</v>
      </c>
      <c r="AP9" s="169"/>
      <c r="AQ9" s="169"/>
      <c r="AR9" s="169"/>
      <c r="AS9" s="169"/>
    </row>
    <row r="10" spans="1:45" x14ac:dyDescent="0.25">
      <c r="A10" s="169" t="s">
        <v>199</v>
      </c>
      <c r="B10">
        <v>11</v>
      </c>
      <c r="C10" s="169" t="s">
        <v>395</v>
      </c>
      <c r="D10">
        <v>434457086</v>
      </c>
      <c r="F10" s="169" t="s">
        <v>171</v>
      </c>
      <c r="H10" s="169" t="s">
        <v>172</v>
      </c>
      <c r="J10" s="169" t="s">
        <v>172</v>
      </c>
      <c r="K10">
        <v>31</v>
      </c>
      <c r="L10">
        <v>66</v>
      </c>
      <c r="M10">
        <v>197460</v>
      </c>
      <c r="N10">
        <v>45528</v>
      </c>
      <c r="O10">
        <v>25</v>
      </c>
      <c r="P10">
        <v>9</v>
      </c>
      <c r="Q10">
        <v>7</v>
      </c>
      <c r="R10">
        <v>14</v>
      </c>
      <c r="S10">
        <v>5</v>
      </c>
      <c r="T10">
        <v>7</v>
      </c>
      <c r="U10" s="168">
        <v>44772</v>
      </c>
      <c r="V10">
        <v>95</v>
      </c>
      <c r="W10" s="169" t="s">
        <v>148</v>
      </c>
      <c r="X10">
        <v>1</v>
      </c>
      <c r="Y10">
        <v>2</v>
      </c>
      <c r="Z10" t="s">
        <v>461</v>
      </c>
      <c r="AC10" s="172" t="s">
        <v>229</v>
      </c>
      <c r="AD10" s="169">
        <v>15</v>
      </c>
      <c r="AE10" s="173">
        <v>31</v>
      </c>
      <c r="AF10" s="173">
        <v>56.733333333333334</v>
      </c>
      <c r="AG10" s="173">
        <v>2815370</v>
      </c>
      <c r="AH10" s="173">
        <v>570240</v>
      </c>
      <c r="AI10" s="173">
        <v>6.0666666666666664</v>
      </c>
      <c r="AJ10" s="173">
        <v>12.4</v>
      </c>
      <c r="AK10" s="173">
        <v>7.4</v>
      </c>
      <c r="AN10" s="181" t="s">
        <v>403</v>
      </c>
      <c r="AO10" s="172" t="s">
        <v>180</v>
      </c>
      <c r="AP10" s="169">
        <v>5</v>
      </c>
      <c r="AQ10" s="169">
        <v>76000</v>
      </c>
      <c r="AR10" s="169">
        <v>6</v>
      </c>
      <c r="AS10" s="169">
        <v>80270</v>
      </c>
    </row>
    <row r="11" spans="1:45" x14ac:dyDescent="0.25">
      <c r="A11" s="169" t="s">
        <v>199</v>
      </c>
      <c r="B11">
        <v>11</v>
      </c>
      <c r="C11" s="169" t="s">
        <v>395</v>
      </c>
      <c r="D11">
        <v>434457086</v>
      </c>
      <c r="F11" s="169" t="s">
        <v>171</v>
      </c>
      <c r="H11" s="169" t="s">
        <v>172</v>
      </c>
      <c r="K11">
        <v>31</v>
      </c>
      <c r="L11">
        <v>62</v>
      </c>
      <c r="M11">
        <v>208980</v>
      </c>
      <c r="N11">
        <v>45528</v>
      </c>
      <c r="O11">
        <v>24</v>
      </c>
      <c r="P11">
        <v>9</v>
      </c>
      <c r="Q11">
        <v>7</v>
      </c>
      <c r="R11">
        <v>14</v>
      </c>
      <c r="S11">
        <v>5</v>
      </c>
      <c r="T11">
        <v>7</v>
      </c>
      <c r="U11" s="168">
        <v>44772</v>
      </c>
      <c r="V11">
        <v>9.5</v>
      </c>
      <c r="W11" s="169" t="s">
        <v>148</v>
      </c>
      <c r="X11">
        <v>1</v>
      </c>
      <c r="Y11">
        <v>1</v>
      </c>
      <c r="Z11" t="s">
        <v>461</v>
      </c>
      <c r="AN11" s="172" t="s">
        <v>461</v>
      </c>
      <c r="AP11" s="169"/>
      <c r="AQ11" s="169"/>
      <c r="AR11" s="169"/>
      <c r="AS11" s="169"/>
    </row>
    <row r="12" spans="1:45" x14ac:dyDescent="0.25">
      <c r="A12" s="169" t="s">
        <v>174</v>
      </c>
      <c r="C12" s="169" t="s">
        <v>411</v>
      </c>
      <c r="D12">
        <v>468952531</v>
      </c>
      <c r="F12" s="169" t="s">
        <v>172</v>
      </c>
      <c r="G12">
        <v>1</v>
      </c>
      <c r="H12" s="169" t="s">
        <v>172</v>
      </c>
      <c r="K12">
        <v>17</v>
      </c>
      <c r="L12">
        <v>106</v>
      </c>
      <c r="M12">
        <v>720</v>
      </c>
      <c r="N12">
        <v>310</v>
      </c>
      <c r="O12">
        <v>14</v>
      </c>
      <c r="P12">
        <v>1</v>
      </c>
      <c r="Q12">
        <v>3</v>
      </c>
      <c r="R12">
        <v>20</v>
      </c>
      <c r="S12">
        <v>6</v>
      </c>
      <c r="T12">
        <v>7</v>
      </c>
      <c r="U12" s="168">
        <v>44758</v>
      </c>
      <c r="V12">
        <v>3</v>
      </c>
      <c r="W12" s="169" t="s">
        <v>146</v>
      </c>
      <c r="X12">
        <v>0</v>
      </c>
      <c r="Y12">
        <v>1</v>
      </c>
      <c r="AN12" s="181" t="s">
        <v>395</v>
      </c>
      <c r="AO12" s="172" t="s">
        <v>171</v>
      </c>
      <c r="AP12" s="169">
        <v>5</v>
      </c>
      <c r="AQ12" s="169">
        <v>208980</v>
      </c>
      <c r="AR12" s="169">
        <v>5</v>
      </c>
      <c r="AS12" s="169">
        <v>197460</v>
      </c>
    </row>
    <row r="13" spans="1:45" x14ac:dyDescent="0.25">
      <c r="A13" s="169" t="s">
        <v>174</v>
      </c>
      <c r="C13" s="169" t="s">
        <v>411</v>
      </c>
      <c r="D13">
        <v>468952531</v>
      </c>
      <c r="F13" s="169" t="s">
        <v>172</v>
      </c>
      <c r="G13">
        <v>1</v>
      </c>
      <c r="H13" s="169" t="s">
        <v>172</v>
      </c>
      <c r="J13" s="169" t="s">
        <v>172</v>
      </c>
      <c r="K13">
        <v>17</v>
      </c>
      <c r="L13">
        <v>110</v>
      </c>
      <c r="M13">
        <v>740</v>
      </c>
      <c r="N13">
        <v>310</v>
      </c>
      <c r="O13">
        <v>14</v>
      </c>
      <c r="P13">
        <v>1</v>
      </c>
      <c r="Q13">
        <v>3</v>
      </c>
      <c r="R13">
        <v>20</v>
      </c>
      <c r="S13">
        <v>7</v>
      </c>
      <c r="T13">
        <v>7</v>
      </c>
      <c r="U13" s="168">
        <v>44758</v>
      </c>
      <c r="V13">
        <v>3</v>
      </c>
      <c r="W13" s="169" t="s">
        <v>146</v>
      </c>
      <c r="X13">
        <v>0</v>
      </c>
      <c r="Y13">
        <v>2</v>
      </c>
      <c r="AN13" s="172" t="s">
        <v>460</v>
      </c>
      <c r="AP13" s="169"/>
      <c r="AQ13" s="169"/>
      <c r="AR13" s="169"/>
      <c r="AS13" s="169"/>
    </row>
    <row r="14" spans="1:45" x14ac:dyDescent="0.25">
      <c r="A14" s="169" t="s">
        <v>174</v>
      </c>
      <c r="C14" s="169" t="s">
        <v>412</v>
      </c>
      <c r="D14">
        <v>469295839</v>
      </c>
      <c r="F14" s="169" t="s">
        <v>172</v>
      </c>
      <c r="G14">
        <v>1</v>
      </c>
      <c r="H14" s="169" t="s">
        <v>172</v>
      </c>
      <c r="J14" s="169" t="s">
        <v>172</v>
      </c>
      <c r="K14">
        <v>18</v>
      </c>
      <c r="L14">
        <v>29</v>
      </c>
      <c r="M14">
        <v>1460</v>
      </c>
      <c r="N14">
        <v>310</v>
      </c>
      <c r="O14">
        <v>11</v>
      </c>
      <c r="P14">
        <v>2</v>
      </c>
      <c r="Q14">
        <v>3</v>
      </c>
      <c r="R14">
        <v>20</v>
      </c>
      <c r="S14">
        <v>5</v>
      </c>
      <c r="T14">
        <v>7</v>
      </c>
      <c r="U14" s="168">
        <v>44758</v>
      </c>
      <c r="V14">
        <v>4</v>
      </c>
      <c r="W14" s="169" t="s">
        <v>148</v>
      </c>
      <c r="X14">
        <v>0</v>
      </c>
      <c r="Y14">
        <v>2</v>
      </c>
      <c r="AN14" s="181" t="s">
        <v>389</v>
      </c>
      <c r="AO14" s="172" t="s">
        <v>176</v>
      </c>
      <c r="AP14" s="169">
        <v>6</v>
      </c>
      <c r="AQ14" s="169">
        <v>255790</v>
      </c>
      <c r="AR14" s="169">
        <v>6</v>
      </c>
      <c r="AS14" s="169">
        <v>256950</v>
      </c>
    </row>
    <row r="15" spans="1:45" x14ac:dyDescent="0.25">
      <c r="A15" s="169" t="s">
        <v>174</v>
      </c>
      <c r="C15" s="169" t="s">
        <v>412</v>
      </c>
      <c r="D15">
        <v>469295839</v>
      </c>
      <c r="F15" s="169" t="s">
        <v>172</v>
      </c>
      <c r="G15">
        <v>1</v>
      </c>
      <c r="H15" s="169" t="s">
        <v>172</v>
      </c>
      <c r="K15">
        <v>18</v>
      </c>
      <c r="L15">
        <v>25</v>
      </c>
      <c r="M15">
        <v>1740</v>
      </c>
      <c r="N15">
        <v>310</v>
      </c>
      <c r="O15">
        <v>10</v>
      </c>
      <c r="P15">
        <v>2</v>
      </c>
      <c r="Q15">
        <v>3</v>
      </c>
      <c r="R15">
        <v>20</v>
      </c>
      <c r="S15">
        <v>6</v>
      </c>
      <c r="T15">
        <v>7</v>
      </c>
      <c r="U15" s="168">
        <v>44758</v>
      </c>
      <c r="V15">
        <v>4</v>
      </c>
      <c r="W15" s="169" t="s">
        <v>148</v>
      </c>
      <c r="X15">
        <v>0</v>
      </c>
      <c r="Y15">
        <v>1</v>
      </c>
      <c r="AN15" s="172" t="s">
        <v>457</v>
      </c>
      <c r="AP15" s="169"/>
      <c r="AQ15" s="169"/>
      <c r="AR15" s="169"/>
      <c r="AS15" s="169"/>
    </row>
    <row r="16" spans="1:45" x14ac:dyDescent="0.25">
      <c r="A16" s="169" t="s">
        <v>174</v>
      </c>
      <c r="C16" s="169" t="s">
        <v>413</v>
      </c>
      <c r="D16">
        <v>460128913</v>
      </c>
      <c r="F16" s="169" t="s">
        <v>172</v>
      </c>
      <c r="G16">
        <v>1</v>
      </c>
      <c r="H16" s="169" t="s">
        <v>172</v>
      </c>
      <c r="K16">
        <v>23</v>
      </c>
      <c r="L16">
        <v>35</v>
      </c>
      <c r="M16">
        <v>1310</v>
      </c>
      <c r="N16">
        <v>310</v>
      </c>
      <c r="O16">
        <v>65</v>
      </c>
      <c r="P16">
        <v>2</v>
      </c>
      <c r="Q16">
        <v>5</v>
      </c>
      <c r="R16">
        <v>20</v>
      </c>
      <c r="S16">
        <v>6</v>
      </c>
      <c r="T16">
        <v>8</v>
      </c>
      <c r="U16" s="168">
        <v>44720</v>
      </c>
      <c r="V16">
        <v>2.5</v>
      </c>
      <c r="W16" s="169" t="s">
        <v>146</v>
      </c>
      <c r="X16">
        <v>0</v>
      </c>
      <c r="Y16">
        <v>1</v>
      </c>
      <c r="AN16" s="181" t="s">
        <v>381</v>
      </c>
      <c r="AO16" s="172" t="s">
        <v>171</v>
      </c>
      <c r="AP16" s="169">
        <v>6</v>
      </c>
      <c r="AQ16" s="169">
        <v>306640</v>
      </c>
      <c r="AR16" s="169">
        <v>5</v>
      </c>
      <c r="AS16" s="169">
        <v>300420</v>
      </c>
    </row>
    <row r="17" spans="1:45" x14ac:dyDescent="0.25">
      <c r="A17" s="169" t="s">
        <v>174</v>
      </c>
      <c r="C17" s="169" t="s">
        <v>413</v>
      </c>
      <c r="D17">
        <v>460128913</v>
      </c>
      <c r="F17" s="169" t="s">
        <v>172</v>
      </c>
      <c r="G17">
        <v>1</v>
      </c>
      <c r="H17" s="169" t="s">
        <v>172</v>
      </c>
      <c r="J17" s="169" t="s">
        <v>172</v>
      </c>
      <c r="K17">
        <v>23</v>
      </c>
      <c r="L17">
        <v>39</v>
      </c>
      <c r="M17">
        <v>1380</v>
      </c>
      <c r="N17">
        <v>310</v>
      </c>
      <c r="O17">
        <v>66</v>
      </c>
      <c r="P17">
        <v>2</v>
      </c>
      <c r="Q17">
        <v>5</v>
      </c>
      <c r="R17">
        <v>20</v>
      </c>
      <c r="S17">
        <v>6</v>
      </c>
      <c r="T17">
        <v>8</v>
      </c>
      <c r="U17" s="168">
        <v>44720</v>
      </c>
      <c r="V17">
        <v>25</v>
      </c>
      <c r="W17" s="169" t="s">
        <v>146</v>
      </c>
      <c r="X17">
        <v>0</v>
      </c>
      <c r="Y17">
        <v>2</v>
      </c>
      <c r="AN17" s="172" t="s">
        <v>456</v>
      </c>
      <c r="AP17" s="169"/>
      <c r="AQ17" s="169"/>
      <c r="AR17" s="169"/>
      <c r="AS17" s="169"/>
    </row>
    <row r="18" spans="1:45" x14ac:dyDescent="0.25">
      <c r="A18" s="169" t="s">
        <v>174</v>
      </c>
      <c r="C18" s="169" t="s">
        <v>414</v>
      </c>
      <c r="D18">
        <v>470168916</v>
      </c>
      <c r="F18" s="169" t="s">
        <v>172</v>
      </c>
      <c r="G18">
        <v>1</v>
      </c>
      <c r="H18" s="169" t="s">
        <v>172</v>
      </c>
      <c r="K18">
        <v>19</v>
      </c>
      <c r="L18">
        <v>47</v>
      </c>
      <c r="M18">
        <v>590</v>
      </c>
      <c r="N18">
        <v>350</v>
      </c>
      <c r="O18">
        <v>5</v>
      </c>
      <c r="P18">
        <v>1</v>
      </c>
      <c r="Q18">
        <v>4</v>
      </c>
      <c r="R18">
        <v>20</v>
      </c>
      <c r="S18">
        <v>5</v>
      </c>
      <c r="T18">
        <v>7</v>
      </c>
      <c r="U18" s="168">
        <v>44762</v>
      </c>
      <c r="V18">
        <v>3</v>
      </c>
      <c r="W18" s="169" t="s">
        <v>181</v>
      </c>
      <c r="X18">
        <v>0</v>
      </c>
      <c r="Y18">
        <v>1</v>
      </c>
      <c r="AN18" s="181" t="s">
        <v>385</v>
      </c>
      <c r="AO18" s="172" t="s">
        <v>171</v>
      </c>
      <c r="AP18" s="169">
        <v>7</v>
      </c>
      <c r="AQ18" s="169">
        <v>340090</v>
      </c>
      <c r="AR18" s="169">
        <v>7</v>
      </c>
      <c r="AS18" s="169">
        <v>331140</v>
      </c>
    </row>
    <row r="19" spans="1:45" x14ac:dyDescent="0.25">
      <c r="A19" s="169" t="s">
        <v>174</v>
      </c>
      <c r="C19" s="169" t="s">
        <v>414</v>
      </c>
      <c r="D19">
        <v>470168916</v>
      </c>
      <c r="F19" s="169" t="s">
        <v>172</v>
      </c>
      <c r="G19">
        <v>1</v>
      </c>
      <c r="H19" s="169" t="s">
        <v>172</v>
      </c>
      <c r="J19" s="169" t="s">
        <v>172</v>
      </c>
      <c r="K19">
        <v>19</v>
      </c>
      <c r="L19">
        <v>51</v>
      </c>
      <c r="M19">
        <v>650</v>
      </c>
      <c r="N19">
        <v>350</v>
      </c>
      <c r="O19">
        <v>6</v>
      </c>
      <c r="P19">
        <v>1</v>
      </c>
      <c r="Q19">
        <v>4</v>
      </c>
      <c r="R19">
        <v>20</v>
      </c>
      <c r="S19">
        <v>6</v>
      </c>
      <c r="T19">
        <v>7</v>
      </c>
      <c r="U19" s="168">
        <v>44762</v>
      </c>
      <c r="V19">
        <v>3</v>
      </c>
      <c r="W19" s="169" t="s">
        <v>181</v>
      </c>
      <c r="X19">
        <v>0</v>
      </c>
      <c r="Y19">
        <v>2</v>
      </c>
      <c r="AN19" s="172" t="s">
        <v>459</v>
      </c>
      <c r="AP19" s="169"/>
      <c r="AQ19" s="169"/>
      <c r="AR19" s="169"/>
      <c r="AS19" s="169"/>
    </row>
    <row r="20" spans="1:45" x14ac:dyDescent="0.25">
      <c r="A20" s="169" t="s">
        <v>174</v>
      </c>
      <c r="C20" s="169" t="s">
        <v>415</v>
      </c>
      <c r="D20">
        <v>461519189</v>
      </c>
      <c r="F20" s="169" t="s">
        <v>176</v>
      </c>
      <c r="G20">
        <v>1</v>
      </c>
      <c r="H20" s="169" t="s">
        <v>172</v>
      </c>
      <c r="K20">
        <v>22</v>
      </c>
      <c r="L20">
        <v>42</v>
      </c>
      <c r="M20">
        <v>640</v>
      </c>
      <c r="N20">
        <v>290</v>
      </c>
      <c r="O20">
        <v>54</v>
      </c>
      <c r="P20">
        <v>2</v>
      </c>
      <c r="Q20">
        <v>6</v>
      </c>
      <c r="R20">
        <v>20</v>
      </c>
      <c r="S20">
        <v>4</v>
      </c>
      <c r="T20">
        <v>8</v>
      </c>
      <c r="U20" s="168">
        <v>44762</v>
      </c>
      <c r="V20">
        <v>2</v>
      </c>
      <c r="W20" s="169" t="s">
        <v>148</v>
      </c>
      <c r="X20">
        <v>0</v>
      </c>
      <c r="Y20">
        <v>1</v>
      </c>
      <c r="AN20" s="181" t="s">
        <v>391</v>
      </c>
      <c r="AO20" s="172" t="s">
        <v>180</v>
      </c>
      <c r="AP20" s="169">
        <v>6</v>
      </c>
      <c r="AQ20" s="169">
        <v>157410</v>
      </c>
      <c r="AR20" s="169">
        <v>6</v>
      </c>
      <c r="AS20" s="169">
        <v>170060</v>
      </c>
    </row>
    <row r="21" spans="1:45" x14ac:dyDescent="0.25">
      <c r="A21" s="169" t="s">
        <v>174</v>
      </c>
      <c r="C21" s="169" t="s">
        <v>415</v>
      </c>
      <c r="D21">
        <v>461519189</v>
      </c>
      <c r="F21" s="169" t="s">
        <v>176</v>
      </c>
      <c r="G21">
        <v>1</v>
      </c>
      <c r="H21" s="169" t="s">
        <v>172</v>
      </c>
      <c r="J21" s="169" t="s">
        <v>172</v>
      </c>
      <c r="K21">
        <v>22</v>
      </c>
      <c r="L21">
        <v>46</v>
      </c>
      <c r="M21">
        <v>720</v>
      </c>
      <c r="N21">
        <v>290</v>
      </c>
      <c r="O21">
        <v>54</v>
      </c>
      <c r="P21">
        <v>2</v>
      </c>
      <c r="Q21">
        <v>6</v>
      </c>
      <c r="R21">
        <v>20</v>
      </c>
      <c r="S21">
        <v>4</v>
      </c>
      <c r="T21">
        <v>8</v>
      </c>
      <c r="U21" s="168">
        <v>44762</v>
      </c>
      <c r="V21">
        <v>2</v>
      </c>
      <c r="W21" s="169" t="s">
        <v>148</v>
      </c>
      <c r="X21">
        <v>0</v>
      </c>
      <c r="Y21">
        <v>2</v>
      </c>
      <c r="AN21" s="181" t="s">
        <v>399</v>
      </c>
      <c r="AO21" s="172" t="s">
        <v>183</v>
      </c>
      <c r="AP21" s="169">
        <v>8</v>
      </c>
      <c r="AQ21" s="169">
        <v>264900</v>
      </c>
      <c r="AR21" s="169">
        <v>8</v>
      </c>
      <c r="AS21" s="169">
        <v>270320</v>
      </c>
    </row>
    <row r="22" spans="1:45" x14ac:dyDescent="0.25">
      <c r="A22" s="169" t="s">
        <v>190</v>
      </c>
      <c r="B22">
        <v>12</v>
      </c>
      <c r="C22" s="169" t="s">
        <v>396</v>
      </c>
      <c r="D22">
        <v>440240188</v>
      </c>
      <c r="F22" s="169" t="s">
        <v>176</v>
      </c>
      <c r="H22" s="169" t="s">
        <v>172</v>
      </c>
      <c r="J22" s="169" t="s">
        <v>172</v>
      </c>
      <c r="K22">
        <v>29</v>
      </c>
      <c r="L22">
        <v>54</v>
      </c>
      <c r="M22">
        <v>92110</v>
      </c>
      <c r="N22">
        <v>23232</v>
      </c>
      <c r="O22">
        <v>33</v>
      </c>
      <c r="P22">
        <v>7</v>
      </c>
      <c r="Q22">
        <v>1</v>
      </c>
      <c r="R22">
        <v>16</v>
      </c>
      <c r="S22">
        <v>6</v>
      </c>
      <c r="T22">
        <v>8</v>
      </c>
      <c r="U22" s="168">
        <v>44776</v>
      </c>
      <c r="V22">
        <v>75</v>
      </c>
      <c r="W22" s="169" t="s">
        <v>147</v>
      </c>
      <c r="X22">
        <v>1</v>
      </c>
      <c r="Y22">
        <v>2</v>
      </c>
      <c r="Z22" t="s">
        <v>244</v>
      </c>
      <c r="AN22" s="172" t="s">
        <v>242</v>
      </c>
      <c r="AP22" s="169"/>
      <c r="AQ22" s="169"/>
      <c r="AR22" s="169"/>
      <c r="AS22" s="169"/>
    </row>
    <row r="23" spans="1:45" x14ac:dyDescent="0.25">
      <c r="A23" s="169" t="s">
        <v>190</v>
      </c>
      <c r="B23">
        <v>12</v>
      </c>
      <c r="C23" s="169" t="s">
        <v>396</v>
      </c>
      <c r="D23">
        <v>440240188</v>
      </c>
      <c r="F23" s="169" t="s">
        <v>176</v>
      </c>
      <c r="H23" s="169" t="s">
        <v>172</v>
      </c>
      <c r="K23">
        <v>29</v>
      </c>
      <c r="L23">
        <v>50</v>
      </c>
      <c r="M23">
        <v>94160</v>
      </c>
      <c r="N23">
        <v>23232</v>
      </c>
      <c r="O23">
        <v>32</v>
      </c>
      <c r="P23">
        <v>7</v>
      </c>
      <c r="Q23">
        <v>1</v>
      </c>
      <c r="R23">
        <v>16</v>
      </c>
      <c r="S23">
        <v>6</v>
      </c>
      <c r="T23">
        <v>8</v>
      </c>
      <c r="U23" s="168">
        <v>44769</v>
      </c>
      <c r="V23">
        <v>4.5</v>
      </c>
      <c r="W23" s="169" t="s">
        <v>148</v>
      </c>
      <c r="X23">
        <v>1</v>
      </c>
      <c r="Y23">
        <v>1</v>
      </c>
      <c r="Z23" t="s">
        <v>244</v>
      </c>
      <c r="AN23" s="181" t="s">
        <v>379</v>
      </c>
      <c r="AO23" s="172" t="s">
        <v>171</v>
      </c>
      <c r="AP23" s="169">
        <v>6</v>
      </c>
      <c r="AQ23" s="169">
        <v>218640</v>
      </c>
      <c r="AR23" s="169">
        <v>6</v>
      </c>
      <c r="AS23" s="169">
        <v>224500</v>
      </c>
    </row>
    <row r="24" spans="1:45" x14ac:dyDescent="0.25">
      <c r="A24" s="169" t="s">
        <v>174</v>
      </c>
      <c r="B24">
        <v>27</v>
      </c>
      <c r="C24" s="169" t="s">
        <v>405</v>
      </c>
      <c r="D24">
        <v>459575678</v>
      </c>
      <c r="F24" s="169" t="s">
        <v>346</v>
      </c>
      <c r="G24">
        <v>1</v>
      </c>
      <c r="H24" s="169" t="s">
        <v>172</v>
      </c>
      <c r="K24">
        <v>21</v>
      </c>
      <c r="L24">
        <v>65</v>
      </c>
      <c r="M24">
        <v>710</v>
      </c>
      <c r="N24">
        <v>310</v>
      </c>
      <c r="O24">
        <v>69</v>
      </c>
      <c r="P24">
        <v>2</v>
      </c>
      <c r="Q24">
        <v>2</v>
      </c>
      <c r="R24">
        <v>20</v>
      </c>
      <c r="S24">
        <v>5</v>
      </c>
      <c r="T24">
        <v>8</v>
      </c>
      <c r="U24" s="168">
        <v>44727</v>
      </c>
      <c r="V24">
        <v>2.5</v>
      </c>
      <c r="W24" s="169" t="s">
        <v>181</v>
      </c>
      <c r="X24">
        <v>0</v>
      </c>
      <c r="Y24">
        <v>1</v>
      </c>
      <c r="AN24" s="181" t="s">
        <v>387</v>
      </c>
      <c r="AO24" s="172" t="s">
        <v>183</v>
      </c>
      <c r="AP24" s="169">
        <v>7</v>
      </c>
      <c r="AQ24" s="169">
        <v>294830</v>
      </c>
      <c r="AR24" s="169">
        <v>7</v>
      </c>
      <c r="AS24" s="169">
        <v>281280</v>
      </c>
    </row>
    <row r="25" spans="1:45" x14ac:dyDescent="0.25">
      <c r="A25" s="169" t="s">
        <v>174</v>
      </c>
      <c r="B25">
        <v>27</v>
      </c>
      <c r="C25" s="169" t="s">
        <v>405</v>
      </c>
      <c r="D25">
        <v>459575678</v>
      </c>
      <c r="F25" s="169" t="s">
        <v>346</v>
      </c>
      <c r="G25">
        <v>1</v>
      </c>
      <c r="H25" s="169" t="s">
        <v>172</v>
      </c>
      <c r="J25" s="169" t="s">
        <v>172</v>
      </c>
      <c r="K25">
        <v>21</v>
      </c>
      <c r="L25">
        <v>69</v>
      </c>
      <c r="M25">
        <v>770</v>
      </c>
      <c r="N25">
        <v>310</v>
      </c>
      <c r="O25">
        <v>69</v>
      </c>
      <c r="P25">
        <v>2</v>
      </c>
      <c r="Q25">
        <v>2</v>
      </c>
      <c r="R25">
        <v>20</v>
      </c>
      <c r="S25">
        <v>6</v>
      </c>
      <c r="T25">
        <v>8</v>
      </c>
      <c r="U25" s="168">
        <v>44727</v>
      </c>
      <c r="V25">
        <v>25</v>
      </c>
      <c r="W25" s="169" t="s">
        <v>181</v>
      </c>
      <c r="X25">
        <v>0</v>
      </c>
      <c r="Y25">
        <v>2</v>
      </c>
      <c r="AN25" s="181" t="s">
        <v>393</v>
      </c>
      <c r="AO25" s="172" t="s">
        <v>171</v>
      </c>
      <c r="AP25" s="169">
        <v>5</v>
      </c>
      <c r="AQ25" s="169">
        <v>150760</v>
      </c>
      <c r="AR25" s="169">
        <v>6</v>
      </c>
      <c r="AS25" s="169">
        <v>158870</v>
      </c>
    </row>
    <row r="26" spans="1:45" x14ac:dyDescent="0.25">
      <c r="A26" s="169" t="s">
        <v>174</v>
      </c>
      <c r="B26">
        <v>28</v>
      </c>
      <c r="C26" s="169" t="s">
        <v>406</v>
      </c>
      <c r="D26">
        <v>462466686</v>
      </c>
      <c r="F26" s="169" t="s">
        <v>172</v>
      </c>
      <c r="G26">
        <v>1</v>
      </c>
      <c r="H26" s="169" t="s">
        <v>172</v>
      </c>
      <c r="J26" s="169" t="s">
        <v>172</v>
      </c>
      <c r="K26">
        <v>22</v>
      </c>
      <c r="L26">
        <v>4</v>
      </c>
      <c r="M26">
        <v>760</v>
      </c>
      <c r="N26">
        <v>330</v>
      </c>
      <c r="O26">
        <v>48</v>
      </c>
      <c r="P26">
        <v>2</v>
      </c>
      <c r="Q26">
        <v>4</v>
      </c>
      <c r="R26">
        <v>20</v>
      </c>
      <c r="S26">
        <v>4</v>
      </c>
      <c r="T26">
        <v>8</v>
      </c>
      <c r="U26" s="168">
        <v>44755</v>
      </c>
      <c r="V26">
        <v>2</v>
      </c>
      <c r="W26" s="169" t="s">
        <v>173</v>
      </c>
      <c r="X26">
        <v>0</v>
      </c>
      <c r="Y26">
        <v>2</v>
      </c>
      <c r="AN26" s="172" t="s">
        <v>458</v>
      </c>
      <c r="AP26" s="169"/>
      <c r="AQ26" s="169"/>
      <c r="AR26" s="169"/>
      <c r="AS26" s="169"/>
    </row>
    <row r="27" spans="1:45" x14ac:dyDescent="0.25">
      <c r="A27" s="169" t="s">
        <v>174</v>
      </c>
      <c r="B27">
        <v>28</v>
      </c>
      <c r="C27" s="169" t="s">
        <v>406</v>
      </c>
      <c r="D27">
        <v>462466686</v>
      </c>
      <c r="F27" s="169" t="s">
        <v>172</v>
      </c>
      <c r="G27">
        <v>1</v>
      </c>
      <c r="H27" s="169" t="s">
        <v>172</v>
      </c>
      <c r="K27">
        <v>22</v>
      </c>
      <c r="L27">
        <v>0</v>
      </c>
      <c r="M27">
        <v>850</v>
      </c>
      <c r="N27">
        <v>330</v>
      </c>
      <c r="O27">
        <v>48</v>
      </c>
      <c r="P27">
        <v>2</v>
      </c>
      <c r="Q27">
        <v>4</v>
      </c>
      <c r="R27">
        <v>20</v>
      </c>
      <c r="S27">
        <v>5</v>
      </c>
      <c r="T27">
        <v>8</v>
      </c>
      <c r="U27" s="168">
        <v>44755</v>
      </c>
      <c r="V27">
        <v>2</v>
      </c>
      <c r="W27" s="169" t="s">
        <v>173</v>
      </c>
      <c r="X27">
        <v>0</v>
      </c>
      <c r="Y27">
        <v>1</v>
      </c>
      <c r="AN27" s="181" t="s">
        <v>383</v>
      </c>
      <c r="AO27" s="172" t="s">
        <v>176</v>
      </c>
      <c r="AP27" s="169">
        <v>6</v>
      </c>
      <c r="AQ27" s="169">
        <v>283770</v>
      </c>
      <c r="AR27" s="169">
        <v>6</v>
      </c>
      <c r="AS27" s="169">
        <v>281740</v>
      </c>
    </row>
    <row r="28" spans="1:45" x14ac:dyDescent="0.25">
      <c r="A28" s="169" t="s">
        <v>174</v>
      </c>
      <c r="B28">
        <v>29</v>
      </c>
      <c r="C28" s="169" t="s">
        <v>407</v>
      </c>
      <c r="D28">
        <v>452941201</v>
      </c>
      <c r="F28" s="169" t="s">
        <v>172</v>
      </c>
      <c r="G28">
        <v>1</v>
      </c>
      <c r="H28" s="169" t="s">
        <v>172</v>
      </c>
      <c r="J28" s="169" t="s">
        <v>172</v>
      </c>
      <c r="K28">
        <v>24</v>
      </c>
      <c r="L28">
        <v>44</v>
      </c>
      <c r="M28">
        <v>520</v>
      </c>
      <c r="N28">
        <v>290</v>
      </c>
      <c r="O28">
        <v>111</v>
      </c>
      <c r="P28">
        <v>2</v>
      </c>
      <c r="Q28">
        <v>1</v>
      </c>
      <c r="R28">
        <v>20</v>
      </c>
      <c r="S28">
        <v>3</v>
      </c>
      <c r="T28">
        <v>8</v>
      </c>
      <c r="U28" s="168">
        <v>44653</v>
      </c>
      <c r="V28">
        <v>2</v>
      </c>
      <c r="W28" s="169" t="s">
        <v>181</v>
      </c>
      <c r="X28">
        <v>0</v>
      </c>
      <c r="Y28">
        <v>2</v>
      </c>
      <c r="AN28" s="181" t="s">
        <v>394</v>
      </c>
      <c r="AO28" s="172" t="s">
        <v>171</v>
      </c>
      <c r="AP28" s="169">
        <v>7</v>
      </c>
      <c r="AQ28" s="169">
        <v>50970</v>
      </c>
      <c r="AR28" s="169">
        <v>7</v>
      </c>
      <c r="AS28" s="169">
        <v>51400</v>
      </c>
    </row>
    <row r="29" spans="1:45" x14ac:dyDescent="0.25">
      <c r="A29" s="169" t="s">
        <v>174</v>
      </c>
      <c r="B29">
        <v>29</v>
      </c>
      <c r="C29" s="169" t="s">
        <v>407</v>
      </c>
      <c r="D29">
        <v>452941201</v>
      </c>
      <c r="F29" s="169" t="s">
        <v>172</v>
      </c>
      <c r="G29">
        <v>1</v>
      </c>
      <c r="H29" s="169" t="s">
        <v>172</v>
      </c>
      <c r="K29">
        <v>24</v>
      </c>
      <c r="L29">
        <v>40</v>
      </c>
      <c r="M29">
        <v>600</v>
      </c>
      <c r="N29">
        <v>290</v>
      </c>
      <c r="O29">
        <v>111</v>
      </c>
      <c r="P29">
        <v>2</v>
      </c>
      <c r="Q29">
        <v>1</v>
      </c>
      <c r="R29">
        <v>20</v>
      </c>
      <c r="S29">
        <v>4</v>
      </c>
      <c r="T29">
        <v>8</v>
      </c>
      <c r="U29" s="168">
        <v>44653</v>
      </c>
      <c r="V29">
        <v>2</v>
      </c>
      <c r="W29" s="169" t="s">
        <v>181</v>
      </c>
      <c r="X29">
        <v>0</v>
      </c>
      <c r="Y29">
        <v>1</v>
      </c>
      <c r="AN29" s="172" t="s">
        <v>244</v>
      </c>
      <c r="AP29" s="169"/>
      <c r="AQ29" s="169"/>
      <c r="AR29" s="169"/>
      <c r="AS29" s="169"/>
    </row>
    <row r="30" spans="1:45" x14ac:dyDescent="0.25">
      <c r="A30" s="169" t="s">
        <v>268</v>
      </c>
      <c r="B30">
        <v>15</v>
      </c>
      <c r="C30" s="169" t="s">
        <v>400</v>
      </c>
      <c r="D30">
        <v>432095172</v>
      </c>
      <c r="F30" s="169" t="s">
        <v>176</v>
      </c>
      <c r="H30" s="169" t="s">
        <v>172</v>
      </c>
      <c r="K30">
        <v>32</v>
      </c>
      <c r="L30">
        <v>41</v>
      </c>
      <c r="M30">
        <v>53750</v>
      </c>
      <c r="N30">
        <v>18060</v>
      </c>
      <c r="O30">
        <v>56</v>
      </c>
      <c r="P30">
        <v>10</v>
      </c>
      <c r="Q30">
        <v>5</v>
      </c>
      <c r="R30">
        <v>20</v>
      </c>
      <c r="S30">
        <v>4</v>
      </c>
      <c r="T30">
        <v>7</v>
      </c>
      <c r="U30" s="168">
        <v>44769</v>
      </c>
      <c r="V30">
        <v>6</v>
      </c>
      <c r="W30" s="169" t="s">
        <v>146</v>
      </c>
      <c r="X30">
        <v>1</v>
      </c>
      <c r="Y30">
        <v>1</v>
      </c>
      <c r="Z30" t="s">
        <v>244</v>
      </c>
      <c r="AN30" s="181" t="s">
        <v>396</v>
      </c>
      <c r="AO30" s="172" t="s">
        <v>176</v>
      </c>
      <c r="AP30" s="169">
        <v>6</v>
      </c>
      <c r="AQ30" s="169">
        <v>94160</v>
      </c>
      <c r="AR30" s="169">
        <v>6</v>
      </c>
      <c r="AS30" s="169">
        <v>92110</v>
      </c>
    </row>
    <row r="31" spans="1:45" x14ac:dyDescent="0.25">
      <c r="A31" s="169" t="s">
        <v>268</v>
      </c>
      <c r="B31">
        <v>15</v>
      </c>
      <c r="C31" s="169" t="s">
        <v>400</v>
      </c>
      <c r="D31">
        <v>432095172</v>
      </c>
      <c r="F31" s="169" t="s">
        <v>176</v>
      </c>
      <c r="H31" s="169" t="s">
        <v>172</v>
      </c>
      <c r="J31" s="169" t="s">
        <v>172</v>
      </c>
      <c r="K31">
        <v>32</v>
      </c>
      <c r="L31">
        <v>45</v>
      </c>
      <c r="M31">
        <v>62100</v>
      </c>
      <c r="N31">
        <v>18060</v>
      </c>
      <c r="O31">
        <v>57</v>
      </c>
      <c r="P31">
        <v>10</v>
      </c>
      <c r="Q31">
        <v>5</v>
      </c>
      <c r="R31">
        <v>20</v>
      </c>
      <c r="S31">
        <v>5</v>
      </c>
      <c r="T31">
        <v>7</v>
      </c>
      <c r="U31" s="168">
        <v>44776</v>
      </c>
      <c r="V31">
        <v>45</v>
      </c>
      <c r="W31" s="169" t="s">
        <v>147</v>
      </c>
      <c r="X31">
        <v>1</v>
      </c>
      <c r="Y31">
        <v>2</v>
      </c>
      <c r="Z31" t="s">
        <v>244</v>
      </c>
      <c r="AN31" s="181" t="s">
        <v>400</v>
      </c>
      <c r="AO31" s="172" t="s">
        <v>176</v>
      </c>
      <c r="AP31" s="169">
        <v>4</v>
      </c>
      <c r="AQ31" s="169">
        <v>53750</v>
      </c>
      <c r="AR31" s="169">
        <v>5</v>
      </c>
      <c r="AS31" s="169">
        <v>62100</v>
      </c>
    </row>
    <row r="32" spans="1:45" x14ac:dyDescent="0.25">
      <c r="A32" s="169" t="s">
        <v>174</v>
      </c>
      <c r="C32" s="169" t="s">
        <v>416</v>
      </c>
      <c r="D32">
        <v>444552328</v>
      </c>
      <c r="F32" s="169" t="s">
        <v>176</v>
      </c>
      <c r="G32">
        <v>1</v>
      </c>
      <c r="H32" s="169" t="s">
        <v>172</v>
      </c>
      <c r="J32" s="169" t="s">
        <v>172</v>
      </c>
      <c r="K32">
        <v>27</v>
      </c>
      <c r="L32">
        <v>46</v>
      </c>
      <c r="M32">
        <v>790</v>
      </c>
      <c r="N32">
        <v>310</v>
      </c>
      <c r="O32">
        <v>159</v>
      </c>
      <c r="P32">
        <v>2</v>
      </c>
      <c r="Q32">
        <v>5</v>
      </c>
      <c r="R32">
        <v>20</v>
      </c>
      <c r="S32">
        <v>2</v>
      </c>
      <c r="T32">
        <v>7</v>
      </c>
      <c r="U32" s="168">
        <v>44206</v>
      </c>
      <c r="V32">
        <v>35</v>
      </c>
      <c r="W32" s="169" t="s">
        <v>148</v>
      </c>
      <c r="X32">
        <v>0</v>
      </c>
      <c r="Y32">
        <v>2</v>
      </c>
    </row>
    <row r="33" spans="1:26" x14ac:dyDescent="0.25">
      <c r="A33" s="169" t="s">
        <v>174</v>
      </c>
      <c r="C33" s="169" t="s">
        <v>416</v>
      </c>
      <c r="D33">
        <v>444552328</v>
      </c>
      <c r="F33" s="169" t="s">
        <v>176</v>
      </c>
      <c r="G33">
        <v>1</v>
      </c>
      <c r="H33" s="169" t="s">
        <v>172</v>
      </c>
      <c r="K33">
        <v>27</v>
      </c>
      <c r="L33">
        <v>42</v>
      </c>
      <c r="M33">
        <v>880</v>
      </c>
      <c r="N33">
        <v>310</v>
      </c>
      <c r="O33">
        <v>158</v>
      </c>
      <c r="P33">
        <v>2</v>
      </c>
      <c r="Q33">
        <v>5</v>
      </c>
      <c r="R33">
        <v>20</v>
      </c>
      <c r="S33">
        <v>3</v>
      </c>
      <c r="T33">
        <v>7</v>
      </c>
      <c r="U33" s="168">
        <v>44206</v>
      </c>
      <c r="V33">
        <v>3.5</v>
      </c>
      <c r="W33" s="169" t="s">
        <v>148</v>
      </c>
      <c r="X33">
        <v>0</v>
      </c>
      <c r="Y33">
        <v>1</v>
      </c>
    </row>
    <row r="34" spans="1:26" x14ac:dyDescent="0.25">
      <c r="A34" s="169" t="s">
        <v>388</v>
      </c>
      <c r="B34">
        <v>7</v>
      </c>
      <c r="C34" s="169" t="s">
        <v>389</v>
      </c>
      <c r="D34">
        <v>433647180</v>
      </c>
      <c r="F34" s="169" t="s">
        <v>176</v>
      </c>
      <c r="H34" s="169" t="s">
        <v>172</v>
      </c>
      <c r="K34">
        <v>31</v>
      </c>
      <c r="L34">
        <v>102</v>
      </c>
      <c r="M34">
        <v>255790</v>
      </c>
      <c r="N34">
        <v>45036</v>
      </c>
      <c r="O34">
        <v>157</v>
      </c>
      <c r="P34">
        <v>11</v>
      </c>
      <c r="Q34">
        <v>5</v>
      </c>
      <c r="R34">
        <v>20</v>
      </c>
      <c r="S34">
        <v>6</v>
      </c>
      <c r="T34">
        <v>7</v>
      </c>
      <c r="U34" s="168">
        <v>44772</v>
      </c>
      <c r="V34">
        <v>9.5</v>
      </c>
      <c r="W34" s="169" t="s">
        <v>148</v>
      </c>
      <c r="X34">
        <v>1</v>
      </c>
      <c r="Y34">
        <v>1</v>
      </c>
      <c r="Z34" t="s">
        <v>460</v>
      </c>
    </row>
    <row r="35" spans="1:26" x14ac:dyDescent="0.25">
      <c r="A35" s="169" t="s">
        <v>388</v>
      </c>
      <c r="B35">
        <v>7</v>
      </c>
      <c r="C35" s="169" t="s">
        <v>389</v>
      </c>
      <c r="D35">
        <v>433647180</v>
      </c>
      <c r="F35" s="169" t="s">
        <v>176</v>
      </c>
      <c r="H35" s="169" t="s">
        <v>172</v>
      </c>
      <c r="J35" s="169" t="s">
        <v>172</v>
      </c>
      <c r="K35">
        <v>31</v>
      </c>
      <c r="L35">
        <v>106</v>
      </c>
      <c r="M35">
        <v>256950</v>
      </c>
      <c r="N35">
        <v>45036</v>
      </c>
      <c r="O35">
        <v>158</v>
      </c>
      <c r="P35">
        <v>11</v>
      </c>
      <c r="Q35">
        <v>5</v>
      </c>
      <c r="R35">
        <v>20</v>
      </c>
      <c r="S35">
        <v>6</v>
      </c>
      <c r="T35">
        <v>7</v>
      </c>
      <c r="U35" s="168">
        <v>44772</v>
      </c>
      <c r="V35">
        <v>95</v>
      </c>
      <c r="W35" s="169" t="s">
        <v>148</v>
      </c>
      <c r="X35">
        <v>1</v>
      </c>
      <c r="Y35">
        <v>2</v>
      </c>
      <c r="Z35" t="s">
        <v>460</v>
      </c>
    </row>
    <row r="36" spans="1:26" x14ac:dyDescent="0.25">
      <c r="A36" s="169" t="s">
        <v>378</v>
      </c>
      <c r="B36">
        <v>2</v>
      </c>
      <c r="C36" s="169" t="s">
        <v>379</v>
      </c>
      <c r="D36">
        <v>434021655</v>
      </c>
      <c r="E36">
        <v>1</v>
      </c>
      <c r="F36" s="169" t="s">
        <v>171</v>
      </c>
      <c r="H36" s="169" t="s">
        <v>172</v>
      </c>
      <c r="K36">
        <v>31</v>
      </c>
      <c r="L36">
        <v>75</v>
      </c>
      <c r="M36">
        <v>218640</v>
      </c>
      <c r="N36">
        <v>45624</v>
      </c>
      <c r="O36">
        <v>161</v>
      </c>
      <c r="P36">
        <v>13</v>
      </c>
      <c r="Q36">
        <v>6</v>
      </c>
      <c r="R36">
        <v>20</v>
      </c>
      <c r="S36">
        <v>6</v>
      </c>
      <c r="T36">
        <v>7</v>
      </c>
      <c r="U36" s="168">
        <v>44772</v>
      </c>
      <c r="V36">
        <v>9.5</v>
      </c>
      <c r="W36" s="169" t="s">
        <v>147</v>
      </c>
      <c r="X36">
        <v>1</v>
      </c>
      <c r="Y36">
        <v>1</v>
      </c>
      <c r="Z36" t="s">
        <v>242</v>
      </c>
    </row>
    <row r="37" spans="1:26" x14ac:dyDescent="0.25">
      <c r="A37" s="169" t="s">
        <v>378</v>
      </c>
      <c r="B37">
        <v>2</v>
      </c>
      <c r="C37" s="169" t="s">
        <v>379</v>
      </c>
      <c r="D37">
        <v>434021655</v>
      </c>
      <c r="E37">
        <v>1</v>
      </c>
      <c r="F37" s="169" t="s">
        <v>171</v>
      </c>
      <c r="H37" s="169" t="s">
        <v>172</v>
      </c>
      <c r="J37" s="169" t="s">
        <v>172</v>
      </c>
      <c r="K37">
        <v>31</v>
      </c>
      <c r="L37">
        <v>79</v>
      </c>
      <c r="M37">
        <v>224500</v>
      </c>
      <c r="N37">
        <v>45624</v>
      </c>
      <c r="O37">
        <v>161</v>
      </c>
      <c r="P37">
        <v>13</v>
      </c>
      <c r="Q37">
        <v>6</v>
      </c>
      <c r="R37">
        <v>20</v>
      </c>
      <c r="S37">
        <v>6</v>
      </c>
      <c r="T37">
        <v>7</v>
      </c>
      <c r="U37" s="168">
        <v>44772</v>
      </c>
      <c r="V37">
        <v>95</v>
      </c>
      <c r="W37" s="169" t="s">
        <v>147</v>
      </c>
      <c r="X37">
        <v>1</v>
      </c>
      <c r="Y37">
        <v>2</v>
      </c>
      <c r="Z37" t="s">
        <v>242</v>
      </c>
    </row>
    <row r="38" spans="1:26" x14ac:dyDescent="0.25">
      <c r="A38" s="169" t="s">
        <v>380</v>
      </c>
      <c r="B38">
        <v>3</v>
      </c>
      <c r="C38" s="169" t="s">
        <v>381</v>
      </c>
      <c r="D38">
        <v>435673860</v>
      </c>
      <c r="F38" s="169" t="s">
        <v>171</v>
      </c>
      <c r="H38" s="169" t="s">
        <v>172</v>
      </c>
      <c r="I38">
        <v>1</v>
      </c>
      <c r="J38" s="169" t="s">
        <v>172</v>
      </c>
      <c r="K38">
        <v>30</v>
      </c>
      <c r="L38">
        <v>110</v>
      </c>
      <c r="M38">
        <v>300420</v>
      </c>
      <c r="N38">
        <v>52752</v>
      </c>
      <c r="O38">
        <v>223</v>
      </c>
      <c r="P38">
        <v>20</v>
      </c>
      <c r="Q38">
        <v>4</v>
      </c>
      <c r="R38">
        <v>20</v>
      </c>
      <c r="S38">
        <v>5</v>
      </c>
      <c r="T38">
        <v>8</v>
      </c>
      <c r="U38" s="168">
        <v>44772</v>
      </c>
      <c r="V38">
        <v>10</v>
      </c>
      <c r="W38" s="169" t="s">
        <v>201</v>
      </c>
      <c r="X38">
        <v>1</v>
      </c>
      <c r="Y38">
        <v>2</v>
      </c>
      <c r="Z38" t="s">
        <v>457</v>
      </c>
    </row>
    <row r="39" spans="1:26" x14ac:dyDescent="0.25">
      <c r="A39" s="169" t="s">
        <v>380</v>
      </c>
      <c r="B39">
        <v>3</v>
      </c>
      <c r="C39" s="169" t="s">
        <v>381</v>
      </c>
      <c r="D39">
        <v>435673860</v>
      </c>
      <c r="F39" s="169" t="s">
        <v>171</v>
      </c>
      <c r="H39" s="169" t="s">
        <v>172</v>
      </c>
      <c r="I39">
        <v>1</v>
      </c>
      <c r="K39">
        <v>30</v>
      </c>
      <c r="L39">
        <v>106</v>
      </c>
      <c r="M39">
        <v>306640</v>
      </c>
      <c r="N39">
        <v>52752</v>
      </c>
      <c r="O39">
        <v>222</v>
      </c>
      <c r="P39">
        <v>20</v>
      </c>
      <c r="Q39">
        <v>4</v>
      </c>
      <c r="R39">
        <v>20</v>
      </c>
      <c r="S39">
        <v>6</v>
      </c>
      <c r="T39">
        <v>8</v>
      </c>
      <c r="U39" s="168">
        <v>44772</v>
      </c>
      <c r="V39">
        <v>10</v>
      </c>
      <c r="W39" s="169" t="s">
        <v>201</v>
      </c>
      <c r="X39">
        <v>1</v>
      </c>
      <c r="Y39">
        <v>1</v>
      </c>
      <c r="Z39" t="s">
        <v>457</v>
      </c>
    </row>
    <row r="40" spans="1:26" x14ac:dyDescent="0.25">
      <c r="A40" s="169" t="s">
        <v>386</v>
      </c>
      <c r="B40">
        <v>6</v>
      </c>
      <c r="C40" s="169" t="s">
        <v>387</v>
      </c>
      <c r="D40">
        <v>435287357</v>
      </c>
      <c r="F40" s="169" t="s">
        <v>183</v>
      </c>
      <c r="H40" s="169" t="s">
        <v>172</v>
      </c>
      <c r="I40">
        <v>1</v>
      </c>
      <c r="J40" s="169" t="s">
        <v>172</v>
      </c>
      <c r="K40">
        <v>31</v>
      </c>
      <c r="L40">
        <v>20</v>
      </c>
      <c r="M40">
        <v>281280</v>
      </c>
      <c r="N40">
        <v>46260</v>
      </c>
      <c r="O40">
        <v>226</v>
      </c>
      <c r="P40">
        <v>17</v>
      </c>
      <c r="Q40">
        <v>1</v>
      </c>
      <c r="R40">
        <v>20</v>
      </c>
      <c r="S40">
        <v>7</v>
      </c>
      <c r="T40">
        <v>8</v>
      </c>
      <c r="U40" s="168">
        <v>44772</v>
      </c>
      <c r="V40">
        <v>12</v>
      </c>
      <c r="W40" s="169" t="s">
        <v>147</v>
      </c>
      <c r="X40">
        <v>1</v>
      </c>
      <c r="Y40">
        <v>2</v>
      </c>
      <c r="Z40" t="s">
        <v>242</v>
      </c>
    </row>
    <row r="41" spans="1:26" x14ac:dyDescent="0.25">
      <c r="A41" s="169" t="s">
        <v>386</v>
      </c>
      <c r="B41">
        <v>6</v>
      </c>
      <c r="C41" s="169" t="s">
        <v>387</v>
      </c>
      <c r="D41">
        <v>435287357</v>
      </c>
      <c r="F41" s="169" t="s">
        <v>183</v>
      </c>
      <c r="H41" s="169" t="s">
        <v>172</v>
      </c>
      <c r="I41">
        <v>1</v>
      </c>
      <c r="K41">
        <v>31</v>
      </c>
      <c r="L41">
        <v>16</v>
      </c>
      <c r="M41">
        <v>294830</v>
      </c>
      <c r="N41">
        <v>46260</v>
      </c>
      <c r="O41">
        <v>225</v>
      </c>
      <c r="P41">
        <v>17</v>
      </c>
      <c r="Q41">
        <v>1</v>
      </c>
      <c r="R41">
        <v>20</v>
      </c>
      <c r="S41">
        <v>7</v>
      </c>
      <c r="T41">
        <v>8</v>
      </c>
      <c r="U41" s="168">
        <v>44772</v>
      </c>
      <c r="V41">
        <v>12</v>
      </c>
      <c r="W41" s="169" t="s">
        <v>147</v>
      </c>
      <c r="X41">
        <v>1</v>
      </c>
      <c r="Y41">
        <v>1</v>
      </c>
      <c r="Z41" t="s">
        <v>242</v>
      </c>
    </row>
    <row r="42" spans="1:26" x14ac:dyDescent="0.25">
      <c r="A42" s="169" t="s">
        <v>174</v>
      </c>
      <c r="C42" s="169" t="s">
        <v>417</v>
      </c>
      <c r="D42">
        <v>469197459</v>
      </c>
      <c r="F42" s="169" t="s">
        <v>172</v>
      </c>
      <c r="G42">
        <v>1</v>
      </c>
      <c r="H42" s="169" t="s">
        <v>172</v>
      </c>
      <c r="K42">
        <v>20</v>
      </c>
      <c r="L42">
        <v>9</v>
      </c>
      <c r="M42">
        <v>470</v>
      </c>
      <c r="N42">
        <v>330</v>
      </c>
      <c r="O42">
        <v>11</v>
      </c>
      <c r="P42">
        <v>2</v>
      </c>
      <c r="Q42">
        <v>5</v>
      </c>
      <c r="R42">
        <v>20</v>
      </c>
      <c r="S42">
        <v>6</v>
      </c>
      <c r="T42">
        <v>7</v>
      </c>
      <c r="U42" s="168">
        <v>44755</v>
      </c>
      <c r="V42">
        <v>2.5</v>
      </c>
      <c r="W42" s="169" t="s">
        <v>148</v>
      </c>
      <c r="X42">
        <v>0</v>
      </c>
      <c r="Y42">
        <v>1</v>
      </c>
    </row>
    <row r="43" spans="1:26" x14ac:dyDescent="0.25">
      <c r="A43" s="169" t="s">
        <v>174</v>
      </c>
      <c r="C43" s="169" t="s">
        <v>417</v>
      </c>
      <c r="D43">
        <v>469197459</v>
      </c>
      <c r="F43" s="169" t="s">
        <v>172</v>
      </c>
      <c r="G43">
        <v>1</v>
      </c>
      <c r="H43" s="169" t="s">
        <v>172</v>
      </c>
      <c r="J43" s="169" t="s">
        <v>172</v>
      </c>
      <c r="K43">
        <v>20</v>
      </c>
      <c r="L43">
        <v>13</v>
      </c>
      <c r="M43">
        <v>490</v>
      </c>
      <c r="N43">
        <v>330</v>
      </c>
      <c r="O43">
        <v>12</v>
      </c>
      <c r="P43">
        <v>2</v>
      </c>
      <c r="Q43">
        <v>5</v>
      </c>
      <c r="R43">
        <v>20</v>
      </c>
      <c r="S43">
        <v>7</v>
      </c>
      <c r="T43">
        <v>7</v>
      </c>
      <c r="U43" s="168">
        <v>44755</v>
      </c>
      <c r="V43">
        <v>25</v>
      </c>
      <c r="W43" s="169" t="s">
        <v>148</v>
      </c>
      <c r="X43">
        <v>0</v>
      </c>
      <c r="Y43">
        <v>2</v>
      </c>
    </row>
    <row r="44" spans="1:26" x14ac:dyDescent="0.25">
      <c r="A44" s="169" t="s">
        <v>174</v>
      </c>
      <c r="C44" s="169" t="s">
        <v>418</v>
      </c>
      <c r="D44">
        <v>455749117</v>
      </c>
      <c r="F44" s="169" t="s">
        <v>172</v>
      </c>
      <c r="G44">
        <v>1</v>
      </c>
      <c r="H44" s="169" t="s">
        <v>172</v>
      </c>
      <c r="J44" s="169" t="s">
        <v>172</v>
      </c>
      <c r="K44">
        <v>26</v>
      </c>
      <c r="L44">
        <v>42</v>
      </c>
      <c r="M44">
        <v>750</v>
      </c>
      <c r="N44">
        <v>390</v>
      </c>
      <c r="O44">
        <v>94</v>
      </c>
      <c r="P44">
        <v>2</v>
      </c>
      <c r="Q44">
        <v>7</v>
      </c>
      <c r="R44">
        <v>20</v>
      </c>
      <c r="S44">
        <v>2</v>
      </c>
      <c r="T44">
        <v>7</v>
      </c>
      <c r="U44" s="168">
        <v>44206</v>
      </c>
      <c r="V44">
        <v>2</v>
      </c>
      <c r="W44" s="169" t="s">
        <v>147</v>
      </c>
      <c r="X44">
        <v>0</v>
      </c>
      <c r="Y44">
        <v>2</v>
      </c>
    </row>
    <row r="45" spans="1:26" x14ac:dyDescent="0.25">
      <c r="A45" s="169" t="s">
        <v>174</v>
      </c>
      <c r="C45" s="169" t="s">
        <v>418</v>
      </c>
      <c r="D45">
        <v>455749117</v>
      </c>
      <c r="F45" s="169" t="s">
        <v>172</v>
      </c>
      <c r="G45">
        <v>1</v>
      </c>
      <c r="H45" s="169" t="s">
        <v>172</v>
      </c>
      <c r="K45">
        <v>26</v>
      </c>
      <c r="L45">
        <v>38</v>
      </c>
      <c r="M45">
        <v>820</v>
      </c>
      <c r="N45">
        <v>390</v>
      </c>
      <c r="O45">
        <v>94</v>
      </c>
      <c r="P45">
        <v>2</v>
      </c>
      <c r="Q45">
        <v>7</v>
      </c>
      <c r="R45">
        <v>20</v>
      </c>
      <c r="S45">
        <v>3</v>
      </c>
      <c r="T45">
        <v>7</v>
      </c>
      <c r="U45" s="168">
        <v>44206</v>
      </c>
      <c r="V45">
        <v>2</v>
      </c>
      <c r="W45" s="169" t="s">
        <v>147</v>
      </c>
      <c r="X45">
        <v>0</v>
      </c>
      <c r="Y45">
        <v>1</v>
      </c>
    </row>
    <row r="46" spans="1:26" x14ac:dyDescent="0.25">
      <c r="A46" s="169" t="s">
        <v>174</v>
      </c>
      <c r="C46" s="169" t="s">
        <v>419</v>
      </c>
      <c r="D46">
        <v>470002012</v>
      </c>
      <c r="F46" s="169" t="s">
        <v>172</v>
      </c>
      <c r="G46">
        <v>1</v>
      </c>
      <c r="H46" s="169" t="s">
        <v>172</v>
      </c>
      <c r="J46" s="169" t="s">
        <v>172</v>
      </c>
      <c r="K46">
        <v>18</v>
      </c>
      <c r="L46">
        <v>42</v>
      </c>
      <c r="M46">
        <v>1230</v>
      </c>
      <c r="N46">
        <v>310</v>
      </c>
      <c r="O46">
        <v>8</v>
      </c>
      <c r="P46">
        <v>1</v>
      </c>
      <c r="Q46">
        <v>5</v>
      </c>
      <c r="R46">
        <v>20</v>
      </c>
      <c r="S46">
        <v>6</v>
      </c>
      <c r="T46">
        <v>7</v>
      </c>
      <c r="U46" s="168">
        <v>44758</v>
      </c>
      <c r="V46">
        <v>35</v>
      </c>
      <c r="W46" s="169" t="s">
        <v>147</v>
      </c>
      <c r="X46">
        <v>0</v>
      </c>
      <c r="Y46">
        <v>2</v>
      </c>
    </row>
    <row r="47" spans="1:26" x14ac:dyDescent="0.25">
      <c r="A47" s="169" t="s">
        <v>174</v>
      </c>
      <c r="C47" s="169" t="s">
        <v>419</v>
      </c>
      <c r="D47">
        <v>470002012</v>
      </c>
      <c r="F47" s="169" t="s">
        <v>172</v>
      </c>
      <c r="G47">
        <v>1</v>
      </c>
      <c r="H47" s="169" t="s">
        <v>172</v>
      </c>
      <c r="K47">
        <v>18</v>
      </c>
      <c r="L47">
        <v>38</v>
      </c>
      <c r="M47">
        <v>1280</v>
      </c>
      <c r="N47">
        <v>310</v>
      </c>
      <c r="O47">
        <v>7</v>
      </c>
      <c r="P47">
        <v>1</v>
      </c>
      <c r="Q47">
        <v>5</v>
      </c>
      <c r="R47">
        <v>20</v>
      </c>
      <c r="S47">
        <v>6</v>
      </c>
      <c r="T47">
        <v>7</v>
      </c>
      <c r="U47" s="168">
        <v>44758</v>
      </c>
      <c r="V47">
        <v>3.5</v>
      </c>
      <c r="W47" s="169" t="s">
        <v>147</v>
      </c>
      <c r="X47">
        <v>0</v>
      </c>
      <c r="Y47">
        <v>1</v>
      </c>
    </row>
    <row r="48" spans="1:26" x14ac:dyDescent="0.25">
      <c r="A48" s="169" t="s">
        <v>174</v>
      </c>
      <c r="C48" s="169" t="s">
        <v>420</v>
      </c>
      <c r="D48">
        <v>450071872</v>
      </c>
      <c r="F48" s="169" t="s">
        <v>176</v>
      </c>
      <c r="G48">
        <v>1</v>
      </c>
      <c r="H48" s="169" t="s">
        <v>172</v>
      </c>
      <c r="J48" s="169" t="s">
        <v>172</v>
      </c>
      <c r="K48">
        <v>26</v>
      </c>
      <c r="L48">
        <v>67</v>
      </c>
      <c r="M48">
        <v>540</v>
      </c>
      <c r="N48">
        <v>350</v>
      </c>
      <c r="O48">
        <v>125</v>
      </c>
      <c r="P48">
        <v>2</v>
      </c>
      <c r="Q48">
        <v>2</v>
      </c>
      <c r="R48">
        <v>20</v>
      </c>
      <c r="S48">
        <v>1</v>
      </c>
      <c r="T48">
        <v>7</v>
      </c>
      <c r="U48" s="168">
        <v>44650</v>
      </c>
      <c r="V48">
        <v>2</v>
      </c>
      <c r="W48" s="169" t="s">
        <v>147</v>
      </c>
      <c r="X48">
        <v>0</v>
      </c>
      <c r="Y48">
        <v>2</v>
      </c>
    </row>
    <row r="49" spans="1:26" x14ac:dyDescent="0.25">
      <c r="A49" s="169" t="s">
        <v>174</v>
      </c>
      <c r="C49" s="169" t="s">
        <v>420</v>
      </c>
      <c r="D49">
        <v>450071872</v>
      </c>
      <c r="F49" s="169" t="s">
        <v>176</v>
      </c>
      <c r="G49">
        <v>1</v>
      </c>
      <c r="H49" s="169" t="s">
        <v>172</v>
      </c>
      <c r="K49">
        <v>26</v>
      </c>
      <c r="L49">
        <v>63</v>
      </c>
      <c r="M49">
        <v>560</v>
      </c>
      <c r="N49">
        <v>350</v>
      </c>
      <c r="O49">
        <v>124</v>
      </c>
      <c r="P49">
        <v>2</v>
      </c>
      <c r="Q49">
        <v>2</v>
      </c>
      <c r="R49">
        <v>20</v>
      </c>
      <c r="S49">
        <v>1</v>
      </c>
      <c r="T49">
        <v>7</v>
      </c>
      <c r="U49" s="168">
        <v>44650</v>
      </c>
      <c r="V49">
        <v>2</v>
      </c>
      <c r="W49" s="169" t="s">
        <v>147</v>
      </c>
      <c r="X49">
        <v>0</v>
      </c>
      <c r="Y49">
        <v>1</v>
      </c>
    </row>
    <row r="50" spans="1:26" x14ac:dyDescent="0.25">
      <c r="A50" s="169" t="s">
        <v>174</v>
      </c>
      <c r="C50" s="169" t="s">
        <v>421</v>
      </c>
      <c r="D50">
        <v>440480860</v>
      </c>
      <c r="F50" s="169" t="s">
        <v>172</v>
      </c>
      <c r="G50">
        <v>1</v>
      </c>
      <c r="H50" s="169" t="s">
        <v>172</v>
      </c>
      <c r="J50" s="169" t="s">
        <v>172</v>
      </c>
      <c r="K50">
        <v>29</v>
      </c>
      <c r="L50">
        <v>25</v>
      </c>
      <c r="M50">
        <v>370</v>
      </c>
      <c r="N50">
        <v>290</v>
      </c>
      <c r="O50">
        <v>190</v>
      </c>
      <c r="P50">
        <v>2</v>
      </c>
      <c r="Q50">
        <v>3</v>
      </c>
      <c r="R50">
        <v>20</v>
      </c>
      <c r="S50">
        <v>4</v>
      </c>
      <c r="T50">
        <v>7</v>
      </c>
      <c r="U50" s="168">
        <v>44517</v>
      </c>
      <c r="V50">
        <v>3</v>
      </c>
      <c r="W50" s="169" t="s">
        <v>148</v>
      </c>
      <c r="X50">
        <v>0</v>
      </c>
      <c r="Y50">
        <v>2</v>
      </c>
    </row>
    <row r="51" spans="1:26" x14ac:dyDescent="0.25">
      <c r="A51" s="169" t="s">
        <v>174</v>
      </c>
      <c r="C51" s="169" t="s">
        <v>421</v>
      </c>
      <c r="D51">
        <v>440480860</v>
      </c>
      <c r="F51" s="169" t="s">
        <v>172</v>
      </c>
      <c r="G51">
        <v>1</v>
      </c>
      <c r="H51" s="169" t="s">
        <v>172</v>
      </c>
      <c r="K51">
        <v>29</v>
      </c>
      <c r="L51">
        <v>21</v>
      </c>
      <c r="M51">
        <v>390</v>
      </c>
      <c r="N51">
        <v>290</v>
      </c>
      <c r="O51">
        <v>189</v>
      </c>
      <c r="P51">
        <v>2</v>
      </c>
      <c r="Q51">
        <v>3</v>
      </c>
      <c r="R51">
        <v>20</v>
      </c>
      <c r="S51">
        <v>4</v>
      </c>
      <c r="T51">
        <v>7</v>
      </c>
      <c r="U51" s="168">
        <v>44517</v>
      </c>
      <c r="V51">
        <v>3</v>
      </c>
      <c r="W51" s="169" t="s">
        <v>148</v>
      </c>
      <c r="X51">
        <v>0</v>
      </c>
      <c r="Y51">
        <v>1</v>
      </c>
    </row>
    <row r="52" spans="1:26" x14ac:dyDescent="0.25">
      <c r="A52" s="169" t="s">
        <v>382</v>
      </c>
      <c r="B52">
        <v>4</v>
      </c>
      <c r="C52" s="169" t="s">
        <v>383</v>
      </c>
      <c r="D52">
        <v>436494782</v>
      </c>
      <c r="F52" s="169" t="s">
        <v>176</v>
      </c>
      <c r="H52" s="169" t="s">
        <v>172</v>
      </c>
      <c r="J52" s="169" t="s">
        <v>172</v>
      </c>
      <c r="K52">
        <v>30</v>
      </c>
      <c r="L52">
        <v>68</v>
      </c>
      <c r="M52">
        <v>281740</v>
      </c>
      <c r="N52">
        <v>55032</v>
      </c>
      <c r="O52">
        <v>155</v>
      </c>
      <c r="P52">
        <v>12</v>
      </c>
      <c r="Q52">
        <v>4</v>
      </c>
      <c r="R52">
        <v>20</v>
      </c>
      <c r="S52">
        <v>6</v>
      </c>
      <c r="T52">
        <v>8</v>
      </c>
      <c r="U52" s="168">
        <v>44772</v>
      </c>
      <c r="V52">
        <v>105</v>
      </c>
      <c r="W52" s="169" t="s">
        <v>147</v>
      </c>
      <c r="X52">
        <v>1</v>
      </c>
      <c r="Y52">
        <v>2</v>
      </c>
      <c r="Z52" t="s">
        <v>458</v>
      </c>
    </row>
    <row r="53" spans="1:26" x14ac:dyDescent="0.25">
      <c r="A53" s="169" t="s">
        <v>382</v>
      </c>
      <c r="B53">
        <v>4</v>
      </c>
      <c r="C53" s="169" t="s">
        <v>383</v>
      </c>
      <c r="D53">
        <v>436494782</v>
      </c>
      <c r="F53" s="169" t="s">
        <v>176</v>
      </c>
      <c r="H53" s="169" t="s">
        <v>172</v>
      </c>
      <c r="K53">
        <v>30</v>
      </c>
      <c r="L53">
        <v>64</v>
      </c>
      <c r="M53">
        <v>283770</v>
      </c>
      <c r="N53">
        <v>55032</v>
      </c>
      <c r="O53">
        <v>154</v>
      </c>
      <c r="P53">
        <v>12</v>
      </c>
      <c r="Q53">
        <v>4</v>
      </c>
      <c r="R53">
        <v>20</v>
      </c>
      <c r="S53">
        <v>6</v>
      </c>
      <c r="T53">
        <v>8</v>
      </c>
      <c r="U53" s="168">
        <v>44772</v>
      </c>
      <c r="V53">
        <v>10.5</v>
      </c>
      <c r="W53" s="169" t="s">
        <v>147</v>
      </c>
      <c r="X53">
        <v>1</v>
      </c>
      <c r="Y53">
        <v>1</v>
      </c>
      <c r="Z53" t="s">
        <v>458</v>
      </c>
    </row>
    <row r="54" spans="1:26" x14ac:dyDescent="0.25">
      <c r="A54" s="169" t="s">
        <v>174</v>
      </c>
      <c r="B54">
        <v>80</v>
      </c>
      <c r="C54" s="169" t="s">
        <v>409</v>
      </c>
      <c r="D54">
        <v>427395500</v>
      </c>
      <c r="F54" s="169" t="s">
        <v>180</v>
      </c>
      <c r="G54">
        <v>1</v>
      </c>
      <c r="H54" s="169" t="s">
        <v>172</v>
      </c>
      <c r="J54" s="169" t="s">
        <v>172</v>
      </c>
      <c r="K54">
        <v>35</v>
      </c>
      <c r="L54">
        <v>2</v>
      </c>
      <c r="M54">
        <v>130</v>
      </c>
      <c r="N54">
        <v>280</v>
      </c>
      <c r="O54">
        <v>275</v>
      </c>
      <c r="P54">
        <v>3</v>
      </c>
      <c r="Q54">
        <v>3</v>
      </c>
      <c r="R54">
        <v>20</v>
      </c>
      <c r="S54">
        <v>4</v>
      </c>
      <c r="T54">
        <v>5</v>
      </c>
      <c r="U54" s="168">
        <v>44695</v>
      </c>
      <c r="V54">
        <v>5</v>
      </c>
      <c r="W54" s="169" t="s">
        <v>201</v>
      </c>
      <c r="X54">
        <v>0</v>
      </c>
      <c r="Y54">
        <v>2</v>
      </c>
    </row>
    <row r="55" spans="1:26" x14ac:dyDescent="0.25">
      <c r="A55" s="169" t="s">
        <v>174</v>
      </c>
      <c r="B55">
        <v>80</v>
      </c>
      <c r="C55" s="169" t="s">
        <v>409</v>
      </c>
      <c r="D55">
        <v>427395500</v>
      </c>
      <c r="F55" s="169" t="s">
        <v>180</v>
      </c>
      <c r="G55">
        <v>1</v>
      </c>
      <c r="H55" s="169" t="s">
        <v>172</v>
      </c>
      <c r="K55">
        <v>34</v>
      </c>
      <c r="L55">
        <v>110</v>
      </c>
      <c r="M55">
        <v>140</v>
      </c>
      <c r="N55">
        <v>310</v>
      </c>
      <c r="O55">
        <v>274</v>
      </c>
      <c r="P55">
        <v>3</v>
      </c>
      <c r="Q55">
        <v>3</v>
      </c>
      <c r="R55">
        <v>20</v>
      </c>
      <c r="S55">
        <v>4</v>
      </c>
      <c r="T55">
        <v>5</v>
      </c>
      <c r="U55" s="168">
        <v>44695</v>
      </c>
      <c r="V55">
        <v>5</v>
      </c>
      <c r="W55" s="169" t="s">
        <v>201</v>
      </c>
      <c r="X55">
        <v>0</v>
      </c>
      <c r="Y55">
        <v>1</v>
      </c>
    </row>
    <row r="56" spans="1:26" x14ac:dyDescent="0.25">
      <c r="A56" s="169" t="s">
        <v>270</v>
      </c>
      <c r="B56">
        <v>21</v>
      </c>
      <c r="C56" s="169" t="s">
        <v>402</v>
      </c>
      <c r="D56">
        <v>416724524</v>
      </c>
      <c r="F56" s="169" t="s">
        <v>183</v>
      </c>
      <c r="H56" s="169" t="s">
        <v>172</v>
      </c>
      <c r="J56" s="169" t="s">
        <v>172</v>
      </c>
      <c r="K56">
        <v>37</v>
      </c>
      <c r="L56">
        <v>94</v>
      </c>
      <c r="M56">
        <v>2620</v>
      </c>
      <c r="N56">
        <v>648</v>
      </c>
      <c r="O56">
        <v>116</v>
      </c>
      <c r="P56">
        <v>13</v>
      </c>
      <c r="Q56">
        <v>1</v>
      </c>
      <c r="R56">
        <v>20</v>
      </c>
      <c r="S56">
        <v>7</v>
      </c>
      <c r="T56">
        <v>5</v>
      </c>
      <c r="U56" s="168">
        <v>44776</v>
      </c>
      <c r="V56">
        <v>65</v>
      </c>
      <c r="W56" s="169" t="s">
        <v>148</v>
      </c>
      <c r="X56">
        <v>0</v>
      </c>
      <c r="Y56">
        <v>2</v>
      </c>
    </row>
    <row r="57" spans="1:26" x14ac:dyDescent="0.25">
      <c r="A57" s="169" t="s">
        <v>270</v>
      </c>
      <c r="B57">
        <v>21</v>
      </c>
      <c r="C57" s="169" t="s">
        <v>402</v>
      </c>
      <c r="D57">
        <v>416724524</v>
      </c>
      <c r="F57" s="169" t="s">
        <v>183</v>
      </c>
      <c r="H57" s="169" t="s">
        <v>172</v>
      </c>
      <c r="K57">
        <v>37</v>
      </c>
      <c r="L57">
        <v>90</v>
      </c>
      <c r="M57">
        <v>2720</v>
      </c>
      <c r="N57">
        <v>648</v>
      </c>
      <c r="O57">
        <v>115</v>
      </c>
      <c r="P57">
        <v>13</v>
      </c>
      <c r="Q57">
        <v>1</v>
      </c>
      <c r="R57">
        <v>20</v>
      </c>
      <c r="S57">
        <v>7</v>
      </c>
      <c r="T57">
        <v>5</v>
      </c>
      <c r="U57" s="168">
        <v>44769</v>
      </c>
      <c r="V57">
        <v>3</v>
      </c>
      <c r="W57" s="169" t="s">
        <v>146</v>
      </c>
      <c r="X57">
        <v>0</v>
      </c>
      <c r="Y57">
        <v>1</v>
      </c>
    </row>
    <row r="58" spans="1:26" x14ac:dyDescent="0.25">
      <c r="A58" s="169" t="s">
        <v>202</v>
      </c>
      <c r="B58">
        <v>10</v>
      </c>
      <c r="C58" s="169" t="s">
        <v>394</v>
      </c>
      <c r="D58">
        <v>427125745</v>
      </c>
      <c r="F58" s="169" t="s">
        <v>171</v>
      </c>
      <c r="H58" s="169" t="s">
        <v>172</v>
      </c>
      <c r="K58">
        <v>34</v>
      </c>
      <c r="L58">
        <v>22</v>
      </c>
      <c r="M58">
        <v>50970</v>
      </c>
      <c r="N58">
        <v>22656</v>
      </c>
      <c r="O58">
        <v>40</v>
      </c>
      <c r="P58">
        <v>15</v>
      </c>
      <c r="Q58">
        <v>3</v>
      </c>
      <c r="R58">
        <v>18</v>
      </c>
      <c r="S58">
        <v>7</v>
      </c>
      <c r="T58">
        <v>7</v>
      </c>
      <c r="U58" s="168">
        <v>44772</v>
      </c>
      <c r="V58">
        <v>9.5</v>
      </c>
      <c r="W58" s="169" t="s">
        <v>146</v>
      </c>
      <c r="X58">
        <v>1</v>
      </c>
      <c r="Y58">
        <v>1</v>
      </c>
      <c r="Z58" t="s">
        <v>458</v>
      </c>
    </row>
    <row r="59" spans="1:26" x14ac:dyDescent="0.25">
      <c r="A59" s="169" t="s">
        <v>202</v>
      </c>
      <c r="B59">
        <v>10</v>
      </c>
      <c r="C59" s="169" t="s">
        <v>394</v>
      </c>
      <c r="D59">
        <v>427125745</v>
      </c>
      <c r="F59" s="169" t="s">
        <v>171</v>
      </c>
      <c r="H59" s="169" t="s">
        <v>172</v>
      </c>
      <c r="J59" s="169" t="s">
        <v>172</v>
      </c>
      <c r="K59">
        <v>34</v>
      </c>
      <c r="L59">
        <v>26</v>
      </c>
      <c r="M59">
        <v>51400</v>
      </c>
      <c r="N59">
        <v>22656</v>
      </c>
      <c r="O59">
        <v>41</v>
      </c>
      <c r="P59">
        <v>15</v>
      </c>
      <c r="Q59">
        <v>3</v>
      </c>
      <c r="R59">
        <v>18</v>
      </c>
      <c r="S59">
        <v>7</v>
      </c>
      <c r="T59">
        <v>7</v>
      </c>
      <c r="U59" s="168">
        <v>44776</v>
      </c>
      <c r="V59">
        <v>95</v>
      </c>
      <c r="W59" s="169" t="s">
        <v>147</v>
      </c>
      <c r="X59">
        <v>1</v>
      </c>
      <c r="Y59">
        <v>2</v>
      </c>
      <c r="Z59" t="s">
        <v>458</v>
      </c>
    </row>
    <row r="60" spans="1:26" x14ac:dyDescent="0.25">
      <c r="A60" s="169" t="s">
        <v>186</v>
      </c>
      <c r="B60">
        <v>23</v>
      </c>
      <c r="C60" s="169" t="s">
        <v>403</v>
      </c>
      <c r="D60">
        <v>432131108</v>
      </c>
      <c r="F60" s="169" t="s">
        <v>180</v>
      </c>
      <c r="H60" s="169" t="s">
        <v>172</v>
      </c>
      <c r="K60">
        <v>32</v>
      </c>
      <c r="L60">
        <v>68</v>
      </c>
      <c r="M60">
        <v>76000</v>
      </c>
      <c r="N60">
        <v>10452</v>
      </c>
      <c r="O60">
        <v>81</v>
      </c>
      <c r="P60">
        <v>10</v>
      </c>
      <c r="Q60">
        <v>6</v>
      </c>
      <c r="R60">
        <v>20</v>
      </c>
      <c r="S60">
        <v>5</v>
      </c>
      <c r="T60">
        <v>7</v>
      </c>
      <c r="U60" s="168">
        <v>44769</v>
      </c>
      <c r="V60">
        <v>9</v>
      </c>
      <c r="W60" s="169" t="s">
        <v>148</v>
      </c>
      <c r="X60">
        <v>1</v>
      </c>
      <c r="Y60">
        <v>1</v>
      </c>
      <c r="Z60" t="s">
        <v>148</v>
      </c>
    </row>
    <row r="61" spans="1:26" x14ac:dyDescent="0.25">
      <c r="A61" s="169" t="s">
        <v>186</v>
      </c>
      <c r="B61">
        <v>23</v>
      </c>
      <c r="C61" s="169" t="s">
        <v>403</v>
      </c>
      <c r="D61">
        <v>432131108</v>
      </c>
      <c r="F61" s="169" t="s">
        <v>180</v>
      </c>
      <c r="H61" s="169" t="s">
        <v>172</v>
      </c>
      <c r="J61" s="169" t="s">
        <v>172</v>
      </c>
      <c r="K61">
        <v>32</v>
      </c>
      <c r="L61">
        <v>72</v>
      </c>
      <c r="M61">
        <v>80270</v>
      </c>
      <c r="N61">
        <v>10452</v>
      </c>
      <c r="O61">
        <v>82</v>
      </c>
      <c r="P61">
        <v>10</v>
      </c>
      <c r="Q61">
        <v>6</v>
      </c>
      <c r="R61">
        <v>20</v>
      </c>
      <c r="S61">
        <v>6</v>
      </c>
      <c r="T61">
        <v>7</v>
      </c>
      <c r="U61" s="168">
        <v>44776</v>
      </c>
      <c r="V61">
        <v>9</v>
      </c>
      <c r="W61" s="169" t="s">
        <v>148</v>
      </c>
      <c r="X61">
        <v>1</v>
      </c>
      <c r="Y61">
        <v>2</v>
      </c>
      <c r="Z61" t="s">
        <v>148</v>
      </c>
    </row>
    <row r="62" spans="1:26" x14ac:dyDescent="0.25">
      <c r="A62" s="169" t="s">
        <v>174</v>
      </c>
      <c r="B62">
        <v>26</v>
      </c>
      <c r="C62" s="169" t="s">
        <v>404</v>
      </c>
      <c r="D62">
        <v>460847842</v>
      </c>
      <c r="F62" s="169" t="s">
        <v>180</v>
      </c>
      <c r="G62">
        <v>1</v>
      </c>
      <c r="H62" s="169" t="s">
        <v>172</v>
      </c>
      <c r="J62" s="169" t="s">
        <v>172</v>
      </c>
      <c r="K62">
        <v>21</v>
      </c>
      <c r="L62">
        <v>21</v>
      </c>
      <c r="M62">
        <v>250</v>
      </c>
      <c r="N62">
        <v>270</v>
      </c>
      <c r="O62">
        <v>59</v>
      </c>
      <c r="P62">
        <v>2</v>
      </c>
      <c r="Q62">
        <v>4</v>
      </c>
      <c r="R62">
        <v>20</v>
      </c>
      <c r="S62">
        <v>2</v>
      </c>
      <c r="T62">
        <v>8</v>
      </c>
      <c r="U62" s="168">
        <v>44727</v>
      </c>
      <c r="V62">
        <v>15</v>
      </c>
      <c r="W62" s="169" t="s">
        <v>147</v>
      </c>
      <c r="X62">
        <v>0</v>
      </c>
      <c r="Y62">
        <v>2</v>
      </c>
    </row>
    <row r="63" spans="1:26" x14ac:dyDescent="0.25">
      <c r="A63" s="169" t="s">
        <v>174</v>
      </c>
      <c r="B63">
        <v>26</v>
      </c>
      <c r="C63" s="169" t="s">
        <v>404</v>
      </c>
      <c r="D63">
        <v>460847842</v>
      </c>
      <c r="F63" s="169" t="s">
        <v>180</v>
      </c>
      <c r="G63">
        <v>1</v>
      </c>
      <c r="H63" s="169" t="s">
        <v>172</v>
      </c>
      <c r="K63">
        <v>21</v>
      </c>
      <c r="L63">
        <v>17</v>
      </c>
      <c r="M63">
        <v>300</v>
      </c>
      <c r="N63">
        <v>270</v>
      </c>
      <c r="O63">
        <v>58</v>
      </c>
      <c r="P63">
        <v>2</v>
      </c>
      <c r="Q63">
        <v>4</v>
      </c>
      <c r="R63">
        <v>20</v>
      </c>
      <c r="S63">
        <v>3</v>
      </c>
      <c r="T63">
        <v>8</v>
      </c>
      <c r="U63" s="168">
        <v>44727</v>
      </c>
      <c r="V63">
        <v>1.5</v>
      </c>
      <c r="W63" s="169" t="s">
        <v>147</v>
      </c>
      <c r="X63">
        <v>0</v>
      </c>
      <c r="Y63">
        <v>1</v>
      </c>
    </row>
    <row r="64" spans="1:26" x14ac:dyDescent="0.25">
      <c r="A64" s="169" t="s">
        <v>190</v>
      </c>
      <c r="B64">
        <v>20</v>
      </c>
      <c r="C64" s="169" t="s">
        <v>401</v>
      </c>
      <c r="D64">
        <v>414268403</v>
      </c>
      <c r="F64" s="169" t="s">
        <v>180</v>
      </c>
      <c r="H64" s="169" t="s">
        <v>172</v>
      </c>
      <c r="J64" s="169" t="s">
        <v>172</v>
      </c>
      <c r="K64">
        <v>39</v>
      </c>
      <c r="L64">
        <v>0</v>
      </c>
      <c r="M64">
        <v>2190</v>
      </c>
      <c r="N64">
        <v>468</v>
      </c>
      <c r="O64">
        <v>98</v>
      </c>
      <c r="P64">
        <v>12</v>
      </c>
      <c r="Q64">
        <v>4</v>
      </c>
      <c r="R64">
        <v>20</v>
      </c>
      <c r="S64">
        <v>5</v>
      </c>
      <c r="T64">
        <v>4</v>
      </c>
      <c r="U64" s="168">
        <v>44776</v>
      </c>
      <c r="V64">
        <v>45</v>
      </c>
      <c r="W64" s="169" t="s">
        <v>146</v>
      </c>
      <c r="X64">
        <v>0</v>
      </c>
      <c r="Y64">
        <v>2</v>
      </c>
    </row>
    <row r="65" spans="1:26" x14ac:dyDescent="0.25">
      <c r="A65" s="169" t="s">
        <v>190</v>
      </c>
      <c r="B65">
        <v>20</v>
      </c>
      <c r="C65" s="169" t="s">
        <v>401</v>
      </c>
      <c r="D65">
        <v>414268403</v>
      </c>
      <c r="F65" s="169" t="s">
        <v>180</v>
      </c>
      <c r="H65" s="169" t="s">
        <v>172</v>
      </c>
      <c r="K65">
        <v>38</v>
      </c>
      <c r="L65">
        <v>108</v>
      </c>
      <c r="M65">
        <v>2660</v>
      </c>
      <c r="N65">
        <v>696</v>
      </c>
      <c r="O65">
        <v>98</v>
      </c>
      <c r="P65">
        <v>12</v>
      </c>
      <c r="Q65">
        <v>4</v>
      </c>
      <c r="R65">
        <v>20</v>
      </c>
      <c r="S65">
        <v>6</v>
      </c>
      <c r="T65">
        <v>4</v>
      </c>
      <c r="U65" s="168">
        <v>44762</v>
      </c>
      <c r="V65">
        <v>2</v>
      </c>
      <c r="W65" s="169" t="s">
        <v>173</v>
      </c>
      <c r="X65">
        <v>0</v>
      </c>
      <c r="Y65">
        <v>1</v>
      </c>
    </row>
    <row r="66" spans="1:26" x14ac:dyDescent="0.25">
      <c r="A66" s="169" t="s">
        <v>384</v>
      </c>
      <c r="B66">
        <v>5</v>
      </c>
      <c r="C66" s="169" t="s">
        <v>385</v>
      </c>
      <c r="D66">
        <v>435437953</v>
      </c>
      <c r="F66" s="169" t="s">
        <v>171</v>
      </c>
      <c r="H66" s="169" t="s">
        <v>172</v>
      </c>
      <c r="J66" s="169" t="s">
        <v>172</v>
      </c>
      <c r="K66">
        <v>31</v>
      </c>
      <c r="L66">
        <v>37</v>
      </c>
      <c r="M66">
        <v>331140</v>
      </c>
      <c r="N66">
        <v>46848</v>
      </c>
      <c r="O66">
        <v>225</v>
      </c>
      <c r="P66">
        <v>17</v>
      </c>
      <c r="Q66">
        <v>1</v>
      </c>
      <c r="R66">
        <v>20</v>
      </c>
      <c r="S66">
        <v>7</v>
      </c>
      <c r="T66">
        <v>8</v>
      </c>
      <c r="U66" s="168">
        <v>44776</v>
      </c>
      <c r="V66">
        <v>85</v>
      </c>
      <c r="W66" s="169" t="s">
        <v>146</v>
      </c>
      <c r="X66">
        <v>1</v>
      </c>
      <c r="Y66">
        <v>2</v>
      </c>
      <c r="Z66" t="s">
        <v>456</v>
      </c>
    </row>
    <row r="67" spans="1:26" x14ac:dyDescent="0.25">
      <c r="A67" s="169" t="s">
        <v>384</v>
      </c>
      <c r="B67">
        <v>5</v>
      </c>
      <c r="C67" s="169" t="s">
        <v>385</v>
      </c>
      <c r="D67">
        <v>435437953</v>
      </c>
      <c r="F67" s="169" t="s">
        <v>171</v>
      </c>
      <c r="H67" s="169" t="s">
        <v>172</v>
      </c>
      <c r="K67">
        <v>31</v>
      </c>
      <c r="L67">
        <v>33</v>
      </c>
      <c r="M67">
        <v>340090</v>
      </c>
      <c r="N67">
        <v>46848</v>
      </c>
      <c r="O67">
        <v>224</v>
      </c>
      <c r="P67">
        <v>17</v>
      </c>
      <c r="Q67">
        <v>1</v>
      </c>
      <c r="R67">
        <v>20</v>
      </c>
      <c r="S67">
        <v>7</v>
      </c>
      <c r="T67">
        <v>8</v>
      </c>
      <c r="U67" s="168">
        <v>44772</v>
      </c>
      <c r="V67">
        <v>11.5</v>
      </c>
      <c r="W67" s="169" t="s">
        <v>181</v>
      </c>
      <c r="X67">
        <v>1</v>
      </c>
      <c r="Y67">
        <v>1</v>
      </c>
      <c r="Z67" t="s">
        <v>456</v>
      </c>
    </row>
    <row r="68" spans="1:26" x14ac:dyDescent="0.25">
      <c r="A68" s="169" t="s">
        <v>174</v>
      </c>
      <c r="C68" s="169" t="s">
        <v>422</v>
      </c>
      <c r="D68">
        <v>471121858</v>
      </c>
      <c r="F68" s="169" t="s">
        <v>346</v>
      </c>
      <c r="G68">
        <v>1</v>
      </c>
      <c r="H68" s="169" t="s">
        <v>172</v>
      </c>
      <c r="J68">
        <v>1</v>
      </c>
      <c r="K68">
        <v>17</v>
      </c>
      <c r="L68">
        <v>97</v>
      </c>
      <c r="M68">
        <v>1000</v>
      </c>
      <c r="N68">
        <v>290</v>
      </c>
      <c r="O68">
        <v>0</v>
      </c>
      <c r="P68">
        <v>2</v>
      </c>
      <c r="Q68">
        <v>6</v>
      </c>
      <c r="R68">
        <v>20</v>
      </c>
      <c r="S68">
        <v>6</v>
      </c>
      <c r="T68">
        <v>4</v>
      </c>
      <c r="U68" s="168"/>
      <c r="W68" s="169" t="s">
        <v>172</v>
      </c>
      <c r="X68">
        <v>0</v>
      </c>
      <c r="Y68">
        <v>1</v>
      </c>
      <c r="Z68" t="s">
        <v>456</v>
      </c>
    </row>
    <row r="69" spans="1:26" x14ac:dyDescent="0.25">
      <c r="A69" s="169" t="s">
        <v>291</v>
      </c>
      <c r="B69">
        <v>1</v>
      </c>
      <c r="C69" s="169" t="s">
        <v>377</v>
      </c>
      <c r="D69">
        <v>435755456</v>
      </c>
      <c r="F69" s="169" t="s">
        <v>172</v>
      </c>
      <c r="H69" s="169" t="s">
        <v>172</v>
      </c>
      <c r="K69">
        <v>31</v>
      </c>
      <c r="L69">
        <v>66</v>
      </c>
      <c r="M69">
        <v>52730</v>
      </c>
      <c r="N69">
        <v>31128</v>
      </c>
      <c r="O69">
        <v>18</v>
      </c>
      <c r="P69">
        <v>11</v>
      </c>
      <c r="Q69">
        <v>4</v>
      </c>
      <c r="R69">
        <v>12</v>
      </c>
      <c r="S69">
        <v>5</v>
      </c>
      <c r="T69">
        <v>7</v>
      </c>
      <c r="U69" s="168">
        <v>44772</v>
      </c>
      <c r="V69">
        <v>8</v>
      </c>
      <c r="W69" s="169" t="s">
        <v>173</v>
      </c>
      <c r="X69">
        <v>1</v>
      </c>
      <c r="Y69">
        <v>1</v>
      </c>
      <c r="Z69" t="s">
        <v>173</v>
      </c>
    </row>
    <row r="70" spans="1:26" x14ac:dyDescent="0.25">
      <c r="A70" s="169" t="s">
        <v>291</v>
      </c>
      <c r="B70">
        <v>1</v>
      </c>
      <c r="C70" s="169" t="s">
        <v>377</v>
      </c>
      <c r="D70">
        <v>435755456</v>
      </c>
      <c r="F70" s="169" t="s">
        <v>172</v>
      </c>
      <c r="H70" s="169" t="s">
        <v>172</v>
      </c>
      <c r="J70" s="169" t="s">
        <v>172</v>
      </c>
      <c r="K70">
        <v>31</v>
      </c>
      <c r="L70">
        <v>70</v>
      </c>
      <c r="M70">
        <v>56750</v>
      </c>
      <c r="N70">
        <v>31128</v>
      </c>
      <c r="O70">
        <v>19</v>
      </c>
      <c r="P70">
        <v>11</v>
      </c>
      <c r="Q70">
        <v>4</v>
      </c>
      <c r="R70">
        <v>13</v>
      </c>
      <c r="S70">
        <v>5</v>
      </c>
      <c r="T70">
        <v>7</v>
      </c>
      <c r="U70" s="168">
        <v>44776</v>
      </c>
      <c r="V70">
        <v>8</v>
      </c>
      <c r="W70" s="169" t="s">
        <v>173</v>
      </c>
      <c r="X70">
        <v>1</v>
      </c>
      <c r="Y70">
        <v>2</v>
      </c>
      <c r="Z70" t="s">
        <v>173</v>
      </c>
    </row>
    <row r="71" spans="1:26" x14ac:dyDescent="0.25">
      <c r="A71" s="169" t="s">
        <v>398</v>
      </c>
      <c r="B71">
        <v>14</v>
      </c>
      <c r="C71" s="169" t="s">
        <v>399</v>
      </c>
      <c r="D71">
        <v>436420259</v>
      </c>
      <c r="F71" s="169" t="s">
        <v>183</v>
      </c>
      <c r="H71" s="169" t="s">
        <v>172</v>
      </c>
      <c r="K71">
        <v>30</v>
      </c>
      <c r="L71">
        <v>74</v>
      </c>
      <c r="M71">
        <v>264900</v>
      </c>
      <c r="N71">
        <v>35892</v>
      </c>
      <c r="O71">
        <v>2</v>
      </c>
      <c r="P71">
        <v>11</v>
      </c>
      <c r="Q71">
        <v>2</v>
      </c>
      <c r="R71">
        <v>4</v>
      </c>
      <c r="S71">
        <v>8</v>
      </c>
      <c r="T71">
        <v>7</v>
      </c>
      <c r="U71" s="168">
        <v>44772</v>
      </c>
      <c r="V71">
        <v>9.5</v>
      </c>
      <c r="W71" s="169" t="s">
        <v>177</v>
      </c>
      <c r="X71">
        <v>1</v>
      </c>
      <c r="Y71">
        <v>1</v>
      </c>
      <c r="Z71" t="s">
        <v>459</v>
      </c>
    </row>
    <row r="72" spans="1:26" x14ac:dyDescent="0.25">
      <c r="A72" s="169" t="s">
        <v>398</v>
      </c>
      <c r="B72">
        <v>14</v>
      </c>
      <c r="C72" s="169" t="s">
        <v>399</v>
      </c>
      <c r="D72">
        <v>436420259</v>
      </c>
      <c r="F72" s="169" t="s">
        <v>183</v>
      </c>
      <c r="H72" s="169" t="s">
        <v>172</v>
      </c>
      <c r="J72" s="169" t="s">
        <v>172</v>
      </c>
      <c r="K72">
        <v>30</v>
      </c>
      <c r="L72">
        <v>78</v>
      </c>
      <c r="M72">
        <v>270320</v>
      </c>
      <c r="N72">
        <v>35892</v>
      </c>
      <c r="O72">
        <v>2</v>
      </c>
      <c r="P72">
        <v>11</v>
      </c>
      <c r="Q72">
        <v>2</v>
      </c>
      <c r="R72">
        <v>5</v>
      </c>
      <c r="S72">
        <v>8</v>
      </c>
      <c r="T72">
        <v>7</v>
      </c>
      <c r="U72" s="168">
        <v>44776</v>
      </c>
      <c r="V72">
        <v>9</v>
      </c>
      <c r="W72" s="169" t="s">
        <v>201</v>
      </c>
      <c r="X72">
        <v>1</v>
      </c>
      <c r="Y72">
        <v>2</v>
      </c>
      <c r="Z72" t="s">
        <v>459</v>
      </c>
    </row>
    <row r="73" spans="1:26" x14ac:dyDescent="0.25">
      <c r="A73" s="169" t="s">
        <v>392</v>
      </c>
      <c r="B73">
        <v>9</v>
      </c>
      <c r="C73" s="169" t="s">
        <v>393</v>
      </c>
      <c r="D73">
        <v>435557103</v>
      </c>
      <c r="F73" s="169" t="s">
        <v>171</v>
      </c>
      <c r="H73" s="169" t="s">
        <v>172</v>
      </c>
      <c r="K73">
        <v>31</v>
      </c>
      <c r="L73">
        <v>5</v>
      </c>
      <c r="M73">
        <v>150760</v>
      </c>
      <c r="N73">
        <v>56568</v>
      </c>
      <c r="O73">
        <v>2</v>
      </c>
      <c r="P73">
        <v>10</v>
      </c>
      <c r="Q73">
        <v>2</v>
      </c>
      <c r="R73">
        <v>5</v>
      </c>
      <c r="S73">
        <v>5</v>
      </c>
      <c r="T73">
        <v>7</v>
      </c>
      <c r="U73" s="168">
        <v>44765</v>
      </c>
      <c r="V73">
        <v>6.5</v>
      </c>
      <c r="W73" s="169" t="s">
        <v>181</v>
      </c>
      <c r="X73">
        <v>1</v>
      </c>
      <c r="Y73">
        <v>1</v>
      </c>
      <c r="Z73" t="s">
        <v>242</v>
      </c>
    </row>
    <row r="74" spans="1:26" x14ac:dyDescent="0.25">
      <c r="A74" s="169" t="s">
        <v>392</v>
      </c>
      <c r="B74">
        <v>9</v>
      </c>
      <c r="C74" s="169" t="s">
        <v>393</v>
      </c>
      <c r="D74">
        <v>435557103</v>
      </c>
      <c r="F74" s="169" t="s">
        <v>171</v>
      </c>
      <c r="H74" s="169" t="s">
        <v>172</v>
      </c>
      <c r="J74" s="169" t="s">
        <v>172</v>
      </c>
      <c r="K74">
        <v>31</v>
      </c>
      <c r="L74">
        <v>9</v>
      </c>
      <c r="M74">
        <v>158870</v>
      </c>
      <c r="N74">
        <v>56568</v>
      </c>
      <c r="O74">
        <v>2</v>
      </c>
      <c r="P74">
        <v>10</v>
      </c>
      <c r="Q74">
        <v>2</v>
      </c>
      <c r="R74">
        <v>5</v>
      </c>
      <c r="S74">
        <v>6</v>
      </c>
      <c r="T74">
        <v>7</v>
      </c>
      <c r="U74" s="168">
        <v>44776</v>
      </c>
      <c r="V74">
        <v>45</v>
      </c>
      <c r="W74" s="169" t="s">
        <v>148</v>
      </c>
      <c r="X74">
        <v>1</v>
      </c>
      <c r="Y74">
        <v>2</v>
      </c>
      <c r="Z74" t="s">
        <v>242</v>
      </c>
    </row>
  </sheetData>
  <pageMargins left="0.7" right="0.7" top="0.75" bottom="0.75" header="0.3" footer="0.3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B1E-EBBD-4D07-B301-116ECA6DB764}">
  <sheetPr>
    <tabColor theme="9" tint="0.79998168889431442"/>
  </sheetPr>
  <dimension ref="A1:AJ41"/>
  <sheetViews>
    <sheetView topLeftCell="M1" workbookViewId="0">
      <selection activeCell="AI32" sqref="AI32"/>
    </sheetView>
  </sheetViews>
  <sheetFormatPr baseColWidth="10" defaultRowHeight="15" x14ac:dyDescent="0.25"/>
  <cols>
    <col min="1" max="1" width="10.28515625" customWidth="1"/>
    <col min="2" max="2" width="8.85546875" bestFit="1" customWidth="1"/>
    <col min="3" max="3" width="18.42578125" customWidth="1"/>
    <col min="4" max="4" width="15.5703125" bestFit="1" customWidth="1"/>
    <col min="5" max="5" width="4.7109375" customWidth="1"/>
    <col min="6" max="6" width="14.28515625" bestFit="1" customWidth="1"/>
    <col min="7" max="7" width="5.7109375" customWidth="1"/>
    <col min="8" max="10" width="5.140625" customWidth="1"/>
    <col min="11" max="11" width="7.5703125" bestFit="1" customWidth="1"/>
    <col min="12" max="13" width="7" bestFit="1" customWidth="1"/>
    <col min="14" max="14" width="9.28515625" bestFit="1" customWidth="1"/>
    <col min="15" max="15" width="9.140625" customWidth="1"/>
    <col min="16" max="18" width="5.140625" customWidth="1"/>
    <col min="19" max="20" width="4.7109375" customWidth="1"/>
    <col min="21" max="21" width="13.28515625" customWidth="1"/>
    <col min="22" max="22" width="7.28515625" customWidth="1"/>
    <col min="23" max="23" width="7.5703125" customWidth="1"/>
    <col min="28" max="28" width="14.85546875" bestFit="1" customWidth="1"/>
    <col min="29" max="29" width="8.85546875" bestFit="1" customWidth="1"/>
    <col min="30" max="30" width="31.5703125" bestFit="1" customWidth="1"/>
    <col min="31" max="31" width="15.5703125" bestFit="1" customWidth="1"/>
    <col min="32" max="32" width="13.140625" bestFit="1" customWidth="1"/>
    <col min="33" max="33" width="14.28515625" bestFit="1" customWidth="1"/>
    <col min="34" max="34" width="31" bestFit="1" customWidth="1"/>
    <col min="35" max="35" width="11" bestFit="1" customWidth="1"/>
    <col min="36" max="36" width="18" bestFit="1" customWidth="1"/>
    <col min="37" max="37" width="27.5703125" bestFit="1" customWidth="1"/>
    <col min="38" max="38" width="7.5703125" bestFit="1" customWidth="1"/>
    <col min="39" max="40" width="7" bestFit="1" customWidth="1"/>
    <col min="41" max="41" width="9.28515625" bestFit="1" customWidth="1"/>
    <col min="42" max="42" width="20.28515625" bestFit="1" customWidth="1"/>
    <col min="43" max="43" width="13.5703125" bestFit="1" customWidth="1"/>
    <col min="44" max="44" width="11.7109375" bestFit="1" customWidth="1"/>
    <col min="45" max="45" width="11.5703125" bestFit="1" customWidth="1"/>
    <col min="46" max="46" width="8.85546875" bestFit="1" customWidth="1"/>
    <col min="47" max="47" width="13.28515625" bestFit="1" customWidth="1"/>
    <col min="48" max="48" width="21.7109375" bestFit="1" customWidth="1"/>
    <col min="49" max="49" width="28.28515625" bestFit="1" customWidth="1"/>
    <col min="50" max="50" width="28.140625" bestFit="1" customWidth="1"/>
    <col min="51" max="51" width="28.42578125" bestFit="1" customWidth="1"/>
    <col min="52" max="52" width="28.140625" bestFit="1" customWidth="1"/>
    <col min="53" max="53" width="16.5703125" bestFit="1" customWidth="1"/>
    <col min="54" max="54" width="20" bestFit="1" customWidth="1"/>
    <col min="55" max="55" width="23.5703125" bestFit="1" customWidth="1"/>
    <col min="56" max="56" width="28.42578125" bestFit="1" customWidth="1"/>
    <col min="57" max="57" width="28.140625" bestFit="1" customWidth="1"/>
    <col min="58" max="58" width="16.5703125" bestFit="1" customWidth="1"/>
    <col min="59" max="59" width="20" bestFit="1" customWidth="1"/>
    <col min="60" max="60" width="23.5703125" bestFit="1" customWidth="1"/>
    <col min="61" max="61" width="28.42578125" bestFit="1" customWidth="1"/>
    <col min="62" max="62" width="28.140625" bestFit="1" customWidth="1"/>
  </cols>
  <sheetData>
    <row r="1" spans="1:36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B1" s="171" t="s">
        <v>225</v>
      </c>
      <c r="AC1" s="172">
        <v>1</v>
      </c>
    </row>
    <row r="2" spans="1:36" x14ac:dyDescent="0.25">
      <c r="A2" s="169" t="s">
        <v>195</v>
      </c>
      <c r="B2">
        <v>11</v>
      </c>
      <c r="C2" s="169" t="s">
        <v>196</v>
      </c>
      <c r="D2">
        <v>438737435</v>
      </c>
      <c r="F2" s="169" t="s">
        <v>176</v>
      </c>
      <c r="H2" s="169" t="s">
        <v>172</v>
      </c>
      <c r="I2">
        <v>1</v>
      </c>
      <c r="K2">
        <v>29</v>
      </c>
      <c r="L2">
        <v>47</v>
      </c>
      <c r="M2">
        <v>273460</v>
      </c>
      <c r="N2">
        <v>52476</v>
      </c>
      <c r="O2">
        <v>57</v>
      </c>
      <c r="P2">
        <v>9</v>
      </c>
      <c r="Q2">
        <v>1</v>
      </c>
      <c r="R2">
        <v>20</v>
      </c>
      <c r="S2">
        <v>8</v>
      </c>
      <c r="T2">
        <v>7</v>
      </c>
      <c r="U2" s="168">
        <v>44769</v>
      </c>
      <c r="V2">
        <v>10.5</v>
      </c>
      <c r="W2" s="169" t="s">
        <v>147</v>
      </c>
      <c r="X2">
        <v>1</v>
      </c>
      <c r="Y2">
        <v>1</v>
      </c>
      <c r="Z2" t="s">
        <v>242</v>
      </c>
      <c r="AB2" s="171" t="s">
        <v>224</v>
      </c>
      <c r="AC2" s="172">
        <v>1</v>
      </c>
    </row>
    <row r="3" spans="1:36" x14ac:dyDescent="0.25">
      <c r="A3" s="169" t="s">
        <v>184</v>
      </c>
      <c r="B3">
        <v>5</v>
      </c>
      <c r="C3" s="169" t="s">
        <v>185</v>
      </c>
      <c r="D3">
        <v>437942370</v>
      </c>
      <c r="F3" s="169" t="s">
        <v>176</v>
      </c>
      <c r="H3" s="169" t="s">
        <v>172</v>
      </c>
      <c r="K3">
        <v>29</v>
      </c>
      <c r="L3">
        <v>94</v>
      </c>
      <c r="M3">
        <v>204550</v>
      </c>
      <c r="N3">
        <v>33924</v>
      </c>
      <c r="O3">
        <v>66</v>
      </c>
      <c r="P3">
        <v>9</v>
      </c>
      <c r="Q3">
        <v>7</v>
      </c>
      <c r="R3">
        <v>20</v>
      </c>
      <c r="S3">
        <v>7</v>
      </c>
      <c r="T3">
        <v>7</v>
      </c>
      <c r="U3" s="168">
        <v>44769</v>
      </c>
      <c r="V3">
        <v>4</v>
      </c>
      <c r="W3" s="169" t="s">
        <v>173</v>
      </c>
      <c r="X3">
        <v>1</v>
      </c>
      <c r="Y3">
        <v>1</v>
      </c>
      <c r="Z3" t="s">
        <v>243</v>
      </c>
    </row>
    <row r="4" spans="1:36" x14ac:dyDescent="0.25">
      <c r="A4" s="169" t="s">
        <v>208</v>
      </c>
      <c r="B4">
        <v>19</v>
      </c>
      <c r="C4" s="169" t="s">
        <v>209</v>
      </c>
      <c r="D4">
        <v>468503240</v>
      </c>
      <c r="F4" s="169" t="s">
        <v>172</v>
      </c>
      <c r="H4" s="169" t="s">
        <v>172</v>
      </c>
      <c r="K4">
        <v>20</v>
      </c>
      <c r="L4">
        <v>1</v>
      </c>
      <c r="M4">
        <v>5810</v>
      </c>
      <c r="N4">
        <v>2100</v>
      </c>
      <c r="O4">
        <v>9</v>
      </c>
      <c r="P4">
        <v>1</v>
      </c>
      <c r="Q4">
        <v>3</v>
      </c>
      <c r="R4">
        <v>9</v>
      </c>
      <c r="S4">
        <v>7</v>
      </c>
      <c r="T4">
        <v>8</v>
      </c>
      <c r="U4" s="168">
        <v>44769</v>
      </c>
      <c r="V4">
        <v>1.5</v>
      </c>
      <c r="W4" s="169" t="s">
        <v>146</v>
      </c>
      <c r="X4">
        <v>0</v>
      </c>
      <c r="Y4">
        <v>1</v>
      </c>
      <c r="AB4" s="171" t="s">
        <v>228</v>
      </c>
      <c r="AC4" t="s">
        <v>233</v>
      </c>
      <c r="AD4" t="s">
        <v>234</v>
      </c>
      <c r="AE4" t="s">
        <v>235</v>
      </c>
      <c r="AF4" t="s">
        <v>226</v>
      </c>
      <c r="AG4" t="s">
        <v>227</v>
      </c>
      <c r="AH4" t="s">
        <v>230</v>
      </c>
      <c r="AI4" t="s">
        <v>231</v>
      </c>
      <c r="AJ4" t="s">
        <v>232</v>
      </c>
    </row>
    <row r="5" spans="1:36" x14ac:dyDescent="0.25">
      <c r="A5" s="169" t="s">
        <v>212</v>
      </c>
      <c r="B5">
        <v>21</v>
      </c>
      <c r="C5" s="169" t="s">
        <v>213</v>
      </c>
      <c r="D5">
        <v>465835919</v>
      </c>
      <c r="F5" s="169" t="s">
        <v>172</v>
      </c>
      <c r="H5" s="169" t="s">
        <v>172</v>
      </c>
      <c r="J5">
        <v>1</v>
      </c>
      <c r="K5">
        <v>20</v>
      </c>
      <c r="L5">
        <v>29</v>
      </c>
      <c r="M5">
        <v>5630</v>
      </c>
      <c r="N5">
        <v>2052</v>
      </c>
      <c r="O5">
        <v>9</v>
      </c>
      <c r="P5">
        <v>1</v>
      </c>
      <c r="Q5">
        <v>6</v>
      </c>
      <c r="R5">
        <v>9</v>
      </c>
      <c r="S5">
        <v>7</v>
      </c>
      <c r="T5">
        <v>8</v>
      </c>
      <c r="U5" s="168">
        <v>44765</v>
      </c>
      <c r="V5">
        <v>1.5</v>
      </c>
      <c r="W5" s="169" t="s">
        <v>146</v>
      </c>
      <c r="X5">
        <v>0</v>
      </c>
      <c r="Y5">
        <v>1</v>
      </c>
      <c r="AB5" s="172" t="s">
        <v>183</v>
      </c>
      <c r="AC5" s="169">
        <v>4</v>
      </c>
      <c r="AD5" s="173">
        <v>30.75</v>
      </c>
      <c r="AE5" s="173">
        <v>25.75</v>
      </c>
      <c r="AF5" s="169">
        <v>470100</v>
      </c>
      <c r="AG5" s="169">
        <v>113270</v>
      </c>
      <c r="AH5" s="173">
        <v>7</v>
      </c>
      <c r="AI5" s="173">
        <v>9.75</v>
      </c>
      <c r="AJ5" s="173">
        <v>6.75</v>
      </c>
    </row>
    <row r="6" spans="1:36" x14ac:dyDescent="0.25">
      <c r="A6" s="169" t="s">
        <v>174</v>
      </c>
      <c r="B6">
        <v>29</v>
      </c>
      <c r="C6" s="169" t="s">
        <v>216</v>
      </c>
      <c r="D6">
        <v>469318336</v>
      </c>
      <c r="F6" s="169" t="s">
        <v>171</v>
      </c>
      <c r="G6">
        <v>1</v>
      </c>
      <c r="H6" s="169" t="s">
        <v>172</v>
      </c>
      <c r="K6">
        <v>18</v>
      </c>
      <c r="L6">
        <v>100</v>
      </c>
      <c r="M6">
        <v>550</v>
      </c>
      <c r="N6">
        <v>330</v>
      </c>
      <c r="O6">
        <v>10</v>
      </c>
      <c r="P6">
        <v>2</v>
      </c>
      <c r="Q6">
        <v>4</v>
      </c>
      <c r="R6">
        <v>20</v>
      </c>
      <c r="S6">
        <v>4</v>
      </c>
      <c r="T6">
        <v>6</v>
      </c>
      <c r="U6" s="168">
        <v>44769</v>
      </c>
      <c r="V6">
        <v>2</v>
      </c>
      <c r="W6" s="169" t="s">
        <v>146</v>
      </c>
      <c r="X6">
        <v>0</v>
      </c>
      <c r="Y6">
        <v>1</v>
      </c>
      <c r="AB6" s="172" t="s">
        <v>171</v>
      </c>
      <c r="AC6" s="169">
        <v>3</v>
      </c>
      <c r="AD6" s="173">
        <v>30</v>
      </c>
      <c r="AE6" s="173">
        <v>22</v>
      </c>
      <c r="AF6" s="169">
        <v>431980</v>
      </c>
      <c r="AG6" s="169">
        <v>94800</v>
      </c>
      <c r="AH6" s="173">
        <v>7</v>
      </c>
      <c r="AI6" s="173">
        <v>9.6666666666666661</v>
      </c>
      <c r="AJ6" s="173">
        <v>7</v>
      </c>
    </row>
    <row r="7" spans="1:36" x14ac:dyDescent="0.25">
      <c r="A7" s="169" t="s">
        <v>197</v>
      </c>
      <c r="B7">
        <v>12</v>
      </c>
      <c r="C7" s="169" t="s">
        <v>198</v>
      </c>
      <c r="D7">
        <v>437450459</v>
      </c>
      <c r="F7" s="169" t="s">
        <v>171</v>
      </c>
      <c r="H7" s="169" t="s">
        <v>172</v>
      </c>
      <c r="K7">
        <v>30</v>
      </c>
      <c r="L7">
        <v>7</v>
      </c>
      <c r="M7">
        <v>193530</v>
      </c>
      <c r="N7">
        <v>33216</v>
      </c>
      <c r="O7">
        <v>78</v>
      </c>
      <c r="P7">
        <v>9</v>
      </c>
      <c r="Q7">
        <v>6</v>
      </c>
      <c r="R7">
        <v>20</v>
      </c>
      <c r="S7">
        <v>7</v>
      </c>
      <c r="T7">
        <v>7</v>
      </c>
      <c r="U7" s="168">
        <v>44769</v>
      </c>
      <c r="V7">
        <v>7</v>
      </c>
      <c r="W7" s="169" t="s">
        <v>148</v>
      </c>
      <c r="X7">
        <v>1</v>
      </c>
      <c r="Y7">
        <v>1</v>
      </c>
      <c r="Z7" t="s">
        <v>241</v>
      </c>
      <c r="AB7" s="172" t="s">
        <v>176</v>
      </c>
      <c r="AC7" s="169">
        <v>4</v>
      </c>
      <c r="AD7" s="173">
        <v>29.5</v>
      </c>
      <c r="AE7" s="173">
        <v>69.75</v>
      </c>
      <c r="AF7" s="169">
        <v>825320</v>
      </c>
      <c r="AG7" s="169">
        <v>144188</v>
      </c>
      <c r="AH7" s="173">
        <v>7.25</v>
      </c>
      <c r="AI7" s="173">
        <v>9.5</v>
      </c>
      <c r="AJ7" s="173">
        <v>7</v>
      </c>
    </row>
    <row r="8" spans="1:36" x14ac:dyDescent="0.25">
      <c r="A8" s="169" t="s">
        <v>204</v>
      </c>
      <c r="B8">
        <v>15</v>
      </c>
      <c r="C8" s="169" t="s">
        <v>205</v>
      </c>
      <c r="D8">
        <v>467319271</v>
      </c>
      <c r="F8" s="169" t="s">
        <v>172</v>
      </c>
      <c r="H8" s="169" t="s">
        <v>172</v>
      </c>
      <c r="K8">
        <v>19</v>
      </c>
      <c r="L8">
        <v>82</v>
      </c>
      <c r="M8">
        <v>8900</v>
      </c>
      <c r="N8">
        <v>1860</v>
      </c>
      <c r="O8">
        <v>5</v>
      </c>
      <c r="P8">
        <v>1</v>
      </c>
      <c r="Q8">
        <v>3</v>
      </c>
      <c r="R8">
        <v>7</v>
      </c>
      <c r="S8">
        <v>7</v>
      </c>
      <c r="T8">
        <v>8</v>
      </c>
      <c r="U8" s="168">
        <v>44765</v>
      </c>
      <c r="V8">
        <v>1</v>
      </c>
      <c r="W8" s="169" t="s">
        <v>148</v>
      </c>
      <c r="X8">
        <v>0</v>
      </c>
      <c r="Y8">
        <v>1</v>
      </c>
      <c r="AB8" s="172" t="s">
        <v>180</v>
      </c>
      <c r="AC8" s="169">
        <v>3</v>
      </c>
      <c r="AD8" s="173">
        <v>29.666666666666668</v>
      </c>
      <c r="AE8" s="173">
        <v>73.333333333333329</v>
      </c>
      <c r="AF8" s="169">
        <v>453370</v>
      </c>
      <c r="AG8" s="169">
        <v>80400</v>
      </c>
      <c r="AH8" s="173">
        <v>6.666666666666667</v>
      </c>
      <c r="AI8" s="173">
        <v>8.6666666666666661</v>
      </c>
      <c r="AJ8" s="173">
        <v>7</v>
      </c>
    </row>
    <row r="9" spans="1:36" x14ac:dyDescent="0.25">
      <c r="A9" s="169" t="s">
        <v>190</v>
      </c>
      <c r="B9">
        <v>8</v>
      </c>
      <c r="C9" s="169" t="s">
        <v>191</v>
      </c>
      <c r="D9">
        <v>438682525</v>
      </c>
      <c r="F9" s="169" t="s">
        <v>183</v>
      </c>
      <c r="H9" s="169" t="s">
        <v>172</v>
      </c>
      <c r="K9">
        <v>29</v>
      </c>
      <c r="L9">
        <v>51</v>
      </c>
      <c r="M9">
        <v>191370</v>
      </c>
      <c r="N9">
        <v>52764</v>
      </c>
      <c r="O9">
        <v>86</v>
      </c>
      <c r="P9">
        <v>9</v>
      </c>
      <c r="Q9">
        <v>4</v>
      </c>
      <c r="R9">
        <v>20</v>
      </c>
      <c r="S9">
        <v>6</v>
      </c>
      <c r="T9">
        <v>7</v>
      </c>
      <c r="U9" s="168">
        <v>44769</v>
      </c>
      <c r="V9">
        <v>8</v>
      </c>
      <c r="W9" s="169" t="s">
        <v>147</v>
      </c>
      <c r="X9">
        <v>1</v>
      </c>
      <c r="Y9">
        <v>1</v>
      </c>
      <c r="Z9" t="s">
        <v>242</v>
      </c>
      <c r="AB9" s="172" t="s">
        <v>229</v>
      </c>
      <c r="AC9" s="169">
        <v>14</v>
      </c>
      <c r="AD9" s="173">
        <v>30</v>
      </c>
      <c r="AE9" s="173">
        <v>47.714285714285715</v>
      </c>
      <c r="AF9" s="169">
        <v>2180770</v>
      </c>
      <c r="AG9" s="169">
        <v>432658</v>
      </c>
      <c r="AH9" s="173">
        <v>7</v>
      </c>
      <c r="AI9" s="173">
        <v>9.4285714285714288</v>
      </c>
      <c r="AJ9" s="173">
        <v>6.9285714285714288</v>
      </c>
    </row>
    <row r="10" spans="1:36" x14ac:dyDescent="0.25">
      <c r="A10" s="169" t="s">
        <v>210</v>
      </c>
      <c r="B10">
        <v>20</v>
      </c>
      <c r="C10" s="169" t="s">
        <v>211</v>
      </c>
      <c r="D10">
        <v>470220234</v>
      </c>
      <c r="F10" s="169" t="s">
        <v>172</v>
      </c>
      <c r="H10" s="169" t="s">
        <v>172</v>
      </c>
      <c r="K10">
        <v>18</v>
      </c>
      <c r="L10">
        <v>91</v>
      </c>
      <c r="M10">
        <v>5190</v>
      </c>
      <c r="N10">
        <v>1620</v>
      </c>
      <c r="O10">
        <v>2</v>
      </c>
      <c r="P10">
        <v>1</v>
      </c>
      <c r="Q10">
        <v>4</v>
      </c>
      <c r="R10">
        <v>5</v>
      </c>
      <c r="S10">
        <v>6</v>
      </c>
      <c r="T10">
        <v>6</v>
      </c>
      <c r="U10" s="168">
        <v>44765</v>
      </c>
      <c r="V10">
        <v>0</v>
      </c>
      <c r="W10" s="169" t="s">
        <v>148</v>
      </c>
      <c r="X10">
        <v>0</v>
      </c>
      <c r="Y10">
        <v>1</v>
      </c>
    </row>
    <row r="11" spans="1:36" x14ac:dyDescent="0.25">
      <c r="A11" s="169" t="s">
        <v>186</v>
      </c>
      <c r="B11">
        <v>6</v>
      </c>
      <c r="C11" s="169" t="s">
        <v>187</v>
      </c>
      <c r="D11">
        <v>436902237</v>
      </c>
      <c r="F11" s="169" t="s">
        <v>176</v>
      </c>
      <c r="H11" s="169" t="s">
        <v>172</v>
      </c>
      <c r="I11">
        <v>1</v>
      </c>
      <c r="K11">
        <v>30</v>
      </c>
      <c r="L11">
        <v>46</v>
      </c>
      <c r="M11">
        <v>186950</v>
      </c>
      <c r="N11">
        <v>36888</v>
      </c>
      <c r="O11">
        <v>31</v>
      </c>
      <c r="P11">
        <v>10</v>
      </c>
      <c r="Q11">
        <v>5</v>
      </c>
      <c r="R11">
        <v>16</v>
      </c>
      <c r="S11">
        <v>7</v>
      </c>
      <c r="T11">
        <v>7</v>
      </c>
      <c r="U11" s="168">
        <v>44769</v>
      </c>
      <c r="V11">
        <v>7.5</v>
      </c>
      <c r="W11" s="169" t="s">
        <v>147</v>
      </c>
      <c r="X11">
        <v>1</v>
      </c>
      <c r="Y11">
        <v>1</v>
      </c>
      <c r="Z11" t="s">
        <v>242</v>
      </c>
    </row>
    <row r="12" spans="1:36" x14ac:dyDescent="0.25">
      <c r="A12" s="169" t="s">
        <v>193</v>
      </c>
      <c r="B12">
        <v>10</v>
      </c>
      <c r="C12" s="169" t="s">
        <v>194</v>
      </c>
      <c r="D12">
        <v>436953717</v>
      </c>
      <c r="F12" s="169" t="s">
        <v>171</v>
      </c>
      <c r="H12" s="169" t="s">
        <v>172</v>
      </c>
      <c r="K12">
        <v>30</v>
      </c>
      <c r="L12">
        <v>23</v>
      </c>
      <c r="M12">
        <v>165400</v>
      </c>
      <c r="N12">
        <v>23820</v>
      </c>
      <c r="O12">
        <v>91</v>
      </c>
      <c r="P12">
        <v>10</v>
      </c>
      <c r="Q12">
        <v>3</v>
      </c>
      <c r="R12">
        <v>20</v>
      </c>
      <c r="S12">
        <v>7</v>
      </c>
      <c r="T12">
        <v>7</v>
      </c>
      <c r="U12" s="168">
        <v>44765</v>
      </c>
      <c r="V12">
        <v>6.5</v>
      </c>
      <c r="W12" s="169" t="s">
        <v>147</v>
      </c>
      <c r="X12">
        <v>1</v>
      </c>
      <c r="Y12">
        <v>1</v>
      </c>
      <c r="Z12" t="s">
        <v>242</v>
      </c>
    </row>
    <row r="13" spans="1:36" x14ac:dyDescent="0.25">
      <c r="A13" s="169" t="s">
        <v>188</v>
      </c>
      <c r="B13">
        <v>7</v>
      </c>
      <c r="C13" s="169" t="s">
        <v>189</v>
      </c>
      <c r="D13">
        <v>434679963</v>
      </c>
      <c r="F13" s="169" t="s">
        <v>180</v>
      </c>
      <c r="H13" s="169" t="s">
        <v>172</v>
      </c>
      <c r="K13">
        <v>31</v>
      </c>
      <c r="L13">
        <v>43</v>
      </c>
      <c r="M13">
        <v>163630</v>
      </c>
      <c r="N13">
        <v>31284</v>
      </c>
      <c r="O13">
        <v>135</v>
      </c>
      <c r="P13">
        <v>9</v>
      </c>
      <c r="Q13">
        <v>7</v>
      </c>
      <c r="R13">
        <v>20</v>
      </c>
      <c r="S13">
        <v>7</v>
      </c>
      <c r="T13">
        <v>7</v>
      </c>
      <c r="U13" s="168">
        <v>44765</v>
      </c>
      <c r="V13">
        <v>9.5</v>
      </c>
      <c r="W13" s="169" t="s">
        <v>181</v>
      </c>
      <c r="X13">
        <v>1</v>
      </c>
      <c r="Y13">
        <v>1</v>
      </c>
      <c r="Z13" t="s">
        <v>241</v>
      </c>
    </row>
    <row r="14" spans="1:36" x14ac:dyDescent="0.25">
      <c r="A14" s="169" t="s">
        <v>202</v>
      </c>
      <c r="B14">
        <v>16</v>
      </c>
      <c r="C14" s="169" t="s">
        <v>206</v>
      </c>
      <c r="D14">
        <v>466263004</v>
      </c>
      <c r="F14" s="169" t="s">
        <v>172</v>
      </c>
      <c r="H14" s="169" t="s">
        <v>172</v>
      </c>
      <c r="K14">
        <v>19</v>
      </c>
      <c r="L14">
        <v>0</v>
      </c>
      <c r="M14">
        <v>9150</v>
      </c>
      <c r="N14">
        <v>2964</v>
      </c>
      <c r="O14">
        <v>8</v>
      </c>
      <c r="P14">
        <v>1</v>
      </c>
      <c r="Q14">
        <v>4</v>
      </c>
      <c r="R14">
        <v>8</v>
      </c>
      <c r="S14">
        <v>7</v>
      </c>
      <c r="T14">
        <v>8</v>
      </c>
      <c r="U14" s="168">
        <v>44765</v>
      </c>
      <c r="V14">
        <v>1</v>
      </c>
      <c r="W14" s="169" t="s">
        <v>207</v>
      </c>
      <c r="X14">
        <v>0</v>
      </c>
      <c r="Y14">
        <v>1</v>
      </c>
    </row>
    <row r="15" spans="1:36" x14ac:dyDescent="0.25">
      <c r="A15" s="169" t="s">
        <v>174</v>
      </c>
      <c r="B15">
        <v>27</v>
      </c>
      <c r="C15" s="169" t="s">
        <v>214</v>
      </c>
      <c r="D15">
        <v>436864344</v>
      </c>
      <c r="F15" s="169" t="s">
        <v>176</v>
      </c>
      <c r="G15">
        <v>1</v>
      </c>
      <c r="H15" s="169" t="s">
        <v>172</v>
      </c>
      <c r="I15">
        <v>1</v>
      </c>
      <c r="K15">
        <v>32</v>
      </c>
      <c r="L15">
        <v>2</v>
      </c>
      <c r="M15">
        <v>660</v>
      </c>
      <c r="N15">
        <v>310</v>
      </c>
      <c r="O15">
        <v>212</v>
      </c>
      <c r="P15">
        <v>3</v>
      </c>
      <c r="Q15">
        <v>5</v>
      </c>
      <c r="R15">
        <v>20</v>
      </c>
      <c r="S15">
        <v>5</v>
      </c>
      <c r="T15">
        <v>6</v>
      </c>
      <c r="U15" s="168">
        <v>44769</v>
      </c>
      <c r="V15">
        <v>4</v>
      </c>
      <c r="W15" s="169" t="s">
        <v>207</v>
      </c>
      <c r="X15">
        <v>0</v>
      </c>
      <c r="Y15">
        <v>1</v>
      </c>
    </row>
    <row r="16" spans="1:36" x14ac:dyDescent="0.25">
      <c r="A16" s="169" t="s">
        <v>174</v>
      </c>
      <c r="B16">
        <v>2</v>
      </c>
      <c r="C16" s="169" t="s">
        <v>175</v>
      </c>
      <c r="D16">
        <v>438680435</v>
      </c>
      <c r="F16" s="169" t="s">
        <v>176</v>
      </c>
      <c r="G16">
        <v>1</v>
      </c>
      <c r="H16" s="169" t="s">
        <v>172</v>
      </c>
      <c r="K16">
        <v>30</v>
      </c>
      <c r="L16">
        <v>92</v>
      </c>
      <c r="M16">
        <v>160360</v>
      </c>
      <c r="N16">
        <v>20900</v>
      </c>
      <c r="O16">
        <v>199</v>
      </c>
      <c r="P16">
        <v>10</v>
      </c>
      <c r="Q16">
        <v>5</v>
      </c>
      <c r="R16">
        <v>20</v>
      </c>
      <c r="S16">
        <v>7</v>
      </c>
      <c r="T16">
        <v>7</v>
      </c>
      <c r="U16" s="168">
        <v>44765</v>
      </c>
      <c r="V16">
        <v>10</v>
      </c>
      <c r="W16" s="169" t="s">
        <v>177</v>
      </c>
      <c r="X16">
        <v>1</v>
      </c>
      <c r="Y16">
        <v>1</v>
      </c>
      <c r="Z16" t="s">
        <v>244</v>
      </c>
      <c r="AB16" s="171" t="s">
        <v>225</v>
      </c>
      <c r="AC16" s="172">
        <v>1</v>
      </c>
    </row>
    <row r="17" spans="1:33" x14ac:dyDescent="0.25">
      <c r="A17" s="169" t="s">
        <v>174</v>
      </c>
      <c r="B17">
        <v>28</v>
      </c>
      <c r="C17" s="169" t="s">
        <v>215</v>
      </c>
      <c r="D17">
        <v>456818063</v>
      </c>
      <c r="F17" s="169" t="s">
        <v>172</v>
      </c>
      <c r="G17">
        <v>1</v>
      </c>
      <c r="H17" s="169" t="s">
        <v>172</v>
      </c>
      <c r="K17">
        <v>24</v>
      </c>
      <c r="L17">
        <v>111</v>
      </c>
      <c r="M17">
        <v>1250</v>
      </c>
      <c r="N17">
        <v>430</v>
      </c>
      <c r="O17">
        <v>86</v>
      </c>
      <c r="P17">
        <v>2</v>
      </c>
      <c r="Q17">
        <v>3</v>
      </c>
      <c r="R17">
        <v>20</v>
      </c>
      <c r="S17">
        <v>5</v>
      </c>
      <c r="T17">
        <v>8</v>
      </c>
      <c r="U17" s="168">
        <v>44769</v>
      </c>
      <c r="V17">
        <v>3</v>
      </c>
      <c r="W17" s="169" t="s">
        <v>177</v>
      </c>
      <c r="X17">
        <v>0</v>
      </c>
      <c r="Y17">
        <v>1</v>
      </c>
      <c r="AB17" s="171" t="s">
        <v>224</v>
      </c>
      <c r="AC17" s="172">
        <v>1</v>
      </c>
    </row>
    <row r="18" spans="1:33" x14ac:dyDescent="0.25">
      <c r="A18" s="169" t="s">
        <v>178</v>
      </c>
      <c r="B18">
        <v>3</v>
      </c>
      <c r="C18" s="169" t="s">
        <v>179</v>
      </c>
      <c r="D18">
        <v>441300576</v>
      </c>
      <c r="E18">
        <v>1</v>
      </c>
      <c r="F18" s="169" t="s">
        <v>180</v>
      </c>
      <c r="H18" s="169" t="s">
        <v>172</v>
      </c>
      <c r="K18">
        <v>29</v>
      </c>
      <c r="L18">
        <v>104</v>
      </c>
      <c r="M18">
        <v>148500</v>
      </c>
      <c r="N18">
        <v>23124</v>
      </c>
      <c r="O18">
        <v>110</v>
      </c>
      <c r="P18">
        <v>9</v>
      </c>
      <c r="Q18">
        <v>6</v>
      </c>
      <c r="R18">
        <v>20</v>
      </c>
      <c r="S18">
        <v>7</v>
      </c>
      <c r="T18">
        <v>7</v>
      </c>
      <c r="U18" s="168">
        <v>44769</v>
      </c>
      <c r="V18">
        <v>8</v>
      </c>
      <c r="W18" s="169" t="s">
        <v>181</v>
      </c>
      <c r="X18">
        <v>1</v>
      </c>
      <c r="Y18">
        <v>1</v>
      </c>
      <c r="Z18" t="s">
        <v>244</v>
      </c>
    </row>
    <row r="19" spans="1:33" x14ac:dyDescent="0.25">
      <c r="A19" s="169" t="s">
        <v>202</v>
      </c>
      <c r="B19">
        <v>14</v>
      </c>
      <c r="C19" s="169" t="s">
        <v>203</v>
      </c>
      <c r="D19">
        <v>438510503</v>
      </c>
      <c r="F19" s="169" t="s">
        <v>180</v>
      </c>
      <c r="H19" s="169" t="s">
        <v>172</v>
      </c>
      <c r="K19">
        <v>29</v>
      </c>
      <c r="L19">
        <v>73</v>
      </c>
      <c r="M19">
        <v>141240</v>
      </c>
      <c r="N19">
        <v>25992</v>
      </c>
      <c r="O19">
        <v>17</v>
      </c>
      <c r="P19">
        <v>8</v>
      </c>
      <c r="Q19">
        <v>2</v>
      </c>
      <c r="R19">
        <v>12</v>
      </c>
      <c r="S19">
        <v>6</v>
      </c>
      <c r="T19">
        <v>7</v>
      </c>
      <c r="U19" s="168">
        <v>44765</v>
      </c>
      <c r="V19">
        <v>2.5</v>
      </c>
      <c r="W19" s="169" t="s">
        <v>146</v>
      </c>
      <c r="X19">
        <v>1</v>
      </c>
      <c r="Y19">
        <v>1</v>
      </c>
      <c r="Z19" t="s">
        <v>148</v>
      </c>
      <c r="AB19" s="171" t="s">
        <v>226</v>
      </c>
      <c r="AC19" s="171" t="s">
        <v>239</v>
      </c>
    </row>
    <row r="20" spans="1:33" x14ac:dyDescent="0.25">
      <c r="A20" s="169" t="s">
        <v>199</v>
      </c>
      <c r="B20">
        <v>13</v>
      </c>
      <c r="C20" s="169" t="s">
        <v>200</v>
      </c>
      <c r="D20">
        <v>436942530</v>
      </c>
      <c r="F20" s="169" t="s">
        <v>183</v>
      </c>
      <c r="H20" s="169" t="s">
        <v>172</v>
      </c>
      <c r="I20">
        <v>1</v>
      </c>
      <c r="K20">
        <v>30</v>
      </c>
      <c r="L20">
        <v>25</v>
      </c>
      <c r="M20">
        <v>136920</v>
      </c>
      <c r="N20">
        <v>36684</v>
      </c>
      <c r="O20">
        <v>101</v>
      </c>
      <c r="P20">
        <v>9</v>
      </c>
      <c r="Q20">
        <v>4</v>
      </c>
      <c r="R20">
        <v>20</v>
      </c>
      <c r="S20">
        <v>6</v>
      </c>
      <c r="T20">
        <v>7</v>
      </c>
      <c r="U20" s="168">
        <v>44769</v>
      </c>
      <c r="V20">
        <v>8</v>
      </c>
      <c r="W20" s="169" t="s">
        <v>201</v>
      </c>
      <c r="X20">
        <v>1</v>
      </c>
      <c r="Y20">
        <v>1</v>
      </c>
      <c r="Z20" t="s">
        <v>242</v>
      </c>
      <c r="AB20" s="171" t="s">
        <v>228</v>
      </c>
      <c r="AC20" t="s">
        <v>183</v>
      </c>
      <c r="AD20" t="s">
        <v>171</v>
      </c>
      <c r="AE20" t="s">
        <v>176</v>
      </c>
      <c r="AF20" t="s">
        <v>180</v>
      </c>
      <c r="AG20" t="s">
        <v>229</v>
      </c>
    </row>
    <row r="21" spans="1:33" x14ac:dyDescent="0.25">
      <c r="A21" s="169" t="s">
        <v>174</v>
      </c>
      <c r="B21">
        <v>4</v>
      </c>
      <c r="C21" s="169" t="s">
        <v>182</v>
      </c>
      <c r="D21">
        <v>438721721</v>
      </c>
      <c r="F21" s="169" t="s">
        <v>183</v>
      </c>
      <c r="G21">
        <v>1</v>
      </c>
      <c r="H21" s="169" t="s">
        <v>172</v>
      </c>
      <c r="K21">
        <v>30</v>
      </c>
      <c r="L21">
        <v>17</v>
      </c>
      <c r="M21">
        <v>135480</v>
      </c>
      <c r="N21">
        <v>16970</v>
      </c>
      <c r="O21">
        <v>198</v>
      </c>
      <c r="P21">
        <v>10</v>
      </c>
      <c r="Q21">
        <v>2</v>
      </c>
      <c r="R21">
        <v>20</v>
      </c>
      <c r="S21">
        <v>8</v>
      </c>
      <c r="T21">
        <v>7</v>
      </c>
      <c r="U21" s="168">
        <v>44765</v>
      </c>
      <c r="V21">
        <v>9</v>
      </c>
      <c r="W21" s="169" t="s">
        <v>146</v>
      </c>
      <c r="X21">
        <v>1</v>
      </c>
      <c r="Y21">
        <v>1</v>
      </c>
      <c r="Z21" t="s">
        <v>243</v>
      </c>
      <c r="AB21" s="172" t="s">
        <v>146</v>
      </c>
      <c r="AC21" s="169">
        <v>135480</v>
      </c>
      <c r="AD21" s="169"/>
      <c r="AE21" s="169"/>
      <c r="AF21" s="169">
        <v>141240</v>
      </c>
      <c r="AG21" s="169">
        <v>276720</v>
      </c>
    </row>
    <row r="22" spans="1:33" x14ac:dyDescent="0.25">
      <c r="A22" s="169" t="s">
        <v>169</v>
      </c>
      <c r="B22">
        <v>1</v>
      </c>
      <c r="C22" s="169" t="s">
        <v>170</v>
      </c>
      <c r="D22">
        <v>439936362</v>
      </c>
      <c r="F22" s="169" t="s">
        <v>171</v>
      </c>
      <c r="H22" s="169" t="s">
        <v>172</v>
      </c>
      <c r="K22">
        <v>30</v>
      </c>
      <c r="L22">
        <v>36</v>
      </c>
      <c r="M22">
        <v>73050</v>
      </c>
      <c r="N22">
        <v>37764</v>
      </c>
      <c r="O22">
        <v>36</v>
      </c>
      <c r="P22">
        <v>10</v>
      </c>
      <c r="Q22">
        <v>3</v>
      </c>
      <c r="R22">
        <v>17</v>
      </c>
      <c r="S22">
        <v>7</v>
      </c>
      <c r="T22">
        <v>7</v>
      </c>
      <c r="U22" s="168">
        <v>44765</v>
      </c>
      <c r="V22">
        <v>10.5</v>
      </c>
      <c r="W22" s="169" t="s">
        <v>173</v>
      </c>
      <c r="X22">
        <v>1</v>
      </c>
      <c r="Y22">
        <v>1</v>
      </c>
      <c r="Z22" t="s">
        <v>173</v>
      </c>
      <c r="AB22" s="172" t="s">
        <v>148</v>
      </c>
      <c r="AC22" s="169">
        <v>6330</v>
      </c>
      <c r="AD22" s="169">
        <v>193530</v>
      </c>
      <c r="AE22" s="169"/>
      <c r="AF22" s="169"/>
      <c r="AG22" s="169">
        <v>199860</v>
      </c>
    </row>
    <row r="23" spans="1:33" x14ac:dyDescent="0.25">
      <c r="A23" s="169" t="s">
        <v>186</v>
      </c>
      <c r="B23">
        <v>9</v>
      </c>
      <c r="C23" s="169" t="s">
        <v>192</v>
      </c>
      <c r="D23">
        <v>429275176</v>
      </c>
      <c r="F23" s="169" t="s">
        <v>183</v>
      </c>
      <c r="H23" s="169" t="s">
        <v>172</v>
      </c>
      <c r="K23">
        <v>34</v>
      </c>
      <c r="L23">
        <v>10</v>
      </c>
      <c r="M23">
        <v>6330</v>
      </c>
      <c r="N23">
        <v>6852</v>
      </c>
      <c r="O23">
        <v>123</v>
      </c>
      <c r="P23">
        <v>11</v>
      </c>
      <c r="Q23">
        <v>4</v>
      </c>
      <c r="R23">
        <v>20</v>
      </c>
      <c r="S23">
        <v>8</v>
      </c>
      <c r="T23">
        <v>6</v>
      </c>
      <c r="U23" s="168">
        <v>44765</v>
      </c>
      <c r="V23">
        <v>9</v>
      </c>
      <c r="W23" s="169" t="s">
        <v>148</v>
      </c>
      <c r="X23">
        <v>1</v>
      </c>
      <c r="Y23">
        <v>1</v>
      </c>
      <c r="Z23" t="s">
        <v>148</v>
      </c>
      <c r="AB23" s="172" t="s">
        <v>181</v>
      </c>
      <c r="AC23" s="169"/>
      <c r="AD23" s="169"/>
      <c r="AE23" s="169"/>
      <c r="AF23" s="169">
        <v>312130</v>
      </c>
      <c r="AG23" s="169">
        <v>312130</v>
      </c>
    </row>
    <row r="24" spans="1:33" x14ac:dyDescent="0.25">
      <c r="A24" s="169" t="s">
        <v>169</v>
      </c>
      <c r="B24">
        <v>1</v>
      </c>
      <c r="C24" s="169" t="s">
        <v>170</v>
      </c>
      <c r="D24">
        <v>439936362</v>
      </c>
      <c r="F24" s="169" t="s">
        <v>171</v>
      </c>
      <c r="H24" s="169"/>
      <c r="K24">
        <v>30</v>
      </c>
      <c r="L24">
        <v>49</v>
      </c>
      <c r="M24">
        <v>73070</v>
      </c>
      <c r="N24">
        <v>37764</v>
      </c>
      <c r="O24">
        <v>37</v>
      </c>
      <c r="P24">
        <v>10</v>
      </c>
      <c r="Q24">
        <v>3</v>
      </c>
      <c r="R24">
        <v>17</v>
      </c>
      <c r="S24">
        <v>8</v>
      </c>
      <c r="T24">
        <v>7</v>
      </c>
      <c r="U24" s="168">
        <v>44783</v>
      </c>
      <c r="V24">
        <v>105</v>
      </c>
      <c r="W24" s="169" t="s">
        <v>173</v>
      </c>
      <c r="AB24" s="172" t="s">
        <v>201</v>
      </c>
      <c r="AC24" s="169">
        <v>136920</v>
      </c>
      <c r="AD24" s="169"/>
      <c r="AE24" s="169"/>
      <c r="AF24" s="169"/>
      <c r="AG24" s="169">
        <v>136920</v>
      </c>
    </row>
    <row r="25" spans="1:33" x14ac:dyDescent="0.25">
      <c r="A25" s="169" t="s">
        <v>174</v>
      </c>
      <c r="B25">
        <v>2</v>
      </c>
      <c r="C25" s="169" t="s">
        <v>175</v>
      </c>
      <c r="D25">
        <v>438680435</v>
      </c>
      <c r="F25" s="169" t="s">
        <v>176</v>
      </c>
      <c r="G25">
        <v>1</v>
      </c>
      <c r="H25" s="169"/>
      <c r="K25">
        <v>30</v>
      </c>
      <c r="L25">
        <v>105</v>
      </c>
      <c r="M25">
        <v>157580</v>
      </c>
      <c r="N25">
        <v>20900</v>
      </c>
      <c r="O25">
        <v>201</v>
      </c>
      <c r="P25">
        <v>10</v>
      </c>
      <c r="Q25">
        <v>5</v>
      </c>
      <c r="R25">
        <v>20</v>
      </c>
      <c r="S25">
        <v>7</v>
      </c>
      <c r="T25">
        <v>7</v>
      </c>
      <c r="U25" s="168">
        <v>44783</v>
      </c>
      <c r="V25">
        <v>10</v>
      </c>
      <c r="W25" s="169" t="s">
        <v>146</v>
      </c>
      <c r="AB25" s="172" t="s">
        <v>177</v>
      </c>
      <c r="AC25" s="169"/>
      <c r="AD25" s="169"/>
      <c r="AE25" s="169">
        <v>160360</v>
      </c>
      <c r="AF25" s="169"/>
      <c r="AG25" s="169">
        <v>160360</v>
      </c>
    </row>
    <row r="26" spans="1:33" x14ac:dyDescent="0.25">
      <c r="A26" s="169" t="s">
        <v>178</v>
      </c>
      <c r="B26">
        <v>3</v>
      </c>
      <c r="C26" s="169" t="s">
        <v>179</v>
      </c>
      <c r="D26">
        <v>441300576</v>
      </c>
      <c r="E26">
        <v>1</v>
      </c>
      <c r="F26" s="169" t="s">
        <v>180</v>
      </c>
      <c r="H26" s="169"/>
      <c r="K26">
        <v>30</v>
      </c>
      <c r="L26">
        <v>5</v>
      </c>
      <c r="M26">
        <v>127060</v>
      </c>
      <c r="N26">
        <v>21024</v>
      </c>
      <c r="O26">
        <v>111</v>
      </c>
      <c r="P26">
        <v>9</v>
      </c>
      <c r="Q26">
        <v>6</v>
      </c>
      <c r="R26">
        <v>20</v>
      </c>
      <c r="S26">
        <v>8</v>
      </c>
      <c r="T26">
        <v>7</v>
      </c>
      <c r="U26" s="168">
        <v>44783</v>
      </c>
      <c r="V26">
        <v>9</v>
      </c>
      <c r="W26" s="169" t="s">
        <v>207</v>
      </c>
      <c r="AB26" s="172" t="s">
        <v>147</v>
      </c>
      <c r="AC26" s="169">
        <v>191370</v>
      </c>
      <c r="AD26" s="169">
        <v>165400</v>
      </c>
      <c r="AE26" s="169">
        <v>460410</v>
      </c>
      <c r="AF26" s="169"/>
      <c r="AG26" s="169">
        <v>817180</v>
      </c>
    </row>
    <row r="27" spans="1:33" x14ac:dyDescent="0.25">
      <c r="A27" s="169" t="s">
        <v>174</v>
      </c>
      <c r="B27">
        <v>4</v>
      </c>
      <c r="C27" s="169" t="s">
        <v>182</v>
      </c>
      <c r="D27">
        <v>438721721</v>
      </c>
      <c r="F27" s="169" t="s">
        <v>183</v>
      </c>
      <c r="G27">
        <v>1</v>
      </c>
      <c r="H27" s="169">
        <v>3</v>
      </c>
      <c r="I27">
        <v>1</v>
      </c>
      <c r="K27">
        <v>30</v>
      </c>
      <c r="L27">
        <v>30</v>
      </c>
      <c r="M27">
        <v>81290</v>
      </c>
      <c r="N27">
        <v>16970</v>
      </c>
      <c r="O27">
        <v>200</v>
      </c>
      <c r="P27">
        <v>10</v>
      </c>
      <c r="Q27">
        <v>2</v>
      </c>
      <c r="R27">
        <v>20</v>
      </c>
      <c r="S27">
        <v>7</v>
      </c>
      <c r="T27">
        <v>7</v>
      </c>
      <c r="U27" s="168">
        <v>44783</v>
      </c>
      <c r="V27">
        <v>95</v>
      </c>
      <c r="W27" s="169" t="s">
        <v>146</v>
      </c>
      <c r="AB27" s="172" t="s">
        <v>173</v>
      </c>
      <c r="AC27" s="169"/>
      <c r="AD27" s="169">
        <v>73050</v>
      </c>
      <c r="AE27" s="169">
        <v>204550</v>
      </c>
      <c r="AF27" s="169"/>
      <c r="AG27" s="169">
        <v>277600</v>
      </c>
    </row>
    <row r="28" spans="1:33" x14ac:dyDescent="0.25">
      <c r="A28" s="169" t="s">
        <v>184</v>
      </c>
      <c r="B28">
        <v>5</v>
      </c>
      <c r="C28" s="169" t="s">
        <v>185</v>
      </c>
      <c r="D28">
        <v>437942370</v>
      </c>
      <c r="F28" s="169" t="s">
        <v>176</v>
      </c>
      <c r="H28" s="169"/>
      <c r="K28">
        <v>29</v>
      </c>
      <c r="L28">
        <v>107</v>
      </c>
      <c r="M28">
        <v>205530</v>
      </c>
      <c r="N28">
        <v>33924</v>
      </c>
      <c r="O28">
        <v>68</v>
      </c>
      <c r="P28">
        <v>9</v>
      </c>
      <c r="Q28">
        <v>7</v>
      </c>
      <c r="R28">
        <v>20</v>
      </c>
      <c r="S28">
        <v>7</v>
      </c>
      <c r="T28">
        <v>7</v>
      </c>
      <c r="U28" s="168">
        <v>44783</v>
      </c>
      <c r="V28">
        <v>10</v>
      </c>
      <c r="W28" s="169" t="s">
        <v>177</v>
      </c>
      <c r="AB28" s="172" t="s">
        <v>229</v>
      </c>
      <c r="AC28" s="169">
        <v>470100</v>
      </c>
      <c r="AD28" s="169">
        <v>431980</v>
      </c>
      <c r="AE28" s="169">
        <v>825320</v>
      </c>
      <c r="AF28" s="169">
        <v>453370</v>
      </c>
      <c r="AG28" s="169">
        <v>2180770</v>
      </c>
    </row>
    <row r="29" spans="1:33" x14ac:dyDescent="0.25">
      <c r="A29" s="169" t="s">
        <v>186</v>
      </c>
      <c r="B29">
        <v>6</v>
      </c>
      <c r="C29" s="169" t="s">
        <v>187</v>
      </c>
      <c r="D29">
        <v>436902237</v>
      </c>
      <c r="F29" s="169" t="s">
        <v>176</v>
      </c>
      <c r="H29" s="169"/>
      <c r="I29">
        <v>1</v>
      </c>
      <c r="K29">
        <v>30</v>
      </c>
      <c r="L29">
        <v>59</v>
      </c>
      <c r="M29">
        <v>192670</v>
      </c>
      <c r="N29">
        <v>36888</v>
      </c>
      <c r="O29">
        <v>33</v>
      </c>
      <c r="P29">
        <v>10</v>
      </c>
      <c r="Q29">
        <v>5</v>
      </c>
      <c r="R29">
        <v>16</v>
      </c>
      <c r="S29">
        <v>7</v>
      </c>
      <c r="T29">
        <v>7</v>
      </c>
      <c r="U29" s="168">
        <v>44779</v>
      </c>
      <c r="V29">
        <v>9</v>
      </c>
      <c r="W29" s="169" t="s">
        <v>147</v>
      </c>
    </row>
    <row r="30" spans="1:33" x14ac:dyDescent="0.25">
      <c r="A30" s="169" t="s">
        <v>188</v>
      </c>
      <c r="B30">
        <v>7</v>
      </c>
      <c r="C30" s="169" t="s">
        <v>189</v>
      </c>
      <c r="D30">
        <v>434679963</v>
      </c>
      <c r="F30" s="169" t="s">
        <v>180</v>
      </c>
      <c r="H30" s="169"/>
      <c r="K30">
        <v>31</v>
      </c>
      <c r="L30">
        <v>56</v>
      </c>
      <c r="M30">
        <v>159990</v>
      </c>
      <c r="N30">
        <v>31284</v>
      </c>
      <c r="O30">
        <v>137</v>
      </c>
      <c r="P30">
        <v>10</v>
      </c>
      <c r="Q30">
        <v>7</v>
      </c>
      <c r="R30">
        <v>20</v>
      </c>
      <c r="S30">
        <v>7</v>
      </c>
      <c r="T30">
        <v>7</v>
      </c>
      <c r="U30" s="168">
        <v>44783</v>
      </c>
      <c r="V30">
        <v>95</v>
      </c>
      <c r="W30" s="169" t="s">
        <v>147</v>
      </c>
    </row>
    <row r="31" spans="1:33" x14ac:dyDescent="0.25">
      <c r="A31" s="169" t="s">
        <v>190</v>
      </c>
      <c r="B31">
        <v>8</v>
      </c>
      <c r="C31" s="169" t="s">
        <v>191</v>
      </c>
      <c r="D31">
        <v>438682525</v>
      </c>
      <c r="F31" s="169" t="s">
        <v>183</v>
      </c>
      <c r="H31" s="169"/>
      <c r="K31">
        <v>29</v>
      </c>
      <c r="L31">
        <v>64</v>
      </c>
      <c r="M31">
        <v>199400</v>
      </c>
      <c r="N31">
        <v>52764</v>
      </c>
      <c r="O31">
        <v>87</v>
      </c>
      <c r="P31">
        <v>9</v>
      </c>
      <c r="Q31">
        <v>4</v>
      </c>
      <c r="R31">
        <v>20</v>
      </c>
      <c r="S31">
        <v>7</v>
      </c>
      <c r="T31">
        <v>7</v>
      </c>
      <c r="U31" s="168">
        <v>44783</v>
      </c>
      <c r="V31">
        <v>8</v>
      </c>
      <c r="W31" s="169" t="s">
        <v>148</v>
      </c>
    </row>
    <row r="32" spans="1:33" x14ac:dyDescent="0.25">
      <c r="A32" s="169" t="s">
        <v>186</v>
      </c>
      <c r="B32">
        <v>9</v>
      </c>
      <c r="C32" s="169" t="s">
        <v>192</v>
      </c>
      <c r="D32">
        <v>429275176</v>
      </c>
      <c r="F32" s="169" t="s">
        <v>183</v>
      </c>
      <c r="H32" s="169"/>
      <c r="I32">
        <v>1</v>
      </c>
      <c r="K32">
        <v>34</v>
      </c>
      <c r="L32">
        <v>23</v>
      </c>
      <c r="M32">
        <v>6070</v>
      </c>
      <c r="N32">
        <v>6852</v>
      </c>
      <c r="O32">
        <v>125</v>
      </c>
      <c r="P32">
        <v>11</v>
      </c>
      <c r="Q32">
        <v>4</v>
      </c>
      <c r="R32">
        <v>20</v>
      </c>
      <c r="S32">
        <v>8</v>
      </c>
      <c r="T32">
        <v>6</v>
      </c>
      <c r="U32" s="168">
        <v>44783</v>
      </c>
      <c r="V32">
        <v>9</v>
      </c>
      <c r="W32" s="169" t="s">
        <v>148</v>
      </c>
    </row>
    <row r="33" spans="1:23" x14ac:dyDescent="0.25">
      <c r="A33" s="169" t="s">
        <v>193</v>
      </c>
      <c r="B33">
        <v>10</v>
      </c>
      <c r="C33" s="169" t="s">
        <v>194</v>
      </c>
      <c r="D33">
        <v>436953717</v>
      </c>
      <c r="F33" s="169" t="s">
        <v>171</v>
      </c>
      <c r="H33" s="169"/>
      <c r="K33">
        <v>30</v>
      </c>
      <c r="L33">
        <v>36</v>
      </c>
      <c r="M33">
        <v>161260</v>
      </c>
      <c r="N33">
        <v>23820</v>
      </c>
      <c r="O33">
        <v>92</v>
      </c>
      <c r="P33">
        <v>10</v>
      </c>
      <c r="Q33">
        <v>3</v>
      </c>
      <c r="R33">
        <v>20</v>
      </c>
      <c r="S33">
        <v>7</v>
      </c>
      <c r="T33">
        <v>7</v>
      </c>
      <c r="U33" s="168">
        <v>44783</v>
      </c>
      <c r="V33">
        <v>95</v>
      </c>
      <c r="W33" s="169" t="s">
        <v>148</v>
      </c>
    </row>
    <row r="34" spans="1:23" x14ac:dyDescent="0.25">
      <c r="A34" s="169" t="s">
        <v>195</v>
      </c>
      <c r="B34">
        <v>11</v>
      </c>
      <c r="C34" s="169" t="s">
        <v>196</v>
      </c>
      <c r="D34">
        <v>438737435</v>
      </c>
      <c r="F34" s="169" t="s">
        <v>176</v>
      </c>
      <c r="H34" s="169"/>
      <c r="I34">
        <v>1</v>
      </c>
      <c r="K34">
        <v>29</v>
      </c>
      <c r="L34">
        <v>60</v>
      </c>
      <c r="M34">
        <v>244210</v>
      </c>
      <c r="N34">
        <v>52476</v>
      </c>
      <c r="O34">
        <v>59</v>
      </c>
      <c r="P34">
        <v>9</v>
      </c>
      <c r="Q34">
        <v>1</v>
      </c>
      <c r="R34">
        <v>20</v>
      </c>
      <c r="S34">
        <v>6</v>
      </c>
      <c r="T34">
        <v>7</v>
      </c>
      <c r="U34" s="168">
        <v>44783</v>
      </c>
      <c r="V34">
        <v>75</v>
      </c>
      <c r="W34" s="169" t="s">
        <v>181</v>
      </c>
    </row>
    <row r="35" spans="1:23" x14ac:dyDescent="0.25">
      <c r="A35" s="169" t="s">
        <v>197</v>
      </c>
      <c r="B35">
        <v>12</v>
      </c>
      <c r="C35" s="169" t="s">
        <v>198</v>
      </c>
      <c r="D35">
        <v>437450459</v>
      </c>
      <c r="F35" s="169" t="s">
        <v>171</v>
      </c>
      <c r="H35" s="169"/>
      <c r="K35">
        <v>30</v>
      </c>
      <c r="L35">
        <v>20</v>
      </c>
      <c r="M35">
        <v>197610</v>
      </c>
      <c r="N35">
        <v>33216</v>
      </c>
      <c r="O35">
        <v>80</v>
      </c>
      <c r="P35">
        <v>9</v>
      </c>
      <c r="Q35">
        <v>6</v>
      </c>
      <c r="R35">
        <v>20</v>
      </c>
      <c r="S35">
        <v>7</v>
      </c>
      <c r="T35">
        <v>7</v>
      </c>
      <c r="U35" s="168">
        <v>44783</v>
      </c>
      <c r="V35">
        <v>10</v>
      </c>
      <c r="W35" s="169" t="s">
        <v>147</v>
      </c>
    </row>
    <row r="36" spans="1:23" x14ac:dyDescent="0.25">
      <c r="A36" s="169" t="s">
        <v>199</v>
      </c>
      <c r="B36">
        <v>13</v>
      </c>
      <c r="C36" s="169" t="s">
        <v>200</v>
      </c>
      <c r="D36">
        <v>436942530</v>
      </c>
      <c r="F36" s="169" t="s">
        <v>183</v>
      </c>
      <c r="H36" s="169">
        <v>1</v>
      </c>
      <c r="I36">
        <v>1</v>
      </c>
      <c r="K36">
        <v>30</v>
      </c>
      <c r="L36">
        <v>38</v>
      </c>
      <c r="M36">
        <v>118790</v>
      </c>
      <c r="N36">
        <v>36684</v>
      </c>
      <c r="O36">
        <v>103</v>
      </c>
      <c r="P36">
        <v>9</v>
      </c>
      <c r="Q36">
        <v>4</v>
      </c>
      <c r="R36">
        <v>20</v>
      </c>
      <c r="S36">
        <v>6</v>
      </c>
      <c r="T36">
        <v>7</v>
      </c>
      <c r="U36" s="168">
        <v>44776</v>
      </c>
      <c r="V36">
        <v>9</v>
      </c>
      <c r="W36" s="169" t="s">
        <v>147</v>
      </c>
    </row>
    <row r="37" spans="1:23" x14ac:dyDescent="0.25">
      <c r="A37" s="169" t="s">
        <v>202</v>
      </c>
      <c r="B37">
        <v>14</v>
      </c>
      <c r="C37" s="169" t="s">
        <v>203</v>
      </c>
      <c r="D37">
        <v>438510503</v>
      </c>
      <c r="F37" s="169" t="s">
        <v>180</v>
      </c>
      <c r="H37" s="169"/>
      <c r="K37">
        <v>29</v>
      </c>
      <c r="L37">
        <v>86</v>
      </c>
      <c r="M37">
        <v>151740</v>
      </c>
      <c r="N37">
        <v>25992</v>
      </c>
      <c r="O37">
        <v>19</v>
      </c>
      <c r="P37">
        <v>8</v>
      </c>
      <c r="Q37">
        <v>2</v>
      </c>
      <c r="R37">
        <v>13</v>
      </c>
      <c r="S37">
        <v>6</v>
      </c>
      <c r="T37">
        <v>7</v>
      </c>
      <c r="U37" s="168">
        <v>44783</v>
      </c>
      <c r="V37">
        <v>8</v>
      </c>
      <c r="W37" s="169" t="s">
        <v>201</v>
      </c>
    </row>
    <row r="38" spans="1:23" x14ac:dyDescent="0.25">
      <c r="A38" s="169" t="s">
        <v>202</v>
      </c>
      <c r="B38">
        <v>16</v>
      </c>
      <c r="C38" s="169" t="s">
        <v>206</v>
      </c>
      <c r="D38">
        <v>466263004</v>
      </c>
      <c r="F38" s="169" t="s">
        <v>172</v>
      </c>
      <c r="H38" s="169"/>
      <c r="J38">
        <v>1</v>
      </c>
      <c r="K38">
        <v>19</v>
      </c>
      <c r="L38">
        <v>13</v>
      </c>
      <c r="M38">
        <v>9270</v>
      </c>
      <c r="N38">
        <v>2964</v>
      </c>
      <c r="O38">
        <v>10</v>
      </c>
      <c r="P38">
        <v>1</v>
      </c>
      <c r="Q38">
        <v>4</v>
      </c>
      <c r="R38">
        <v>9</v>
      </c>
      <c r="S38">
        <v>7</v>
      </c>
      <c r="T38">
        <v>8</v>
      </c>
      <c r="U38" s="168">
        <v>44783</v>
      </c>
      <c r="V38">
        <v>45</v>
      </c>
      <c r="W38" s="169" t="s">
        <v>173</v>
      </c>
    </row>
    <row r="39" spans="1:23" x14ac:dyDescent="0.25">
      <c r="A39" s="169" t="s">
        <v>174</v>
      </c>
      <c r="B39">
        <v>27</v>
      </c>
      <c r="C39" s="169" t="s">
        <v>214</v>
      </c>
      <c r="D39">
        <v>436864344</v>
      </c>
      <c r="F39" s="169" t="s">
        <v>176</v>
      </c>
      <c r="G39">
        <v>1</v>
      </c>
      <c r="H39" s="169"/>
      <c r="I39">
        <v>1</v>
      </c>
      <c r="K39">
        <v>32</v>
      </c>
      <c r="L39">
        <v>15</v>
      </c>
      <c r="M39">
        <v>710</v>
      </c>
      <c r="N39">
        <v>310</v>
      </c>
      <c r="O39">
        <v>214</v>
      </c>
      <c r="P39">
        <v>3</v>
      </c>
      <c r="Q39">
        <v>5</v>
      </c>
      <c r="R39">
        <v>20</v>
      </c>
      <c r="S39">
        <v>6</v>
      </c>
      <c r="T39">
        <v>6</v>
      </c>
      <c r="U39" s="168">
        <v>44776</v>
      </c>
      <c r="V39">
        <v>35</v>
      </c>
      <c r="W39" s="169" t="s">
        <v>148</v>
      </c>
    </row>
    <row r="40" spans="1:23" x14ac:dyDescent="0.25">
      <c r="A40" s="169" t="s">
        <v>174</v>
      </c>
      <c r="B40">
        <v>28</v>
      </c>
      <c r="C40" s="169" t="s">
        <v>215</v>
      </c>
      <c r="D40">
        <v>456818063</v>
      </c>
      <c r="F40" s="169" t="s">
        <v>172</v>
      </c>
      <c r="G40">
        <v>1</v>
      </c>
      <c r="H40" s="169"/>
      <c r="K40">
        <v>25</v>
      </c>
      <c r="L40">
        <v>12</v>
      </c>
      <c r="M40">
        <v>1370</v>
      </c>
      <c r="N40">
        <v>430</v>
      </c>
      <c r="O40">
        <v>87</v>
      </c>
      <c r="P40">
        <v>2</v>
      </c>
      <c r="Q40">
        <v>3</v>
      </c>
      <c r="R40">
        <v>20</v>
      </c>
      <c r="S40">
        <v>6</v>
      </c>
      <c r="T40">
        <v>8</v>
      </c>
      <c r="U40" s="168">
        <v>44769</v>
      </c>
      <c r="V40">
        <v>3</v>
      </c>
      <c r="W40" s="169" t="s">
        <v>177</v>
      </c>
    </row>
    <row r="41" spans="1:23" x14ac:dyDescent="0.25">
      <c r="A41" s="169" t="s">
        <v>174</v>
      </c>
      <c r="B41">
        <v>29</v>
      </c>
      <c r="C41" s="169" t="s">
        <v>216</v>
      </c>
      <c r="D41">
        <v>469318336</v>
      </c>
      <c r="F41" s="169" t="s">
        <v>171</v>
      </c>
      <c r="G41">
        <v>1</v>
      </c>
      <c r="H41" s="169"/>
      <c r="K41">
        <v>19</v>
      </c>
      <c r="L41">
        <v>1</v>
      </c>
      <c r="M41">
        <v>630</v>
      </c>
      <c r="N41">
        <v>330</v>
      </c>
      <c r="O41">
        <v>11</v>
      </c>
      <c r="P41">
        <v>2</v>
      </c>
      <c r="Q41">
        <v>4</v>
      </c>
      <c r="R41">
        <v>20</v>
      </c>
      <c r="S41">
        <v>5</v>
      </c>
      <c r="T41">
        <v>7</v>
      </c>
      <c r="U41" s="168">
        <v>44769</v>
      </c>
      <c r="V41">
        <v>2</v>
      </c>
      <c r="W41" s="169" t="s">
        <v>146</v>
      </c>
    </row>
  </sheetData>
  <pageMargins left="0.7" right="0.7" top="0.75" bottom="0.75" header="0.3" footer="0.3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3674-112C-4F97-AA75-888CF6B5168F}">
  <sheetPr>
    <tabColor theme="9" tint="0.79998168889431442"/>
  </sheetPr>
  <dimension ref="A1:AJ63"/>
  <sheetViews>
    <sheetView topLeftCell="U5" zoomScale="80" zoomScaleNormal="80" workbookViewId="0">
      <selection activeCell="AH20" sqref="AH20"/>
    </sheetView>
  </sheetViews>
  <sheetFormatPr baseColWidth="10" defaultRowHeight="15" x14ac:dyDescent="0.25"/>
  <cols>
    <col min="1" max="1" width="22.140625" bestFit="1" customWidth="1"/>
    <col min="2" max="2" width="6.140625" customWidth="1"/>
    <col min="3" max="3" width="25.5703125" bestFit="1" customWidth="1"/>
    <col min="4" max="4" width="16.42578125" bestFit="1" customWidth="1"/>
    <col min="5" max="5" width="6" customWidth="1"/>
    <col min="6" max="6" width="15" bestFit="1" customWidth="1"/>
    <col min="7" max="10" width="8.28515625" customWidth="1"/>
    <col min="11" max="11" width="8.42578125" bestFit="1" customWidth="1"/>
    <col min="12" max="12" width="8" bestFit="1" customWidth="1"/>
    <col min="13" max="13" width="7.7109375" bestFit="1" customWidth="1"/>
    <col min="14" max="14" width="10.140625" bestFit="1" customWidth="1"/>
    <col min="15" max="20" width="6.28515625" customWidth="1"/>
    <col min="21" max="21" width="22.42578125" bestFit="1" customWidth="1"/>
    <col min="22" max="22" width="12.42578125" customWidth="1"/>
    <col min="23" max="23" width="13" customWidth="1"/>
    <col min="24" max="26" width="6.28515625" customWidth="1"/>
    <col min="28" max="28" width="26.42578125" bestFit="1" customWidth="1"/>
    <col min="29" max="29" width="15" bestFit="1" customWidth="1"/>
    <col min="30" max="30" width="23.140625" bestFit="1" customWidth="1"/>
    <col min="31" max="31" width="3.42578125" bestFit="1" customWidth="1"/>
    <col min="32" max="32" width="34.42578125" bestFit="1" customWidth="1"/>
    <col min="33" max="33" width="6.5703125" bestFit="1" customWidth="1"/>
    <col min="34" max="34" width="20.28515625" bestFit="1" customWidth="1"/>
    <col min="35" max="35" width="39.5703125" bestFit="1" customWidth="1"/>
    <col min="36" max="36" width="23.140625" bestFit="1" customWidth="1"/>
  </cols>
  <sheetData>
    <row r="1" spans="1:36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</row>
    <row r="2" spans="1:36" x14ac:dyDescent="0.25">
      <c r="A2" s="169" t="s">
        <v>261</v>
      </c>
      <c r="C2" s="169" t="s">
        <v>279</v>
      </c>
      <c r="D2">
        <v>434477424</v>
      </c>
      <c r="F2" s="169" t="s">
        <v>180</v>
      </c>
      <c r="I2" s="169" t="s">
        <v>172</v>
      </c>
      <c r="K2">
        <v>31</v>
      </c>
      <c r="L2">
        <v>110</v>
      </c>
      <c r="M2">
        <v>72270</v>
      </c>
      <c r="N2">
        <v>11340</v>
      </c>
      <c r="O2">
        <v>83</v>
      </c>
      <c r="P2">
        <v>11</v>
      </c>
      <c r="Q2">
        <v>5</v>
      </c>
      <c r="R2">
        <v>20</v>
      </c>
      <c r="S2">
        <v>5</v>
      </c>
      <c r="T2">
        <v>8</v>
      </c>
      <c r="U2" s="168">
        <v>44765</v>
      </c>
      <c r="V2">
        <v>7</v>
      </c>
      <c r="W2" s="169" t="s">
        <v>146</v>
      </c>
      <c r="X2">
        <v>1</v>
      </c>
      <c r="Y2">
        <v>1</v>
      </c>
      <c r="Z2" t="s">
        <v>244</v>
      </c>
      <c r="AB2" s="171" t="s">
        <v>225</v>
      </c>
      <c r="AC2" s="172">
        <v>2</v>
      </c>
    </row>
    <row r="3" spans="1:36" x14ac:dyDescent="0.25">
      <c r="A3" s="169" t="s">
        <v>261</v>
      </c>
      <c r="C3" s="169" t="s">
        <v>279</v>
      </c>
      <c r="D3">
        <v>434477424</v>
      </c>
      <c r="F3" s="169" t="s">
        <v>180</v>
      </c>
      <c r="H3" s="169" t="s">
        <v>172</v>
      </c>
      <c r="I3" s="169"/>
      <c r="J3" s="169" t="s">
        <v>172</v>
      </c>
      <c r="K3">
        <v>32</v>
      </c>
      <c r="L3">
        <v>10</v>
      </c>
      <c r="M3">
        <v>52620</v>
      </c>
      <c r="N3">
        <v>9432</v>
      </c>
      <c r="O3">
        <v>85</v>
      </c>
      <c r="P3">
        <v>11</v>
      </c>
      <c r="Q3">
        <v>5</v>
      </c>
      <c r="R3">
        <v>20</v>
      </c>
      <c r="S3">
        <v>5</v>
      </c>
      <c r="T3">
        <v>8</v>
      </c>
      <c r="U3" s="168">
        <v>44779</v>
      </c>
      <c r="V3">
        <v>7</v>
      </c>
      <c r="W3" s="169" t="s">
        <v>207</v>
      </c>
      <c r="X3">
        <v>1</v>
      </c>
      <c r="Y3">
        <v>2</v>
      </c>
      <c r="Z3" t="s">
        <v>244</v>
      </c>
      <c r="AB3" s="171" t="s">
        <v>224</v>
      </c>
      <c r="AC3" s="172">
        <v>1</v>
      </c>
    </row>
    <row r="4" spans="1:36" x14ac:dyDescent="0.25">
      <c r="A4" s="169" t="s">
        <v>202</v>
      </c>
      <c r="B4">
        <v>4</v>
      </c>
      <c r="C4" s="169" t="s">
        <v>256</v>
      </c>
      <c r="D4">
        <v>434407051</v>
      </c>
      <c r="F4" s="169" t="s">
        <v>176</v>
      </c>
      <c r="H4" s="169" t="s">
        <v>172</v>
      </c>
      <c r="I4" s="169"/>
      <c r="J4" s="169" t="s">
        <v>172</v>
      </c>
      <c r="K4">
        <v>31</v>
      </c>
      <c r="L4">
        <v>88</v>
      </c>
      <c r="M4">
        <v>128230</v>
      </c>
      <c r="N4">
        <v>39336</v>
      </c>
      <c r="O4">
        <v>234</v>
      </c>
      <c r="P4">
        <v>12</v>
      </c>
      <c r="Q4">
        <v>7</v>
      </c>
      <c r="R4">
        <v>20</v>
      </c>
      <c r="S4">
        <v>7</v>
      </c>
      <c r="T4">
        <v>8</v>
      </c>
      <c r="U4" s="168">
        <v>44779</v>
      </c>
      <c r="V4">
        <v>10</v>
      </c>
      <c r="W4" s="169" t="s">
        <v>147</v>
      </c>
      <c r="X4">
        <v>1</v>
      </c>
      <c r="Y4">
        <v>2</v>
      </c>
      <c r="Z4" t="s">
        <v>242</v>
      </c>
    </row>
    <row r="5" spans="1:36" x14ac:dyDescent="0.25">
      <c r="A5" s="169" t="s">
        <v>202</v>
      </c>
      <c r="B5">
        <v>4</v>
      </c>
      <c r="C5" s="169" t="s">
        <v>256</v>
      </c>
      <c r="D5">
        <v>434407051</v>
      </c>
      <c r="F5" s="169" t="s">
        <v>176</v>
      </c>
      <c r="I5" s="169" t="s">
        <v>172</v>
      </c>
      <c r="K5">
        <v>31</v>
      </c>
      <c r="L5">
        <v>76</v>
      </c>
      <c r="M5">
        <v>126320</v>
      </c>
      <c r="N5">
        <v>39336</v>
      </c>
      <c r="O5">
        <v>232</v>
      </c>
      <c r="P5">
        <v>12</v>
      </c>
      <c r="Q5">
        <v>7</v>
      </c>
      <c r="R5">
        <v>20</v>
      </c>
      <c r="S5">
        <v>7</v>
      </c>
      <c r="T5">
        <v>8</v>
      </c>
      <c r="U5" s="168">
        <v>44769</v>
      </c>
      <c r="V5">
        <v>7.5</v>
      </c>
      <c r="W5" s="169" t="s">
        <v>146</v>
      </c>
      <c r="X5">
        <v>1</v>
      </c>
      <c r="Y5">
        <v>1</v>
      </c>
      <c r="Z5" t="s">
        <v>242</v>
      </c>
      <c r="AB5" s="171" t="s">
        <v>228</v>
      </c>
      <c r="AC5" t="s">
        <v>233</v>
      </c>
      <c r="AD5" t="s">
        <v>226</v>
      </c>
      <c r="AE5" t="s">
        <v>227</v>
      </c>
      <c r="AF5" t="s">
        <v>234</v>
      </c>
      <c r="AG5" t="s">
        <v>235</v>
      </c>
      <c r="AH5" t="s">
        <v>230</v>
      </c>
      <c r="AI5" t="s">
        <v>231</v>
      </c>
      <c r="AJ5" t="s">
        <v>232</v>
      </c>
    </row>
    <row r="6" spans="1:36" x14ac:dyDescent="0.25">
      <c r="A6" s="169" t="s">
        <v>258</v>
      </c>
      <c r="B6">
        <v>6</v>
      </c>
      <c r="C6" s="169" t="s">
        <v>259</v>
      </c>
      <c r="D6">
        <v>434462064</v>
      </c>
      <c r="F6" s="169" t="s">
        <v>180</v>
      </c>
      <c r="I6" s="169" t="s">
        <v>172</v>
      </c>
      <c r="K6">
        <v>31</v>
      </c>
      <c r="L6">
        <v>88</v>
      </c>
      <c r="M6">
        <v>102770</v>
      </c>
      <c r="N6">
        <v>36000</v>
      </c>
      <c r="O6">
        <v>227</v>
      </c>
      <c r="P6">
        <v>12</v>
      </c>
      <c r="Q6">
        <v>5</v>
      </c>
      <c r="R6">
        <v>20</v>
      </c>
      <c r="S6">
        <v>6</v>
      </c>
      <c r="T6">
        <v>8</v>
      </c>
      <c r="U6" s="168">
        <v>44769</v>
      </c>
      <c r="V6">
        <v>6.5</v>
      </c>
      <c r="W6" s="169" t="s">
        <v>146</v>
      </c>
      <c r="X6">
        <v>1</v>
      </c>
      <c r="Y6">
        <v>1</v>
      </c>
      <c r="Z6" t="s">
        <v>242</v>
      </c>
      <c r="AB6" s="172"/>
      <c r="AC6" s="169">
        <v>2</v>
      </c>
      <c r="AD6" s="169">
        <v>63540</v>
      </c>
      <c r="AE6" s="169">
        <v>26998</v>
      </c>
      <c r="AF6" s="173">
        <v>31.5</v>
      </c>
      <c r="AG6" s="173">
        <v>39.5</v>
      </c>
      <c r="AH6" s="173">
        <v>6</v>
      </c>
      <c r="AI6" s="173">
        <v>10</v>
      </c>
      <c r="AJ6" s="173">
        <v>8</v>
      </c>
    </row>
    <row r="7" spans="1:36" x14ac:dyDescent="0.25">
      <c r="A7" s="169" t="s">
        <v>258</v>
      </c>
      <c r="B7">
        <v>6</v>
      </c>
      <c r="C7" s="169" t="s">
        <v>259</v>
      </c>
      <c r="D7">
        <v>434462064</v>
      </c>
      <c r="F7" s="169" t="s">
        <v>180</v>
      </c>
      <c r="H7" s="169" t="s">
        <v>172</v>
      </c>
      <c r="I7" s="169"/>
      <c r="J7" s="169" t="s">
        <v>172</v>
      </c>
      <c r="K7">
        <v>31</v>
      </c>
      <c r="L7">
        <v>100</v>
      </c>
      <c r="M7">
        <v>100780</v>
      </c>
      <c r="N7">
        <v>36000</v>
      </c>
      <c r="O7">
        <v>229</v>
      </c>
      <c r="P7">
        <v>12</v>
      </c>
      <c r="Q7">
        <v>5</v>
      </c>
      <c r="R7">
        <v>20</v>
      </c>
      <c r="S7">
        <v>6</v>
      </c>
      <c r="T7">
        <v>8</v>
      </c>
      <c r="U7" s="168">
        <v>44779</v>
      </c>
      <c r="V7">
        <v>6.5</v>
      </c>
      <c r="W7" s="169" t="s">
        <v>201</v>
      </c>
      <c r="X7">
        <v>1</v>
      </c>
      <c r="Y7">
        <v>2</v>
      </c>
      <c r="Z7" t="s">
        <v>242</v>
      </c>
      <c r="AB7" s="172" t="s">
        <v>183</v>
      </c>
      <c r="AC7" s="169">
        <v>5</v>
      </c>
      <c r="AD7" s="169">
        <v>309690</v>
      </c>
      <c r="AE7" s="169">
        <v>95640</v>
      </c>
      <c r="AF7" s="173">
        <v>31.4</v>
      </c>
      <c r="AG7" s="173">
        <v>66.8</v>
      </c>
      <c r="AH7" s="173">
        <v>5.8</v>
      </c>
      <c r="AI7" s="173">
        <v>12</v>
      </c>
      <c r="AJ7" s="173">
        <v>7.8</v>
      </c>
    </row>
    <row r="8" spans="1:36" x14ac:dyDescent="0.25">
      <c r="A8" s="169" t="s">
        <v>186</v>
      </c>
      <c r="B8">
        <v>11</v>
      </c>
      <c r="C8" s="169" t="s">
        <v>267</v>
      </c>
      <c r="D8">
        <v>434425782</v>
      </c>
      <c r="F8" s="169" t="s">
        <v>171</v>
      </c>
      <c r="H8">
        <v>2</v>
      </c>
      <c r="I8" s="169" t="s">
        <v>172</v>
      </c>
      <c r="K8">
        <v>31</v>
      </c>
      <c r="L8">
        <v>87</v>
      </c>
      <c r="M8">
        <v>81240</v>
      </c>
      <c r="N8">
        <v>37668</v>
      </c>
      <c r="O8">
        <v>232</v>
      </c>
      <c r="P8">
        <v>12</v>
      </c>
      <c r="Q8">
        <v>4</v>
      </c>
      <c r="R8">
        <v>20</v>
      </c>
      <c r="S8">
        <v>5</v>
      </c>
      <c r="T8">
        <v>8</v>
      </c>
      <c r="U8" s="168">
        <v>44769</v>
      </c>
      <c r="V8">
        <v>8</v>
      </c>
      <c r="W8" s="169" t="s">
        <v>147</v>
      </c>
      <c r="X8">
        <v>1</v>
      </c>
      <c r="Y8">
        <v>1</v>
      </c>
      <c r="Z8" t="s">
        <v>478</v>
      </c>
      <c r="AB8" s="172" t="s">
        <v>171</v>
      </c>
      <c r="AC8" s="169">
        <v>2</v>
      </c>
      <c r="AD8" s="169">
        <v>181410</v>
      </c>
      <c r="AE8" s="169">
        <v>60636</v>
      </c>
      <c r="AF8" s="173">
        <v>31.5</v>
      </c>
      <c r="AG8" s="173">
        <v>54.5</v>
      </c>
      <c r="AH8" s="173">
        <v>6</v>
      </c>
      <c r="AI8" s="173">
        <v>11</v>
      </c>
      <c r="AJ8" s="173">
        <v>8</v>
      </c>
    </row>
    <row r="9" spans="1:36" x14ac:dyDescent="0.25">
      <c r="A9" s="169" t="s">
        <v>186</v>
      </c>
      <c r="B9">
        <v>11</v>
      </c>
      <c r="C9" s="169" t="s">
        <v>267</v>
      </c>
      <c r="D9">
        <v>434425782</v>
      </c>
      <c r="F9" s="169" t="s">
        <v>171</v>
      </c>
      <c r="H9" s="169" t="s">
        <v>172</v>
      </c>
      <c r="I9" s="169"/>
      <c r="J9" s="169" t="s">
        <v>172</v>
      </c>
      <c r="K9">
        <v>31</v>
      </c>
      <c r="L9">
        <v>99</v>
      </c>
      <c r="M9">
        <v>103780</v>
      </c>
      <c r="N9">
        <v>37668</v>
      </c>
      <c r="O9">
        <v>233</v>
      </c>
      <c r="P9">
        <v>12</v>
      </c>
      <c r="Q9">
        <v>4</v>
      </c>
      <c r="R9">
        <v>20</v>
      </c>
      <c r="S9">
        <v>6</v>
      </c>
      <c r="T9">
        <v>8</v>
      </c>
      <c r="U9" s="168">
        <v>44769</v>
      </c>
      <c r="V9">
        <v>8</v>
      </c>
      <c r="W9" s="169" t="s">
        <v>147</v>
      </c>
      <c r="X9">
        <v>1</v>
      </c>
      <c r="Y9">
        <v>2</v>
      </c>
      <c r="Z9" t="s">
        <v>478</v>
      </c>
      <c r="AB9" s="172" t="s">
        <v>176</v>
      </c>
      <c r="AC9" s="169">
        <v>2</v>
      </c>
      <c r="AD9" s="169">
        <v>173660</v>
      </c>
      <c r="AE9" s="169">
        <v>49308</v>
      </c>
      <c r="AF9" s="173">
        <v>31</v>
      </c>
      <c r="AG9" s="173">
        <v>81</v>
      </c>
      <c r="AH9" s="173">
        <v>6.5</v>
      </c>
      <c r="AI9" s="173">
        <v>11.5</v>
      </c>
      <c r="AJ9" s="173">
        <v>8</v>
      </c>
    </row>
    <row r="10" spans="1:36" x14ac:dyDescent="0.25">
      <c r="A10" s="169" t="s">
        <v>174</v>
      </c>
      <c r="B10">
        <v>19</v>
      </c>
      <c r="C10" s="169" t="s">
        <v>272</v>
      </c>
      <c r="D10">
        <v>431959989</v>
      </c>
      <c r="F10" s="169" t="s">
        <v>183</v>
      </c>
      <c r="I10" s="169" t="s">
        <v>172</v>
      </c>
      <c r="K10">
        <v>33</v>
      </c>
      <c r="L10">
        <v>35</v>
      </c>
      <c r="M10">
        <v>4810</v>
      </c>
      <c r="N10">
        <v>2030</v>
      </c>
      <c r="O10">
        <v>224</v>
      </c>
      <c r="P10">
        <v>7</v>
      </c>
      <c r="Q10">
        <v>5</v>
      </c>
      <c r="R10">
        <v>20</v>
      </c>
      <c r="S10">
        <v>6</v>
      </c>
      <c r="T10">
        <v>8</v>
      </c>
      <c r="U10" s="168">
        <v>44769</v>
      </c>
      <c r="V10">
        <v>6</v>
      </c>
      <c r="W10" s="169" t="s">
        <v>207</v>
      </c>
      <c r="X10">
        <v>0</v>
      </c>
      <c r="Y10">
        <v>1</v>
      </c>
      <c r="AB10" s="172" t="s">
        <v>180</v>
      </c>
      <c r="AC10" s="169">
        <v>4</v>
      </c>
      <c r="AD10" s="169">
        <v>265650</v>
      </c>
      <c r="AE10" s="169">
        <v>82260</v>
      </c>
      <c r="AF10" s="173">
        <v>31.75</v>
      </c>
      <c r="AG10" s="173">
        <v>52.25</v>
      </c>
      <c r="AH10" s="173">
        <v>6</v>
      </c>
      <c r="AI10" s="173">
        <v>12</v>
      </c>
      <c r="AJ10" s="173">
        <v>8</v>
      </c>
    </row>
    <row r="11" spans="1:36" x14ac:dyDescent="0.25">
      <c r="A11" s="169" t="s">
        <v>174</v>
      </c>
      <c r="B11">
        <v>19</v>
      </c>
      <c r="C11" s="169" t="s">
        <v>272</v>
      </c>
      <c r="D11">
        <v>431959989</v>
      </c>
      <c r="F11" s="169" t="s">
        <v>183</v>
      </c>
      <c r="H11" s="169" t="s">
        <v>172</v>
      </c>
      <c r="I11" s="169"/>
      <c r="J11" s="169" t="s">
        <v>172</v>
      </c>
      <c r="K11">
        <v>33</v>
      </c>
      <c r="L11">
        <v>47</v>
      </c>
      <c r="M11">
        <v>5060</v>
      </c>
      <c r="N11">
        <v>2030</v>
      </c>
      <c r="O11">
        <v>225</v>
      </c>
      <c r="P11">
        <v>7</v>
      </c>
      <c r="Q11">
        <v>5</v>
      </c>
      <c r="R11">
        <v>20</v>
      </c>
      <c r="S11">
        <v>7</v>
      </c>
      <c r="T11">
        <v>8</v>
      </c>
      <c r="U11" s="168">
        <v>44776</v>
      </c>
      <c r="V11">
        <v>6</v>
      </c>
      <c r="W11" s="169" t="s">
        <v>146</v>
      </c>
      <c r="X11">
        <v>0</v>
      </c>
      <c r="Y11">
        <v>2</v>
      </c>
      <c r="AB11" s="172" t="s">
        <v>229</v>
      </c>
      <c r="AC11" s="169">
        <v>15</v>
      </c>
      <c r="AD11" s="169">
        <v>993950</v>
      </c>
      <c r="AE11" s="169">
        <v>314842</v>
      </c>
      <c r="AF11" s="173">
        <v>31.466666666666665</v>
      </c>
      <c r="AG11" s="173">
        <v>59.533333333333331</v>
      </c>
      <c r="AH11" s="173">
        <v>6</v>
      </c>
      <c r="AI11" s="173">
        <v>11.533333333333333</v>
      </c>
      <c r="AJ11" s="173">
        <v>7.9333333333333336</v>
      </c>
    </row>
    <row r="12" spans="1:36" x14ac:dyDescent="0.25">
      <c r="A12" s="169" t="s">
        <v>261</v>
      </c>
      <c r="B12">
        <v>8</v>
      </c>
      <c r="C12" s="169" t="s">
        <v>262</v>
      </c>
      <c r="D12">
        <v>434422120</v>
      </c>
      <c r="F12" s="169" t="s">
        <v>183</v>
      </c>
      <c r="I12" s="169" t="s">
        <v>172</v>
      </c>
      <c r="K12">
        <v>31</v>
      </c>
      <c r="L12">
        <v>98</v>
      </c>
      <c r="M12">
        <v>4100</v>
      </c>
      <c r="N12">
        <v>972</v>
      </c>
      <c r="O12">
        <v>232</v>
      </c>
      <c r="P12">
        <v>4</v>
      </c>
      <c r="Q12">
        <v>5</v>
      </c>
      <c r="R12">
        <v>20</v>
      </c>
      <c r="S12">
        <v>7</v>
      </c>
      <c r="T12">
        <v>8</v>
      </c>
      <c r="U12" s="168">
        <v>44765</v>
      </c>
      <c r="V12">
        <v>5</v>
      </c>
      <c r="W12" s="169" t="s">
        <v>148</v>
      </c>
      <c r="X12">
        <v>0</v>
      </c>
      <c r="Y12">
        <v>1</v>
      </c>
    </row>
    <row r="13" spans="1:36" x14ac:dyDescent="0.25">
      <c r="A13" s="169" t="s">
        <v>261</v>
      </c>
      <c r="B13">
        <v>8</v>
      </c>
      <c r="C13" s="169" t="s">
        <v>262</v>
      </c>
      <c r="D13">
        <v>434422120</v>
      </c>
      <c r="F13" s="169" t="s">
        <v>183</v>
      </c>
      <c r="H13" s="169" t="s">
        <v>172</v>
      </c>
      <c r="I13" s="169"/>
      <c r="J13" s="169" t="s">
        <v>172</v>
      </c>
      <c r="K13">
        <v>31</v>
      </c>
      <c r="L13">
        <v>110</v>
      </c>
      <c r="M13">
        <v>4060</v>
      </c>
      <c r="N13">
        <v>972</v>
      </c>
      <c r="O13">
        <v>234</v>
      </c>
      <c r="P13">
        <v>4</v>
      </c>
      <c r="Q13">
        <v>5</v>
      </c>
      <c r="R13">
        <v>20</v>
      </c>
      <c r="S13">
        <v>7</v>
      </c>
      <c r="T13">
        <v>7</v>
      </c>
      <c r="U13" s="168">
        <v>44765</v>
      </c>
      <c r="V13">
        <v>5</v>
      </c>
      <c r="W13" s="169" t="s">
        <v>148</v>
      </c>
      <c r="X13">
        <v>0</v>
      </c>
      <c r="Y13">
        <v>2</v>
      </c>
    </row>
    <row r="14" spans="1:36" x14ac:dyDescent="0.25">
      <c r="A14" s="169" t="s">
        <v>195</v>
      </c>
      <c r="B14">
        <v>5</v>
      </c>
      <c r="C14" s="169" t="s">
        <v>257</v>
      </c>
      <c r="D14">
        <v>434959598</v>
      </c>
      <c r="F14" s="169" t="s">
        <v>176</v>
      </c>
      <c r="H14">
        <v>1</v>
      </c>
      <c r="I14" s="169" t="s">
        <v>172</v>
      </c>
      <c r="K14">
        <v>31</v>
      </c>
      <c r="L14">
        <v>62</v>
      </c>
      <c r="M14">
        <v>39700</v>
      </c>
      <c r="N14">
        <v>9972</v>
      </c>
      <c r="O14">
        <v>226</v>
      </c>
      <c r="P14">
        <v>11</v>
      </c>
      <c r="Q14">
        <v>4</v>
      </c>
      <c r="R14">
        <v>20</v>
      </c>
      <c r="S14">
        <v>6</v>
      </c>
      <c r="T14">
        <v>8</v>
      </c>
      <c r="U14" s="168">
        <v>44765</v>
      </c>
      <c r="V14">
        <v>7.5</v>
      </c>
      <c r="W14" s="169" t="s">
        <v>147</v>
      </c>
      <c r="X14">
        <v>1</v>
      </c>
      <c r="Y14">
        <v>1</v>
      </c>
      <c r="Z14" t="s">
        <v>479</v>
      </c>
    </row>
    <row r="15" spans="1:36" x14ac:dyDescent="0.25">
      <c r="A15" s="169" t="s">
        <v>195</v>
      </c>
      <c r="B15">
        <v>5</v>
      </c>
      <c r="C15" s="169" t="s">
        <v>257</v>
      </c>
      <c r="D15">
        <v>434959598</v>
      </c>
      <c r="F15" s="169" t="s">
        <v>176</v>
      </c>
      <c r="H15" s="169" t="s">
        <v>172</v>
      </c>
      <c r="I15" s="169"/>
      <c r="J15" s="169" t="s">
        <v>172</v>
      </c>
      <c r="K15">
        <v>31</v>
      </c>
      <c r="L15">
        <v>74</v>
      </c>
      <c r="M15">
        <v>45430</v>
      </c>
      <c r="N15">
        <v>9972</v>
      </c>
      <c r="O15">
        <v>228</v>
      </c>
      <c r="P15">
        <v>11</v>
      </c>
      <c r="Q15">
        <v>4</v>
      </c>
      <c r="R15">
        <v>20</v>
      </c>
      <c r="S15">
        <v>6</v>
      </c>
      <c r="T15">
        <v>8</v>
      </c>
      <c r="U15" s="168">
        <v>44779</v>
      </c>
      <c r="V15">
        <v>7</v>
      </c>
      <c r="W15" s="169" t="s">
        <v>146</v>
      </c>
      <c r="X15">
        <v>1</v>
      </c>
      <c r="Y15">
        <v>2</v>
      </c>
      <c r="Z15" t="s">
        <v>479</v>
      </c>
    </row>
    <row r="16" spans="1:36" x14ac:dyDescent="0.25">
      <c r="A16" s="169" t="s">
        <v>252</v>
      </c>
      <c r="B16">
        <v>1</v>
      </c>
      <c r="C16" s="169" t="s">
        <v>253</v>
      </c>
      <c r="D16">
        <v>431872768</v>
      </c>
      <c r="F16" s="169" t="s">
        <v>172</v>
      </c>
      <c r="I16" s="169" t="s">
        <v>172</v>
      </c>
      <c r="K16">
        <v>32</v>
      </c>
      <c r="L16">
        <v>51</v>
      </c>
      <c r="M16">
        <v>49680</v>
      </c>
      <c r="N16">
        <v>23628</v>
      </c>
      <c r="O16">
        <v>145</v>
      </c>
      <c r="P16">
        <v>12</v>
      </c>
      <c r="Q16">
        <v>5</v>
      </c>
      <c r="R16">
        <v>20</v>
      </c>
      <c r="S16">
        <v>6</v>
      </c>
      <c r="T16">
        <v>7</v>
      </c>
      <c r="U16" s="168">
        <v>44758</v>
      </c>
      <c r="V16">
        <v>9</v>
      </c>
      <c r="W16" s="169" t="s">
        <v>173</v>
      </c>
      <c r="X16">
        <v>1</v>
      </c>
      <c r="Y16">
        <v>1</v>
      </c>
      <c r="Z16" t="s">
        <v>173</v>
      </c>
    </row>
    <row r="17" spans="1:33" x14ac:dyDescent="0.25">
      <c r="A17" s="169" t="s">
        <v>252</v>
      </c>
      <c r="B17">
        <v>1</v>
      </c>
      <c r="C17" s="169" t="s">
        <v>253</v>
      </c>
      <c r="D17">
        <v>431872768</v>
      </c>
      <c r="F17" s="169" t="s">
        <v>172</v>
      </c>
      <c r="H17" s="169" t="s">
        <v>172</v>
      </c>
      <c r="I17" s="169"/>
      <c r="J17" s="169" t="s">
        <v>172</v>
      </c>
      <c r="K17">
        <v>32</v>
      </c>
      <c r="L17">
        <v>63</v>
      </c>
      <c r="M17">
        <v>48120</v>
      </c>
      <c r="N17">
        <v>23628</v>
      </c>
      <c r="O17">
        <v>147</v>
      </c>
      <c r="P17">
        <v>12</v>
      </c>
      <c r="Q17">
        <v>5</v>
      </c>
      <c r="R17">
        <v>20</v>
      </c>
      <c r="S17">
        <v>5</v>
      </c>
      <c r="T17">
        <v>8</v>
      </c>
      <c r="U17" s="168">
        <v>44779</v>
      </c>
      <c r="V17">
        <v>9</v>
      </c>
      <c r="W17" s="169" t="s">
        <v>173</v>
      </c>
      <c r="X17">
        <v>1</v>
      </c>
      <c r="Y17">
        <v>2</v>
      </c>
      <c r="Z17" t="s">
        <v>173</v>
      </c>
    </row>
    <row r="18" spans="1:33" x14ac:dyDescent="0.25">
      <c r="A18" s="169" t="s">
        <v>186</v>
      </c>
      <c r="C18" s="169" t="s">
        <v>278</v>
      </c>
      <c r="D18">
        <v>434715103</v>
      </c>
      <c r="F18" s="169" t="s">
        <v>183</v>
      </c>
      <c r="I18" s="169" t="s">
        <v>172</v>
      </c>
      <c r="K18">
        <v>31</v>
      </c>
      <c r="L18">
        <v>39</v>
      </c>
      <c r="M18">
        <v>22080</v>
      </c>
      <c r="N18">
        <v>3360</v>
      </c>
      <c r="O18">
        <v>105</v>
      </c>
      <c r="P18">
        <v>9</v>
      </c>
      <c r="Q18">
        <v>1</v>
      </c>
      <c r="R18">
        <v>20</v>
      </c>
      <c r="S18">
        <v>5</v>
      </c>
      <c r="T18">
        <v>7</v>
      </c>
      <c r="U18" s="168">
        <v>44755</v>
      </c>
      <c r="V18">
        <v>7</v>
      </c>
      <c r="W18" s="169" t="s">
        <v>146</v>
      </c>
      <c r="X18">
        <v>1</v>
      </c>
      <c r="Y18">
        <v>1</v>
      </c>
      <c r="Z18" t="s">
        <v>480</v>
      </c>
    </row>
    <row r="19" spans="1:33" x14ac:dyDescent="0.25">
      <c r="A19" s="169" t="s">
        <v>186</v>
      </c>
      <c r="C19" s="169" t="s">
        <v>278</v>
      </c>
      <c r="D19">
        <v>434715103</v>
      </c>
      <c r="F19" s="169" t="s">
        <v>183</v>
      </c>
      <c r="H19" s="169" t="s">
        <v>172</v>
      </c>
      <c r="I19" s="169"/>
      <c r="J19" s="169" t="s">
        <v>172</v>
      </c>
      <c r="K19">
        <v>31</v>
      </c>
      <c r="L19">
        <v>51</v>
      </c>
      <c r="M19">
        <v>21790</v>
      </c>
      <c r="N19">
        <v>3360</v>
      </c>
      <c r="O19">
        <v>107</v>
      </c>
      <c r="P19">
        <v>9</v>
      </c>
      <c r="Q19">
        <v>1</v>
      </c>
      <c r="R19">
        <v>20</v>
      </c>
      <c r="S19">
        <v>5</v>
      </c>
      <c r="T19">
        <v>7</v>
      </c>
      <c r="U19" s="168">
        <v>44755</v>
      </c>
      <c r="V19">
        <v>7</v>
      </c>
      <c r="W19" s="169" t="s">
        <v>146</v>
      </c>
      <c r="X19">
        <v>1</v>
      </c>
      <c r="Y19">
        <v>2</v>
      </c>
      <c r="Z19" t="s">
        <v>480</v>
      </c>
      <c r="AB19" s="171" t="s">
        <v>224</v>
      </c>
      <c r="AC19" s="172">
        <v>1</v>
      </c>
    </row>
    <row r="20" spans="1:33" x14ac:dyDescent="0.25">
      <c r="A20" s="169" t="s">
        <v>268</v>
      </c>
      <c r="B20">
        <v>13</v>
      </c>
      <c r="C20" s="169" t="s">
        <v>269</v>
      </c>
      <c r="D20">
        <v>434460183</v>
      </c>
      <c r="F20" s="169" t="s">
        <v>176</v>
      </c>
      <c r="I20" s="169" t="s">
        <v>172</v>
      </c>
      <c r="K20">
        <v>31</v>
      </c>
      <c r="L20">
        <v>92</v>
      </c>
      <c r="M20">
        <v>7000</v>
      </c>
      <c r="N20">
        <v>2016</v>
      </c>
      <c r="O20">
        <v>225</v>
      </c>
      <c r="P20">
        <v>4</v>
      </c>
      <c r="Q20">
        <v>3</v>
      </c>
      <c r="R20">
        <v>20</v>
      </c>
      <c r="S20">
        <v>7</v>
      </c>
      <c r="T20">
        <v>8</v>
      </c>
      <c r="U20" s="168">
        <v>44769</v>
      </c>
      <c r="V20">
        <v>5</v>
      </c>
      <c r="W20" s="169" t="s">
        <v>147</v>
      </c>
      <c r="X20">
        <v>0</v>
      </c>
      <c r="Y20">
        <v>1</v>
      </c>
    </row>
    <row r="21" spans="1:33" x14ac:dyDescent="0.25">
      <c r="A21" s="169" t="s">
        <v>268</v>
      </c>
      <c r="B21">
        <v>13</v>
      </c>
      <c r="C21" s="169" t="s">
        <v>269</v>
      </c>
      <c r="D21">
        <v>434460183</v>
      </c>
      <c r="F21" s="169" t="s">
        <v>176</v>
      </c>
      <c r="H21" s="169" t="s">
        <v>172</v>
      </c>
      <c r="I21" s="169"/>
      <c r="J21" s="169" t="s">
        <v>172</v>
      </c>
      <c r="K21">
        <v>31</v>
      </c>
      <c r="L21">
        <v>104</v>
      </c>
      <c r="M21">
        <v>6900</v>
      </c>
      <c r="N21">
        <v>2016</v>
      </c>
      <c r="O21">
        <v>226</v>
      </c>
      <c r="P21">
        <v>4</v>
      </c>
      <c r="Q21">
        <v>3</v>
      </c>
      <c r="R21">
        <v>20</v>
      </c>
      <c r="S21">
        <v>7</v>
      </c>
      <c r="T21">
        <v>7</v>
      </c>
      <c r="U21" s="168">
        <v>44769</v>
      </c>
      <c r="V21">
        <v>5</v>
      </c>
      <c r="W21" s="169" t="s">
        <v>147</v>
      </c>
      <c r="X21">
        <v>0</v>
      </c>
      <c r="Y21">
        <v>2</v>
      </c>
      <c r="AD21" s="171" t="s">
        <v>239</v>
      </c>
    </row>
    <row r="22" spans="1:33" x14ac:dyDescent="0.25">
      <c r="A22" s="169" t="s">
        <v>174</v>
      </c>
      <c r="C22" s="169" t="s">
        <v>277</v>
      </c>
      <c r="D22">
        <v>436566058</v>
      </c>
      <c r="F22" s="169" t="s">
        <v>172</v>
      </c>
      <c r="H22" s="169" t="s">
        <v>172</v>
      </c>
      <c r="I22" s="169"/>
      <c r="J22" s="169" t="s">
        <v>172</v>
      </c>
      <c r="K22">
        <v>31</v>
      </c>
      <c r="L22">
        <v>16</v>
      </c>
      <c r="M22">
        <v>15420</v>
      </c>
      <c r="N22">
        <v>3370</v>
      </c>
      <c r="O22">
        <v>70</v>
      </c>
      <c r="P22">
        <v>8</v>
      </c>
      <c r="Q22">
        <v>3</v>
      </c>
      <c r="R22">
        <v>20</v>
      </c>
      <c r="S22">
        <v>7</v>
      </c>
      <c r="T22">
        <v>8</v>
      </c>
      <c r="U22" s="168">
        <v>44776</v>
      </c>
      <c r="V22">
        <v>6.5</v>
      </c>
      <c r="W22" s="169" t="s">
        <v>173</v>
      </c>
      <c r="X22">
        <v>1</v>
      </c>
      <c r="Y22">
        <v>2</v>
      </c>
      <c r="Z22" t="s">
        <v>173</v>
      </c>
      <c r="AD22" t="s">
        <v>462</v>
      </c>
      <c r="AF22" t="s">
        <v>481</v>
      </c>
    </row>
    <row r="23" spans="1:33" x14ac:dyDescent="0.25">
      <c r="A23" s="169" t="s">
        <v>174</v>
      </c>
      <c r="C23" s="169" t="s">
        <v>277</v>
      </c>
      <c r="D23">
        <v>436566058</v>
      </c>
      <c r="F23" s="169" t="s">
        <v>172</v>
      </c>
      <c r="I23" s="169" t="s">
        <v>172</v>
      </c>
      <c r="K23">
        <v>31</v>
      </c>
      <c r="L23">
        <v>4</v>
      </c>
      <c r="M23">
        <v>16340</v>
      </c>
      <c r="N23">
        <v>3370</v>
      </c>
      <c r="O23">
        <v>69</v>
      </c>
      <c r="P23">
        <v>8</v>
      </c>
      <c r="Q23">
        <v>3</v>
      </c>
      <c r="R23">
        <v>20</v>
      </c>
      <c r="S23">
        <v>8</v>
      </c>
      <c r="T23">
        <v>8</v>
      </c>
      <c r="U23" s="168">
        <v>44765</v>
      </c>
      <c r="V23">
        <v>6.5</v>
      </c>
      <c r="W23" s="169" t="s">
        <v>173</v>
      </c>
      <c r="X23">
        <v>1</v>
      </c>
      <c r="Y23">
        <v>1</v>
      </c>
      <c r="Z23" t="s">
        <v>173</v>
      </c>
      <c r="AB23" s="171" t="s">
        <v>228</v>
      </c>
      <c r="AC23" s="171" t="s">
        <v>153</v>
      </c>
      <c r="AD23">
        <v>1</v>
      </c>
      <c r="AE23">
        <v>2</v>
      </c>
      <c r="AF23">
        <v>1</v>
      </c>
      <c r="AG23">
        <v>2</v>
      </c>
    </row>
    <row r="24" spans="1:33" x14ac:dyDescent="0.25">
      <c r="A24" s="169" t="s">
        <v>263</v>
      </c>
      <c r="B24">
        <v>9</v>
      </c>
      <c r="C24" s="169" t="s">
        <v>264</v>
      </c>
      <c r="D24">
        <v>433714630</v>
      </c>
      <c r="F24" s="169" t="s">
        <v>183</v>
      </c>
      <c r="I24" s="169" t="s">
        <v>172</v>
      </c>
      <c r="K24">
        <v>31</v>
      </c>
      <c r="L24">
        <v>92</v>
      </c>
      <c r="M24">
        <v>83590</v>
      </c>
      <c r="N24">
        <v>36984</v>
      </c>
      <c r="O24">
        <v>232</v>
      </c>
      <c r="P24">
        <v>13</v>
      </c>
      <c r="Q24">
        <v>5</v>
      </c>
      <c r="R24">
        <v>20</v>
      </c>
      <c r="S24">
        <v>4</v>
      </c>
      <c r="T24">
        <v>8</v>
      </c>
      <c r="U24" s="168">
        <v>44769</v>
      </c>
      <c r="V24">
        <v>7</v>
      </c>
      <c r="W24" s="169" t="s">
        <v>147</v>
      </c>
      <c r="X24">
        <v>1</v>
      </c>
      <c r="Y24">
        <v>1</v>
      </c>
      <c r="Z24" t="s">
        <v>242</v>
      </c>
      <c r="AB24" s="172" t="s">
        <v>479</v>
      </c>
      <c r="AD24" s="169">
        <v>20</v>
      </c>
      <c r="AE24" s="169">
        <v>20</v>
      </c>
      <c r="AF24" s="169">
        <v>20.5</v>
      </c>
      <c r="AG24" s="169">
        <v>22.5</v>
      </c>
    </row>
    <row r="25" spans="1:33" x14ac:dyDescent="0.25">
      <c r="A25" s="169" t="s">
        <v>263</v>
      </c>
      <c r="B25">
        <v>9</v>
      </c>
      <c r="C25" s="169" t="s">
        <v>264</v>
      </c>
      <c r="D25">
        <v>433714630</v>
      </c>
      <c r="F25" s="169" t="s">
        <v>183</v>
      </c>
      <c r="H25" s="169" t="s">
        <v>172</v>
      </c>
      <c r="I25" s="169"/>
      <c r="J25" s="169" t="s">
        <v>172</v>
      </c>
      <c r="K25">
        <v>31</v>
      </c>
      <c r="L25">
        <v>104</v>
      </c>
      <c r="M25">
        <v>80940</v>
      </c>
      <c r="N25">
        <v>36984</v>
      </c>
      <c r="O25">
        <v>234</v>
      </c>
      <c r="P25">
        <v>13</v>
      </c>
      <c r="Q25">
        <v>5</v>
      </c>
      <c r="R25">
        <v>20</v>
      </c>
      <c r="S25">
        <v>3</v>
      </c>
      <c r="T25">
        <v>8</v>
      </c>
      <c r="U25" s="168">
        <v>44776</v>
      </c>
      <c r="V25">
        <v>5</v>
      </c>
      <c r="W25" s="169" t="s">
        <v>201</v>
      </c>
      <c r="X25">
        <v>1</v>
      </c>
      <c r="Y25">
        <v>2</v>
      </c>
      <c r="Z25" t="s">
        <v>242</v>
      </c>
      <c r="AB25" s="181" t="s">
        <v>254</v>
      </c>
      <c r="AC25" s="172" t="s">
        <v>183</v>
      </c>
      <c r="AD25" s="169">
        <v>6</v>
      </c>
      <c r="AE25" s="169">
        <v>6</v>
      </c>
      <c r="AF25" s="169">
        <v>5.5</v>
      </c>
      <c r="AG25" s="169">
        <v>7</v>
      </c>
    </row>
    <row r="26" spans="1:33" x14ac:dyDescent="0.25">
      <c r="A26" s="169" t="s">
        <v>210</v>
      </c>
      <c r="B26">
        <v>7</v>
      </c>
      <c r="C26" s="169" t="s">
        <v>260</v>
      </c>
      <c r="D26">
        <v>434025904</v>
      </c>
      <c r="F26" s="169" t="s">
        <v>180</v>
      </c>
      <c r="H26" s="169" t="s">
        <v>172</v>
      </c>
      <c r="I26" s="169"/>
      <c r="J26" s="169" t="s">
        <v>172</v>
      </c>
      <c r="K26">
        <v>32</v>
      </c>
      <c r="L26">
        <v>12</v>
      </c>
      <c r="M26">
        <v>81180</v>
      </c>
      <c r="N26">
        <v>30528</v>
      </c>
      <c r="O26">
        <v>234</v>
      </c>
      <c r="P26">
        <v>13</v>
      </c>
      <c r="Q26">
        <v>2</v>
      </c>
      <c r="R26">
        <v>20</v>
      </c>
      <c r="S26">
        <v>6</v>
      </c>
      <c r="T26">
        <v>8</v>
      </c>
      <c r="U26" s="168">
        <v>44779</v>
      </c>
      <c r="V26">
        <v>8.5</v>
      </c>
      <c r="W26" s="169" t="s">
        <v>147</v>
      </c>
      <c r="X26">
        <v>1</v>
      </c>
      <c r="Y26">
        <v>2</v>
      </c>
      <c r="Z26" t="s">
        <v>478</v>
      </c>
      <c r="AB26" s="181" t="s">
        <v>271</v>
      </c>
      <c r="AC26" s="172" t="s">
        <v>183</v>
      </c>
      <c r="AD26" s="169">
        <v>8</v>
      </c>
      <c r="AE26" s="169">
        <v>8</v>
      </c>
      <c r="AF26" s="169">
        <v>7.5</v>
      </c>
      <c r="AG26" s="169">
        <v>8.5</v>
      </c>
    </row>
    <row r="27" spans="1:33" x14ac:dyDescent="0.25">
      <c r="A27" s="169" t="s">
        <v>210</v>
      </c>
      <c r="B27">
        <v>7</v>
      </c>
      <c r="C27" s="169" t="s">
        <v>260</v>
      </c>
      <c r="D27">
        <v>434025904</v>
      </c>
      <c r="F27" s="169" t="s">
        <v>180</v>
      </c>
      <c r="I27" s="169" t="s">
        <v>172</v>
      </c>
      <c r="K27">
        <v>32</v>
      </c>
      <c r="L27">
        <v>0</v>
      </c>
      <c r="M27">
        <v>73520</v>
      </c>
      <c r="N27">
        <v>30528</v>
      </c>
      <c r="O27">
        <v>233</v>
      </c>
      <c r="P27">
        <v>13</v>
      </c>
      <c r="Q27">
        <v>2</v>
      </c>
      <c r="R27">
        <v>20</v>
      </c>
      <c r="S27">
        <v>5</v>
      </c>
      <c r="T27">
        <v>7</v>
      </c>
      <c r="U27" s="168">
        <v>44769</v>
      </c>
      <c r="V27">
        <v>5.5</v>
      </c>
      <c r="W27" s="169" t="s">
        <v>146</v>
      </c>
      <c r="X27">
        <v>1</v>
      </c>
      <c r="Y27">
        <v>1</v>
      </c>
      <c r="Z27" t="s">
        <v>478</v>
      </c>
      <c r="AB27" s="181" t="s">
        <v>257</v>
      </c>
      <c r="AC27" s="172" t="s">
        <v>176</v>
      </c>
      <c r="AD27" s="169">
        <v>6</v>
      </c>
      <c r="AE27" s="169">
        <v>6</v>
      </c>
      <c r="AF27" s="169">
        <v>7.5</v>
      </c>
      <c r="AG27" s="169">
        <v>7</v>
      </c>
    </row>
    <row r="28" spans="1:33" x14ac:dyDescent="0.25">
      <c r="A28" s="169" t="s">
        <v>270</v>
      </c>
      <c r="B28">
        <v>14</v>
      </c>
      <c r="C28" s="169" t="s">
        <v>271</v>
      </c>
      <c r="D28">
        <v>431840182</v>
      </c>
      <c r="F28" s="169" t="s">
        <v>183</v>
      </c>
      <c r="H28" s="169" t="s">
        <v>172</v>
      </c>
      <c r="I28" s="169">
        <v>1</v>
      </c>
      <c r="J28" s="169" t="s">
        <v>172</v>
      </c>
      <c r="K28">
        <v>32</v>
      </c>
      <c r="L28">
        <v>83</v>
      </c>
      <c r="M28">
        <v>48770</v>
      </c>
      <c r="N28">
        <v>10872</v>
      </c>
      <c r="O28">
        <v>209</v>
      </c>
      <c r="P28">
        <v>12</v>
      </c>
      <c r="Q28">
        <v>5</v>
      </c>
      <c r="R28">
        <v>20</v>
      </c>
      <c r="S28">
        <v>8</v>
      </c>
      <c r="T28">
        <v>8</v>
      </c>
      <c r="U28" s="168">
        <v>44779</v>
      </c>
      <c r="V28">
        <v>8.5</v>
      </c>
      <c r="W28" s="169" t="s">
        <v>146</v>
      </c>
      <c r="X28">
        <v>1</v>
      </c>
      <c r="Y28">
        <v>2</v>
      </c>
      <c r="Z28" t="s">
        <v>479</v>
      </c>
      <c r="AB28" s="172" t="s">
        <v>480</v>
      </c>
      <c r="AD28" s="169">
        <v>11</v>
      </c>
      <c r="AE28" s="169">
        <v>11</v>
      </c>
      <c r="AF28" s="169">
        <v>15.5</v>
      </c>
      <c r="AG28" s="169">
        <v>15</v>
      </c>
    </row>
    <row r="29" spans="1:33" x14ac:dyDescent="0.25">
      <c r="A29" s="169" t="s">
        <v>270</v>
      </c>
      <c r="B29">
        <v>14</v>
      </c>
      <c r="C29" s="169" t="s">
        <v>271</v>
      </c>
      <c r="D29">
        <v>431840182</v>
      </c>
      <c r="F29" s="169" t="s">
        <v>183</v>
      </c>
      <c r="I29" s="169" t="s">
        <v>172</v>
      </c>
      <c r="K29">
        <v>32</v>
      </c>
      <c r="L29">
        <v>71</v>
      </c>
      <c r="M29">
        <v>49380</v>
      </c>
      <c r="N29">
        <v>10872</v>
      </c>
      <c r="O29">
        <v>207</v>
      </c>
      <c r="P29">
        <v>12</v>
      </c>
      <c r="Q29">
        <v>5</v>
      </c>
      <c r="R29">
        <v>20</v>
      </c>
      <c r="S29">
        <v>8</v>
      </c>
      <c r="T29">
        <v>8</v>
      </c>
      <c r="U29" s="168">
        <v>44769</v>
      </c>
      <c r="V29">
        <v>7.5</v>
      </c>
      <c r="W29" s="169" t="s">
        <v>177</v>
      </c>
      <c r="X29">
        <v>1</v>
      </c>
      <c r="Y29">
        <v>1</v>
      </c>
      <c r="Z29" t="s">
        <v>479</v>
      </c>
      <c r="AB29" s="181" t="s">
        <v>274</v>
      </c>
      <c r="AC29" s="172" t="s">
        <v>171</v>
      </c>
      <c r="AD29" s="169">
        <v>6</v>
      </c>
      <c r="AE29" s="169">
        <v>6</v>
      </c>
      <c r="AF29" s="169">
        <v>8.5</v>
      </c>
      <c r="AG29" s="169">
        <v>8</v>
      </c>
    </row>
    <row r="30" spans="1:33" x14ac:dyDescent="0.25">
      <c r="A30" s="169" t="s">
        <v>265</v>
      </c>
      <c r="B30">
        <v>10</v>
      </c>
      <c r="C30" s="169" t="s">
        <v>266</v>
      </c>
      <c r="D30">
        <v>434031677</v>
      </c>
      <c r="F30" s="169" t="s">
        <v>183</v>
      </c>
      <c r="I30" s="169" t="s">
        <v>172</v>
      </c>
      <c r="K30">
        <v>31</v>
      </c>
      <c r="L30">
        <v>72</v>
      </c>
      <c r="M30">
        <v>132260</v>
      </c>
      <c r="N30">
        <v>38904</v>
      </c>
      <c r="O30">
        <v>232</v>
      </c>
      <c r="P30">
        <v>14</v>
      </c>
      <c r="Q30">
        <v>6</v>
      </c>
      <c r="R30">
        <v>20</v>
      </c>
      <c r="S30">
        <v>7</v>
      </c>
      <c r="T30">
        <v>8</v>
      </c>
      <c r="U30" s="168">
        <v>44769</v>
      </c>
      <c r="V30">
        <v>10</v>
      </c>
      <c r="W30" s="169" t="s">
        <v>147</v>
      </c>
      <c r="X30">
        <v>1</v>
      </c>
      <c r="Y30">
        <v>1</v>
      </c>
      <c r="Z30" t="s">
        <v>242</v>
      </c>
      <c r="AB30" s="181" t="s">
        <v>278</v>
      </c>
      <c r="AC30" s="172" t="s">
        <v>183</v>
      </c>
      <c r="AD30" s="169">
        <v>5</v>
      </c>
      <c r="AE30" s="169">
        <v>5</v>
      </c>
      <c r="AF30" s="169">
        <v>7</v>
      </c>
      <c r="AG30" s="169">
        <v>7</v>
      </c>
    </row>
    <row r="31" spans="1:33" x14ac:dyDescent="0.25">
      <c r="A31" s="169" t="s">
        <v>265</v>
      </c>
      <c r="B31">
        <v>10</v>
      </c>
      <c r="C31" s="169" t="s">
        <v>266</v>
      </c>
      <c r="D31">
        <v>434031677</v>
      </c>
      <c r="F31" s="169" t="s">
        <v>183</v>
      </c>
      <c r="H31" s="169" t="s">
        <v>172</v>
      </c>
      <c r="I31" s="169"/>
      <c r="J31" s="169" t="s">
        <v>172</v>
      </c>
      <c r="K31">
        <v>31</v>
      </c>
      <c r="L31">
        <v>84</v>
      </c>
      <c r="M31">
        <v>131360</v>
      </c>
      <c r="N31">
        <v>38904</v>
      </c>
      <c r="O31">
        <v>234</v>
      </c>
      <c r="P31">
        <v>14</v>
      </c>
      <c r="Q31">
        <v>6</v>
      </c>
      <c r="R31">
        <v>20</v>
      </c>
      <c r="S31">
        <v>7</v>
      </c>
      <c r="T31">
        <v>8</v>
      </c>
      <c r="U31" s="168">
        <v>44779</v>
      </c>
      <c r="V31">
        <v>10</v>
      </c>
      <c r="W31" s="169" t="s">
        <v>147</v>
      </c>
      <c r="X31">
        <v>1</v>
      </c>
      <c r="Y31">
        <v>2</v>
      </c>
      <c r="Z31" t="s">
        <v>242</v>
      </c>
      <c r="AB31" s="172" t="s">
        <v>242</v>
      </c>
      <c r="AD31" s="169">
        <v>24</v>
      </c>
      <c r="AE31" s="169">
        <v>23</v>
      </c>
      <c r="AF31" s="169">
        <v>31</v>
      </c>
      <c r="AG31" s="169">
        <v>31.5</v>
      </c>
    </row>
    <row r="32" spans="1:33" x14ac:dyDescent="0.25">
      <c r="A32" s="169" t="s">
        <v>275</v>
      </c>
      <c r="C32" s="169" t="s">
        <v>276</v>
      </c>
      <c r="D32">
        <v>407065238</v>
      </c>
      <c r="E32">
        <v>1</v>
      </c>
      <c r="F32" s="169" t="s">
        <v>180</v>
      </c>
      <c r="G32">
        <v>1</v>
      </c>
      <c r="H32" s="169" t="s">
        <v>172</v>
      </c>
      <c r="I32" s="169"/>
      <c r="J32" s="169" t="s">
        <v>172</v>
      </c>
      <c r="K32">
        <v>43</v>
      </c>
      <c r="L32">
        <v>30</v>
      </c>
      <c r="M32">
        <v>0</v>
      </c>
      <c r="N32">
        <v>300</v>
      </c>
      <c r="O32">
        <v>18</v>
      </c>
      <c r="P32">
        <v>1</v>
      </c>
      <c r="Q32">
        <v>6</v>
      </c>
      <c r="R32">
        <v>20</v>
      </c>
      <c r="S32">
        <v>4</v>
      </c>
      <c r="T32">
        <v>2</v>
      </c>
      <c r="U32" s="168">
        <v>42121</v>
      </c>
      <c r="V32">
        <v>3.5</v>
      </c>
      <c r="W32" s="169" t="s">
        <v>146</v>
      </c>
      <c r="X32">
        <v>0</v>
      </c>
      <c r="Y32">
        <v>2</v>
      </c>
      <c r="AB32" s="181" t="s">
        <v>266</v>
      </c>
      <c r="AC32" s="172" t="s">
        <v>183</v>
      </c>
      <c r="AD32" s="169">
        <v>7</v>
      </c>
      <c r="AE32" s="169">
        <v>7</v>
      </c>
      <c r="AF32" s="169">
        <v>10</v>
      </c>
      <c r="AG32" s="169">
        <v>10</v>
      </c>
    </row>
    <row r="33" spans="1:33" x14ac:dyDescent="0.25">
      <c r="A33" s="169" t="s">
        <v>275</v>
      </c>
      <c r="C33" s="169" t="s">
        <v>276</v>
      </c>
      <c r="D33">
        <v>407065238</v>
      </c>
      <c r="E33">
        <v>1</v>
      </c>
      <c r="F33" s="169" t="s">
        <v>180</v>
      </c>
      <c r="G33">
        <v>1</v>
      </c>
      <c r="I33" s="169" t="s">
        <v>172</v>
      </c>
      <c r="K33">
        <v>43</v>
      </c>
      <c r="L33">
        <v>18</v>
      </c>
      <c r="M33">
        <v>0</v>
      </c>
      <c r="N33">
        <v>300</v>
      </c>
      <c r="O33">
        <v>16</v>
      </c>
      <c r="P33">
        <v>1</v>
      </c>
      <c r="Q33">
        <v>7</v>
      </c>
      <c r="R33">
        <v>20</v>
      </c>
      <c r="S33">
        <v>3</v>
      </c>
      <c r="T33">
        <v>2</v>
      </c>
      <c r="U33" s="168">
        <v>42121</v>
      </c>
      <c r="V33">
        <v>3.5</v>
      </c>
      <c r="W33" s="169" t="s">
        <v>146</v>
      </c>
      <c r="X33">
        <v>0</v>
      </c>
      <c r="Y33">
        <v>1</v>
      </c>
      <c r="AB33" s="181" t="s">
        <v>264</v>
      </c>
      <c r="AC33" s="172" t="s">
        <v>183</v>
      </c>
      <c r="AD33" s="169">
        <v>4</v>
      </c>
      <c r="AE33" s="169">
        <v>3</v>
      </c>
      <c r="AF33" s="169">
        <v>7</v>
      </c>
      <c r="AG33" s="169">
        <v>5</v>
      </c>
    </row>
    <row r="34" spans="1:33" x14ac:dyDescent="0.25">
      <c r="A34" s="169" t="s">
        <v>174</v>
      </c>
      <c r="B34">
        <v>3</v>
      </c>
      <c r="C34" s="169" t="s">
        <v>255</v>
      </c>
      <c r="D34">
        <v>434933863</v>
      </c>
      <c r="F34" s="169" t="s">
        <v>180</v>
      </c>
      <c r="H34" s="169" t="s">
        <v>172</v>
      </c>
      <c r="I34" s="169"/>
      <c r="J34" s="169" t="s">
        <v>172</v>
      </c>
      <c r="K34">
        <v>32</v>
      </c>
      <c r="L34">
        <v>87</v>
      </c>
      <c r="M34">
        <v>31070</v>
      </c>
      <c r="N34">
        <v>6300</v>
      </c>
      <c r="O34">
        <v>227</v>
      </c>
      <c r="P34">
        <v>12</v>
      </c>
      <c r="Q34">
        <v>3</v>
      </c>
      <c r="R34">
        <v>20</v>
      </c>
      <c r="S34">
        <v>7</v>
      </c>
      <c r="T34">
        <v>8</v>
      </c>
      <c r="U34" s="168">
        <v>44779</v>
      </c>
      <c r="V34">
        <v>6.5</v>
      </c>
      <c r="W34" s="169" t="s">
        <v>177</v>
      </c>
      <c r="X34">
        <v>1</v>
      </c>
      <c r="Y34">
        <v>2</v>
      </c>
      <c r="Z34" t="s">
        <v>244</v>
      </c>
      <c r="AB34" s="181" t="s">
        <v>259</v>
      </c>
      <c r="AC34" s="172" t="s">
        <v>180</v>
      </c>
      <c r="AD34" s="169">
        <v>6</v>
      </c>
      <c r="AE34" s="169">
        <v>6</v>
      </c>
      <c r="AF34" s="169">
        <v>6.5</v>
      </c>
      <c r="AG34" s="169">
        <v>6.5</v>
      </c>
    </row>
    <row r="35" spans="1:33" x14ac:dyDescent="0.25">
      <c r="A35" s="169" t="s">
        <v>174</v>
      </c>
      <c r="B35">
        <v>3</v>
      </c>
      <c r="C35" s="169" t="s">
        <v>255</v>
      </c>
      <c r="D35">
        <v>434933863</v>
      </c>
      <c r="F35" s="169" t="s">
        <v>180</v>
      </c>
      <c r="I35" s="169" t="s">
        <v>172</v>
      </c>
      <c r="K35">
        <v>32</v>
      </c>
      <c r="L35">
        <v>75</v>
      </c>
      <c r="M35">
        <v>32750</v>
      </c>
      <c r="N35">
        <v>6300</v>
      </c>
      <c r="O35">
        <v>225</v>
      </c>
      <c r="P35">
        <v>12</v>
      </c>
      <c r="Q35">
        <v>3</v>
      </c>
      <c r="R35">
        <v>20</v>
      </c>
      <c r="S35">
        <v>7</v>
      </c>
      <c r="T35">
        <v>8</v>
      </c>
      <c r="U35" s="168">
        <v>44769</v>
      </c>
      <c r="V35">
        <v>5.5</v>
      </c>
      <c r="W35" s="169" t="s">
        <v>201</v>
      </c>
      <c r="X35">
        <v>1</v>
      </c>
      <c r="Y35">
        <v>1</v>
      </c>
      <c r="Z35" t="s">
        <v>244</v>
      </c>
      <c r="AB35" s="181" t="s">
        <v>256</v>
      </c>
      <c r="AC35" s="172" t="s">
        <v>176</v>
      </c>
      <c r="AD35" s="169">
        <v>7</v>
      </c>
      <c r="AE35" s="169">
        <v>7</v>
      </c>
      <c r="AF35" s="169">
        <v>7.5</v>
      </c>
      <c r="AG35" s="169">
        <v>10</v>
      </c>
    </row>
    <row r="36" spans="1:33" x14ac:dyDescent="0.25">
      <c r="A36" s="169" t="s">
        <v>174</v>
      </c>
      <c r="B36">
        <v>36</v>
      </c>
      <c r="C36" s="169" t="s">
        <v>273</v>
      </c>
      <c r="D36">
        <v>424198468</v>
      </c>
      <c r="F36" s="169" t="s">
        <v>176</v>
      </c>
      <c r="G36">
        <v>1</v>
      </c>
      <c r="I36" s="169" t="s">
        <v>172</v>
      </c>
      <c r="K36">
        <v>40</v>
      </c>
      <c r="L36">
        <v>20</v>
      </c>
      <c r="M36">
        <v>0</v>
      </c>
      <c r="N36">
        <v>260</v>
      </c>
      <c r="O36">
        <v>292</v>
      </c>
      <c r="P36">
        <v>5</v>
      </c>
      <c r="Q36">
        <v>4</v>
      </c>
      <c r="R36">
        <v>20</v>
      </c>
      <c r="S36">
        <v>3</v>
      </c>
      <c r="T36">
        <v>3</v>
      </c>
      <c r="U36" s="168">
        <v>44769</v>
      </c>
      <c r="V36">
        <v>5</v>
      </c>
      <c r="W36" s="169" t="s">
        <v>173</v>
      </c>
      <c r="X36">
        <v>0</v>
      </c>
      <c r="Y36">
        <v>1</v>
      </c>
      <c r="AB36" s="172" t="s">
        <v>478</v>
      </c>
      <c r="AD36" s="169">
        <v>10</v>
      </c>
      <c r="AE36" s="169">
        <v>12</v>
      </c>
      <c r="AF36" s="169">
        <v>13.5</v>
      </c>
      <c r="AG36" s="169">
        <v>16.5</v>
      </c>
    </row>
    <row r="37" spans="1:33" x14ac:dyDescent="0.25">
      <c r="A37" s="169" t="s">
        <v>174</v>
      </c>
      <c r="B37">
        <v>36</v>
      </c>
      <c r="C37" s="169" t="s">
        <v>273</v>
      </c>
      <c r="D37">
        <v>424198468</v>
      </c>
      <c r="F37" s="169" t="s">
        <v>176</v>
      </c>
      <c r="G37">
        <v>1</v>
      </c>
      <c r="H37" s="169" t="s">
        <v>172</v>
      </c>
      <c r="I37" s="169"/>
      <c r="J37" s="169" t="s">
        <v>172</v>
      </c>
      <c r="K37">
        <v>40</v>
      </c>
      <c r="L37">
        <v>32</v>
      </c>
      <c r="M37">
        <v>0</v>
      </c>
      <c r="N37">
        <v>260</v>
      </c>
      <c r="O37">
        <v>294</v>
      </c>
      <c r="P37">
        <v>5</v>
      </c>
      <c r="Q37">
        <v>4</v>
      </c>
      <c r="R37">
        <v>20</v>
      </c>
      <c r="S37">
        <v>2</v>
      </c>
      <c r="T37">
        <v>3</v>
      </c>
      <c r="U37" s="168">
        <v>44769</v>
      </c>
      <c r="V37">
        <v>5</v>
      </c>
      <c r="W37" s="169" t="s">
        <v>173</v>
      </c>
      <c r="X37">
        <v>0</v>
      </c>
      <c r="Y37">
        <v>2</v>
      </c>
      <c r="AB37" s="181" t="s">
        <v>260</v>
      </c>
      <c r="AC37" s="172" t="s">
        <v>180</v>
      </c>
      <c r="AD37" s="169">
        <v>5</v>
      </c>
      <c r="AE37" s="169">
        <v>6</v>
      </c>
      <c r="AF37" s="169">
        <v>5.5</v>
      </c>
      <c r="AG37" s="169">
        <v>8.5</v>
      </c>
    </row>
    <row r="38" spans="1:33" x14ac:dyDescent="0.25">
      <c r="A38" s="169" t="s">
        <v>174</v>
      </c>
      <c r="B38">
        <v>2</v>
      </c>
      <c r="C38" s="169" t="s">
        <v>254</v>
      </c>
      <c r="D38">
        <v>434808807</v>
      </c>
      <c r="F38" s="169" t="s">
        <v>183</v>
      </c>
      <c r="H38" s="169" t="s">
        <v>172</v>
      </c>
      <c r="I38" s="169"/>
      <c r="J38" s="169" t="s">
        <v>172</v>
      </c>
      <c r="K38">
        <v>32</v>
      </c>
      <c r="L38">
        <v>12</v>
      </c>
      <c r="M38">
        <v>26830</v>
      </c>
      <c r="N38">
        <v>5520</v>
      </c>
      <c r="O38">
        <v>228</v>
      </c>
      <c r="P38">
        <v>12</v>
      </c>
      <c r="Q38">
        <v>5</v>
      </c>
      <c r="R38">
        <v>20</v>
      </c>
      <c r="S38">
        <v>6</v>
      </c>
      <c r="T38">
        <v>8</v>
      </c>
      <c r="U38" s="168">
        <v>44779</v>
      </c>
      <c r="V38">
        <v>7</v>
      </c>
      <c r="W38" s="169" t="s">
        <v>146</v>
      </c>
      <c r="X38">
        <v>1</v>
      </c>
      <c r="Y38">
        <v>2</v>
      </c>
      <c r="Z38" t="s">
        <v>479</v>
      </c>
      <c r="AB38" s="181" t="s">
        <v>267</v>
      </c>
      <c r="AC38" s="172" t="s">
        <v>171</v>
      </c>
      <c r="AD38" s="169">
        <v>5</v>
      </c>
      <c r="AE38" s="169">
        <v>6</v>
      </c>
      <c r="AF38" s="169">
        <v>8</v>
      </c>
      <c r="AG38" s="169">
        <v>8</v>
      </c>
    </row>
    <row r="39" spans="1:33" x14ac:dyDescent="0.25">
      <c r="A39" s="169" t="s">
        <v>174</v>
      </c>
      <c r="B39">
        <v>2</v>
      </c>
      <c r="C39" s="169" t="s">
        <v>254</v>
      </c>
      <c r="D39">
        <v>434808807</v>
      </c>
      <c r="F39" s="169" t="s">
        <v>183</v>
      </c>
      <c r="I39" s="169" t="s">
        <v>172</v>
      </c>
      <c r="K39">
        <v>32</v>
      </c>
      <c r="L39">
        <v>0</v>
      </c>
      <c r="M39">
        <v>28210</v>
      </c>
      <c r="N39">
        <v>5520</v>
      </c>
      <c r="O39">
        <v>227</v>
      </c>
      <c r="P39">
        <v>12</v>
      </c>
      <c r="Q39">
        <v>5</v>
      </c>
      <c r="R39">
        <v>20</v>
      </c>
      <c r="S39">
        <v>6</v>
      </c>
      <c r="T39">
        <v>8</v>
      </c>
      <c r="U39" s="168">
        <v>44769</v>
      </c>
      <c r="V39">
        <v>5.5</v>
      </c>
      <c r="W39" s="169" t="s">
        <v>181</v>
      </c>
      <c r="X39">
        <v>1</v>
      </c>
      <c r="Y39">
        <v>1</v>
      </c>
      <c r="Z39" t="s">
        <v>479</v>
      </c>
      <c r="AB39" s="172" t="s">
        <v>244</v>
      </c>
      <c r="AD39" s="169">
        <v>12</v>
      </c>
      <c r="AE39" s="169">
        <v>12</v>
      </c>
      <c r="AF39" s="169">
        <v>12.5</v>
      </c>
      <c r="AG39" s="169">
        <v>13.5</v>
      </c>
    </row>
    <row r="40" spans="1:33" x14ac:dyDescent="0.25">
      <c r="A40" s="169" t="s">
        <v>195</v>
      </c>
      <c r="C40" s="169" t="s">
        <v>274</v>
      </c>
      <c r="D40">
        <v>433486520</v>
      </c>
      <c r="F40" s="169" t="s">
        <v>171</v>
      </c>
      <c r="I40" s="169" t="s">
        <v>172</v>
      </c>
      <c r="K40">
        <v>31</v>
      </c>
      <c r="L40">
        <v>110</v>
      </c>
      <c r="M40">
        <v>106490</v>
      </c>
      <c r="N40">
        <v>27876</v>
      </c>
      <c r="O40">
        <v>111</v>
      </c>
      <c r="P40">
        <v>10</v>
      </c>
      <c r="Q40">
        <v>3</v>
      </c>
      <c r="R40">
        <v>20</v>
      </c>
      <c r="S40">
        <v>6</v>
      </c>
      <c r="T40">
        <v>8</v>
      </c>
      <c r="U40" s="168">
        <v>44765</v>
      </c>
      <c r="V40">
        <v>8.5</v>
      </c>
      <c r="W40" s="169" t="s">
        <v>147</v>
      </c>
      <c r="X40">
        <v>1</v>
      </c>
      <c r="Y40">
        <v>1</v>
      </c>
      <c r="Z40" t="s">
        <v>480</v>
      </c>
      <c r="AB40" s="181" t="s">
        <v>255</v>
      </c>
      <c r="AC40" s="172" t="s">
        <v>180</v>
      </c>
      <c r="AD40" s="169">
        <v>7</v>
      </c>
      <c r="AE40" s="169">
        <v>7</v>
      </c>
      <c r="AF40" s="169">
        <v>5.5</v>
      </c>
      <c r="AG40" s="169">
        <v>6.5</v>
      </c>
    </row>
    <row r="41" spans="1:33" x14ac:dyDescent="0.25">
      <c r="A41" s="169" t="s">
        <v>195</v>
      </c>
      <c r="C41" s="169" t="s">
        <v>274</v>
      </c>
      <c r="D41">
        <v>433486520</v>
      </c>
      <c r="F41" s="169" t="s">
        <v>171</v>
      </c>
      <c r="H41" s="169" t="s">
        <v>172</v>
      </c>
      <c r="I41" s="169"/>
      <c r="J41" s="169" t="s">
        <v>172</v>
      </c>
      <c r="K41">
        <v>32</v>
      </c>
      <c r="L41">
        <v>10</v>
      </c>
      <c r="M41">
        <v>77630</v>
      </c>
      <c r="N41">
        <v>22968</v>
      </c>
      <c r="O41">
        <v>112</v>
      </c>
      <c r="P41">
        <v>10</v>
      </c>
      <c r="Q41">
        <v>3</v>
      </c>
      <c r="R41">
        <v>20</v>
      </c>
      <c r="S41">
        <v>6</v>
      </c>
      <c r="T41">
        <v>8</v>
      </c>
      <c r="U41" s="168">
        <v>44779</v>
      </c>
      <c r="V41">
        <v>8</v>
      </c>
      <c r="W41" s="169" t="s">
        <v>181</v>
      </c>
      <c r="X41">
        <v>1</v>
      </c>
      <c r="Y41">
        <v>2</v>
      </c>
      <c r="Z41" t="s">
        <v>480</v>
      </c>
      <c r="AB41" s="181" t="s">
        <v>279</v>
      </c>
      <c r="AC41" s="172" t="s">
        <v>180</v>
      </c>
      <c r="AD41" s="169">
        <v>5</v>
      </c>
      <c r="AE41" s="169">
        <v>5</v>
      </c>
      <c r="AF41" s="169">
        <v>7</v>
      </c>
      <c r="AG41" s="169">
        <v>7</v>
      </c>
    </row>
    <row r="42" spans="1:33" x14ac:dyDescent="0.25">
      <c r="A42" s="169" t="s">
        <v>252</v>
      </c>
      <c r="B42">
        <v>1</v>
      </c>
      <c r="C42" s="169" t="s">
        <v>253</v>
      </c>
      <c r="D42">
        <v>431872768</v>
      </c>
      <c r="F42" s="169" t="s">
        <v>172</v>
      </c>
      <c r="H42" s="169" t="s">
        <v>172</v>
      </c>
      <c r="I42" s="169"/>
      <c r="J42">
        <v>1</v>
      </c>
      <c r="K42">
        <v>32</v>
      </c>
      <c r="L42">
        <v>96</v>
      </c>
      <c r="M42">
        <v>50870</v>
      </c>
      <c r="N42">
        <v>23628</v>
      </c>
      <c r="O42">
        <v>152</v>
      </c>
      <c r="P42">
        <v>12</v>
      </c>
      <c r="Q42">
        <v>5</v>
      </c>
      <c r="R42">
        <v>20</v>
      </c>
      <c r="S42">
        <v>6</v>
      </c>
      <c r="T42">
        <v>8</v>
      </c>
      <c r="U42" s="168">
        <v>44814</v>
      </c>
      <c r="V42">
        <v>95</v>
      </c>
      <c r="W42" s="169" t="s">
        <v>173</v>
      </c>
      <c r="Y42">
        <v>8</v>
      </c>
      <c r="AB42" s="172" t="s">
        <v>173</v>
      </c>
      <c r="AD42" s="169">
        <v>14</v>
      </c>
      <c r="AE42" s="169">
        <v>12</v>
      </c>
      <c r="AF42" s="169">
        <v>15.5</v>
      </c>
      <c r="AG42" s="169">
        <v>15.5</v>
      </c>
    </row>
    <row r="43" spans="1:33" x14ac:dyDescent="0.25">
      <c r="A43" s="169" t="s">
        <v>202</v>
      </c>
      <c r="B43">
        <v>4</v>
      </c>
      <c r="C43" s="169" t="s">
        <v>256</v>
      </c>
      <c r="D43">
        <v>434407051</v>
      </c>
      <c r="F43" s="169" t="s">
        <v>176</v>
      </c>
      <c r="H43" s="169" t="s">
        <v>172</v>
      </c>
      <c r="I43" s="169">
        <v>1</v>
      </c>
      <c r="K43">
        <v>32</v>
      </c>
      <c r="L43">
        <v>9</v>
      </c>
      <c r="M43">
        <v>91810</v>
      </c>
      <c r="N43">
        <v>32388</v>
      </c>
      <c r="O43">
        <v>238</v>
      </c>
      <c r="P43">
        <v>13</v>
      </c>
      <c r="Q43">
        <v>7</v>
      </c>
      <c r="R43">
        <v>20</v>
      </c>
      <c r="S43">
        <v>7</v>
      </c>
      <c r="T43">
        <v>8</v>
      </c>
      <c r="U43" s="168">
        <v>44814</v>
      </c>
      <c r="V43">
        <v>95</v>
      </c>
      <c r="W43" s="169" t="s">
        <v>147</v>
      </c>
      <c r="Y43">
        <v>8</v>
      </c>
      <c r="AB43" s="181" t="s">
        <v>277</v>
      </c>
      <c r="AC43" s="172"/>
      <c r="AD43" s="169">
        <v>8</v>
      </c>
      <c r="AE43" s="169">
        <v>7</v>
      </c>
      <c r="AF43" s="169">
        <v>6.5</v>
      </c>
      <c r="AG43" s="169">
        <v>6.5</v>
      </c>
    </row>
    <row r="44" spans="1:33" x14ac:dyDescent="0.25">
      <c r="A44" s="169" t="s">
        <v>195</v>
      </c>
      <c r="B44">
        <v>5</v>
      </c>
      <c r="C44" s="169" t="s">
        <v>257</v>
      </c>
      <c r="D44">
        <v>434959598</v>
      </c>
      <c r="F44" s="169" t="s">
        <v>176</v>
      </c>
      <c r="H44" s="169" t="s">
        <v>172</v>
      </c>
      <c r="I44" s="169"/>
      <c r="K44">
        <v>31</v>
      </c>
      <c r="L44">
        <v>107</v>
      </c>
      <c r="M44">
        <v>49780</v>
      </c>
      <c r="N44">
        <v>9972</v>
      </c>
      <c r="O44">
        <v>232</v>
      </c>
      <c r="P44">
        <v>12</v>
      </c>
      <c r="Q44">
        <v>4</v>
      </c>
      <c r="R44">
        <v>20</v>
      </c>
      <c r="S44">
        <v>7</v>
      </c>
      <c r="T44">
        <v>8</v>
      </c>
      <c r="U44" s="168">
        <v>44814</v>
      </c>
      <c r="V44">
        <v>75</v>
      </c>
      <c r="W44" s="169" t="s">
        <v>146</v>
      </c>
      <c r="Y44">
        <v>8</v>
      </c>
      <c r="AB44" s="181" t="s">
        <v>253</v>
      </c>
      <c r="AC44" s="172"/>
      <c r="AD44" s="169">
        <v>6</v>
      </c>
      <c r="AE44" s="169">
        <v>5</v>
      </c>
      <c r="AF44" s="169">
        <v>9</v>
      </c>
      <c r="AG44" s="169">
        <v>9</v>
      </c>
    </row>
    <row r="45" spans="1:33" x14ac:dyDescent="0.25">
      <c r="A45" s="169" t="s">
        <v>258</v>
      </c>
      <c r="B45">
        <v>6</v>
      </c>
      <c r="C45" s="169" t="s">
        <v>259</v>
      </c>
      <c r="D45">
        <v>434462064</v>
      </c>
      <c r="F45" s="169" t="s">
        <v>180</v>
      </c>
      <c r="H45" s="169" t="s">
        <v>172</v>
      </c>
      <c r="I45" s="169"/>
      <c r="K45">
        <v>32</v>
      </c>
      <c r="L45">
        <v>21</v>
      </c>
      <c r="M45">
        <v>78590</v>
      </c>
      <c r="N45">
        <v>29640</v>
      </c>
      <c r="O45">
        <v>234</v>
      </c>
      <c r="P45">
        <v>13</v>
      </c>
      <c r="Q45">
        <v>5</v>
      </c>
      <c r="R45">
        <v>20</v>
      </c>
      <c r="S45">
        <v>7</v>
      </c>
      <c r="T45">
        <v>8</v>
      </c>
      <c r="U45" s="168">
        <v>44814</v>
      </c>
      <c r="V45">
        <v>75</v>
      </c>
      <c r="W45" s="169" t="s">
        <v>146</v>
      </c>
      <c r="Y45">
        <v>8</v>
      </c>
      <c r="AB45" s="172" t="s">
        <v>229</v>
      </c>
      <c r="AD45" s="169">
        <v>91</v>
      </c>
      <c r="AE45" s="169">
        <v>90</v>
      </c>
      <c r="AF45" s="169">
        <v>108.5</v>
      </c>
      <c r="AG45" s="169">
        <v>114.5</v>
      </c>
    </row>
    <row r="46" spans="1:33" x14ac:dyDescent="0.25">
      <c r="A46" s="169" t="s">
        <v>210</v>
      </c>
      <c r="B46">
        <v>7</v>
      </c>
      <c r="C46" s="169" t="s">
        <v>260</v>
      </c>
      <c r="D46">
        <v>434025904</v>
      </c>
      <c r="F46" s="169" t="s">
        <v>180</v>
      </c>
      <c r="H46" s="169" t="s">
        <v>172</v>
      </c>
      <c r="I46" s="169"/>
      <c r="J46">
        <v>1</v>
      </c>
      <c r="K46">
        <v>32</v>
      </c>
      <c r="L46">
        <v>45</v>
      </c>
      <c r="M46">
        <v>81710</v>
      </c>
      <c r="N46">
        <v>30528</v>
      </c>
      <c r="O46">
        <v>239</v>
      </c>
      <c r="P46">
        <v>14</v>
      </c>
      <c r="Q46">
        <v>2</v>
      </c>
      <c r="R46">
        <v>20</v>
      </c>
      <c r="S46">
        <v>6</v>
      </c>
      <c r="T46">
        <v>8</v>
      </c>
      <c r="U46" s="168">
        <v>44814</v>
      </c>
      <c r="V46">
        <v>65</v>
      </c>
      <c r="W46" s="169" t="s">
        <v>181</v>
      </c>
      <c r="Y46">
        <v>8</v>
      </c>
    </row>
    <row r="47" spans="1:33" x14ac:dyDescent="0.25">
      <c r="A47" s="169" t="s">
        <v>261</v>
      </c>
      <c r="B47">
        <v>8</v>
      </c>
      <c r="C47" s="169" t="s">
        <v>262</v>
      </c>
      <c r="D47">
        <v>434422120</v>
      </c>
      <c r="F47" s="169" t="s">
        <v>183</v>
      </c>
      <c r="H47" s="169" t="s">
        <v>172</v>
      </c>
      <c r="I47" s="169"/>
      <c r="K47">
        <v>32</v>
      </c>
      <c r="L47">
        <v>31</v>
      </c>
      <c r="M47">
        <v>2190</v>
      </c>
      <c r="N47">
        <v>792</v>
      </c>
      <c r="O47">
        <v>238</v>
      </c>
      <c r="P47">
        <v>4</v>
      </c>
      <c r="Q47">
        <v>5</v>
      </c>
      <c r="R47">
        <v>20</v>
      </c>
      <c r="S47">
        <v>5</v>
      </c>
      <c r="T47">
        <v>7</v>
      </c>
      <c r="U47" s="168">
        <v>44765</v>
      </c>
      <c r="V47">
        <v>5</v>
      </c>
      <c r="W47" s="169" t="s">
        <v>148</v>
      </c>
      <c r="Y47">
        <v>8</v>
      </c>
    </row>
    <row r="48" spans="1:33" x14ac:dyDescent="0.25">
      <c r="A48" s="169" t="s">
        <v>263</v>
      </c>
      <c r="B48">
        <v>9</v>
      </c>
      <c r="C48" s="169" t="s">
        <v>264</v>
      </c>
      <c r="D48">
        <v>433714630</v>
      </c>
      <c r="F48" s="169" t="s">
        <v>183</v>
      </c>
      <c r="H48" s="169" t="s">
        <v>172</v>
      </c>
      <c r="I48" s="169"/>
      <c r="K48">
        <v>32</v>
      </c>
      <c r="L48">
        <v>25</v>
      </c>
      <c r="M48">
        <v>88900</v>
      </c>
      <c r="N48">
        <v>30444</v>
      </c>
      <c r="O48">
        <v>238</v>
      </c>
      <c r="P48">
        <v>14</v>
      </c>
      <c r="Q48">
        <v>5</v>
      </c>
      <c r="R48">
        <v>20</v>
      </c>
      <c r="S48">
        <v>7</v>
      </c>
      <c r="T48">
        <v>8</v>
      </c>
      <c r="U48" s="168">
        <v>44814</v>
      </c>
      <c r="V48">
        <v>10</v>
      </c>
      <c r="W48" s="169" t="s">
        <v>147</v>
      </c>
      <c r="Y48">
        <v>8</v>
      </c>
    </row>
    <row r="49" spans="1:25" x14ac:dyDescent="0.25">
      <c r="A49" s="169" t="s">
        <v>265</v>
      </c>
      <c r="B49">
        <v>10</v>
      </c>
      <c r="C49" s="169" t="s">
        <v>266</v>
      </c>
      <c r="D49">
        <v>434031677</v>
      </c>
      <c r="F49" s="169" t="s">
        <v>183</v>
      </c>
      <c r="H49" s="169" t="s">
        <v>172</v>
      </c>
      <c r="I49" s="169"/>
      <c r="K49">
        <v>32</v>
      </c>
      <c r="L49">
        <v>5</v>
      </c>
      <c r="M49">
        <v>95020</v>
      </c>
      <c r="N49">
        <v>32028</v>
      </c>
      <c r="O49">
        <v>239</v>
      </c>
      <c r="P49">
        <v>14</v>
      </c>
      <c r="Q49">
        <v>6</v>
      </c>
      <c r="R49">
        <v>20</v>
      </c>
      <c r="S49">
        <v>7</v>
      </c>
      <c r="T49">
        <v>8</v>
      </c>
      <c r="U49" s="168">
        <v>44814</v>
      </c>
      <c r="V49">
        <v>75</v>
      </c>
      <c r="W49" s="169" t="s">
        <v>201</v>
      </c>
      <c r="Y49">
        <v>8</v>
      </c>
    </row>
    <row r="50" spans="1:25" x14ac:dyDescent="0.25">
      <c r="A50" s="169" t="s">
        <v>186</v>
      </c>
      <c r="B50">
        <v>11</v>
      </c>
      <c r="C50" s="169" t="s">
        <v>267</v>
      </c>
      <c r="D50">
        <v>434425782</v>
      </c>
      <c r="F50" s="169" t="s">
        <v>171</v>
      </c>
      <c r="H50" s="169" t="s">
        <v>172</v>
      </c>
      <c r="I50" s="169">
        <v>1</v>
      </c>
      <c r="K50">
        <v>32</v>
      </c>
      <c r="L50">
        <v>20</v>
      </c>
      <c r="M50">
        <v>85940</v>
      </c>
      <c r="N50">
        <v>30996</v>
      </c>
      <c r="O50">
        <v>238</v>
      </c>
      <c r="P50">
        <v>13</v>
      </c>
      <c r="Q50">
        <v>4</v>
      </c>
      <c r="R50">
        <v>20</v>
      </c>
      <c r="S50">
        <v>7</v>
      </c>
      <c r="T50">
        <v>8</v>
      </c>
      <c r="U50" s="168">
        <v>44814</v>
      </c>
      <c r="V50">
        <v>95</v>
      </c>
      <c r="W50" s="169" t="s">
        <v>147</v>
      </c>
      <c r="Y50">
        <v>8</v>
      </c>
    </row>
    <row r="51" spans="1:25" x14ac:dyDescent="0.25">
      <c r="A51" s="169" t="s">
        <v>268</v>
      </c>
      <c r="B51">
        <v>13</v>
      </c>
      <c r="C51" s="169" t="s">
        <v>269</v>
      </c>
      <c r="D51">
        <v>434460183</v>
      </c>
      <c r="F51" s="169" t="s">
        <v>176</v>
      </c>
      <c r="H51" s="169" t="s">
        <v>172</v>
      </c>
      <c r="I51" s="169"/>
      <c r="K51">
        <v>32</v>
      </c>
      <c r="L51">
        <v>25</v>
      </c>
      <c r="M51">
        <v>3250</v>
      </c>
      <c r="N51">
        <v>1656</v>
      </c>
      <c r="O51">
        <v>231</v>
      </c>
      <c r="P51">
        <v>4</v>
      </c>
      <c r="Q51">
        <v>3</v>
      </c>
      <c r="R51">
        <v>20</v>
      </c>
      <c r="S51">
        <v>4</v>
      </c>
      <c r="T51">
        <v>7</v>
      </c>
      <c r="U51" s="168">
        <v>44769</v>
      </c>
      <c r="V51">
        <v>5</v>
      </c>
      <c r="W51" s="169" t="s">
        <v>147</v>
      </c>
      <c r="Y51">
        <v>8</v>
      </c>
    </row>
    <row r="52" spans="1:25" x14ac:dyDescent="0.25">
      <c r="A52" s="169" t="s">
        <v>174</v>
      </c>
      <c r="B52">
        <v>36</v>
      </c>
      <c r="C52" s="169" t="s">
        <v>273</v>
      </c>
      <c r="D52">
        <v>424198468</v>
      </c>
      <c r="F52" s="169" t="s">
        <v>176</v>
      </c>
      <c r="G52">
        <v>1</v>
      </c>
      <c r="H52" s="169" t="s">
        <v>172</v>
      </c>
      <c r="I52" s="169"/>
      <c r="K52">
        <v>40</v>
      </c>
      <c r="L52">
        <v>65</v>
      </c>
      <c r="M52">
        <v>0</v>
      </c>
      <c r="N52">
        <v>260</v>
      </c>
      <c r="O52">
        <v>298</v>
      </c>
      <c r="P52">
        <v>5</v>
      </c>
      <c r="Q52">
        <v>4</v>
      </c>
      <c r="R52">
        <v>20</v>
      </c>
      <c r="S52">
        <v>5</v>
      </c>
      <c r="T52">
        <v>2</v>
      </c>
      <c r="U52" s="168">
        <v>44769</v>
      </c>
      <c r="V52">
        <v>5</v>
      </c>
      <c r="W52" s="169" t="s">
        <v>173</v>
      </c>
      <c r="Y52">
        <v>8</v>
      </c>
    </row>
    <row r="53" spans="1:25" x14ac:dyDescent="0.25">
      <c r="A53" s="169" t="s">
        <v>174</v>
      </c>
      <c r="C53" s="169" t="s">
        <v>500</v>
      </c>
      <c r="D53">
        <v>471199582</v>
      </c>
      <c r="F53" s="169" t="s">
        <v>346</v>
      </c>
      <c r="H53" s="169" t="s">
        <v>172</v>
      </c>
      <c r="I53" s="169">
        <v>1</v>
      </c>
      <c r="K53">
        <v>17</v>
      </c>
      <c r="L53">
        <v>37</v>
      </c>
      <c r="M53">
        <v>870</v>
      </c>
      <c r="N53">
        <v>310</v>
      </c>
      <c r="O53">
        <v>0</v>
      </c>
      <c r="P53">
        <v>1</v>
      </c>
      <c r="Q53">
        <v>5</v>
      </c>
      <c r="R53">
        <v>2</v>
      </c>
      <c r="S53">
        <v>5</v>
      </c>
      <c r="T53">
        <v>5</v>
      </c>
      <c r="U53" s="168">
        <v>44811</v>
      </c>
      <c r="V53">
        <v>25</v>
      </c>
      <c r="W53" s="169" t="s">
        <v>146</v>
      </c>
      <c r="Y53">
        <v>8</v>
      </c>
    </row>
    <row r="54" spans="1:25" x14ac:dyDescent="0.25">
      <c r="A54" s="169" t="s">
        <v>195</v>
      </c>
      <c r="C54" s="169" t="s">
        <v>274</v>
      </c>
      <c r="D54">
        <v>433486520</v>
      </c>
      <c r="F54" s="169" t="s">
        <v>171</v>
      </c>
      <c r="H54" s="169" t="s">
        <v>172</v>
      </c>
      <c r="I54" s="169"/>
      <c r="K54">
        <v>32</v>
      </c>
      <c r="L54">
        <v>43</v>
      </c>
      <c r="M54">
        <v>58890</v>
      </c>
      <c r="N54">
        <v>22968</v>
      </c>
      <c r="O54">
        <v>117</v>
      </c>
      <c r="P54">
        <v>10</v>
      </c>
      <c r="Q54">
        <v>3</v>
      </c>
      <c r="R54">
        <v>20</v>
      </c>
      <c r="S54">
        <v>4</v>
      </c>
      <c r="T54">
        <v>7</v>
      </c>
      <c r="U54" s="168">
        <v>44797</v>
      </c>
      <c r="V54">
        <v>8</v>
      </c>
      <c r="W54" s="169" t="s">
        <v>201</v>
      </c>
      <c r="Y54">
        <v>8</v>
      </c>
    </row>
    <row r="55" spans="1:25" x14ac:dyDescent="0.25">
      <c r="A55" s="169" t="s">
        <v>174</v>
      </c>
      <c r="C55" s="169" t="s">
        <v>501</v>
      </c>
      <c r="D55">
        <v>471649816</v>
      </c>
      <c r="F55" s="169" t="s">
        <v>346</v>
      </c>
      <c r="H55" s="169" t="s">
        <v>172</v>
      </c>
      <c r="I55" s="169"/>
      <c r="K55">
        <v>17</v>
      </c>
      <c r="L55">
        <v>55</v>
      </c>
      <c r="M55">
        <v>1290</v>
      </c>
      <c r="N55">
        <v>350</v>
      </c>
      <c r="O55">
        <v>0</v>
      </c>
      <c r="P55">
        <v>2</v>
      </c>
      <c r="Q55">
        <v>7</v>
      </c>
      <c r="R55">
        <v>1</v>
      </c>
      <c r="S55">
        <v>6</v>
      </c>
      <c r="T55">
        <v>4</v>
      </c>
      <c r="U55" s="168"/>
      <c r="W55" s="169" t="s">
        <v>172</v>
      </c>
      <c r="Y55">
        <v>8</v>
      </c>
    </row>
    <row r="56" spans="1:25" x14ac:dyDescent="0.25">
      <c r="A56" s="169" t="s">
        <v>199</v>
      </c>
      <c r="C56" s="169" t="s">
        <v>502</v>
      </c>
      <c r="D56">
        <v>471617743</v>
      </c>
      <c r="F56" s="169" t="s">
        <v>180</v>
      </c>
      <c r="H56" s="169" t="s">
        <v>172</v>
      </c>
      <c r="I56" s="169"/>
      <c r="K56">
        <v>17</v>
      </c>
      <c r="L56">
        <v>66</v>
      </c>
      <c r="M56">
        <v>2350</v>
      </c>
      <c r="N56">
        <v>540</v>
      </c>
      <c r="O56">
        <v>0</v>
      </c>
      <c r="P56">
        <v>2</v>
      </c>
      <c r="Q56">
        <v>5</v>
      </c>
      <c r="R56">
        <v>2</v>
      </c>
      <c r="S56">
        <v>6</v>
      </c>
      <c r="T56">
        <v>5</v>
      </c>
      <c r="U56" s="168">
        <v>44810</v>
      </c>
      <c r="V56">
        <v>4</v>
      </c>
      <c r="W56" s="169" t="s">
        <v>207</v>
      </c>
      <c r="Y56">
        <v>8</v>
      </c>
    </row>
    <row r="57" spans="1:25" x14ac:dyDescent="0.25">
      <c r="A57" s="169" t="s">
        <v>174</v>
      </c>
      <c r="C57" s="169" t="s">
        <v>503</v>
      </c>
      <c r="D57">
        <v>470197328</v>
      </c>
      <c r="F57" s="169" t="s">
        <v>171</v>
      </c>
      <c r="H57" s="169" t="s">
        <v>172</v>
      </c>
      <c r="I57" s="169"/>
      <c r="K57">
        <v>17</v>
      </c>
      <c r="L57">
        <v>80</v>
      </c>
      <c r="M57">
        <v>1150</v>
      </c>
      <c r="N57">
        <v>330</v>
      </c>
      <c r="O57">
        <v>0</v>
      </c>
      <c r="P57">
        <v>2</v>
      </c>
      <c r="Q57">
        <v>2</v>
      </c>
      <c r="R57">
        <v>2</v>
      </c>
      <c r="S57">
        <v>5</v>
      </c>
      <c r="T57">
        <v>5</v>
      </c>
      <c r="U57" s="168">
        <v>44811</v>
      </c>
      <c r="V57">
        <v>25</v>
      </c>
      <c r="W57" s="169" t="s">
        <v>146</v>
      </c>
      <c r="Y57">
        <v>8</v>
      </c>
    </row>
    <row r="58" spans="1:25" x14ac:dyDescent="0.25">
      <c r="A58" s="169" t="s">
        <v>275</v>
      </c>
      <c r="C58" s="169" t="s">
        <v>276</v>
      </c>
      <c r="D58">
        <v>407065238</v>
      </c>
      <c r="E58">
        <v>1</v>
      </c>
      <c r="F58" s="169" t="s">
        <v>180</v>
      </c>
      <c r="G58">
        <v>1</v>
      </c>
      <c r="H58" s="169" t="s">
        <v>172</v>
      </c>
      <c r="I58" s="169"/>
      <c r="K58">
        <v>43</v>
      </c>
      <c r="L58">
        <v>63</v>
      </c>
      <c r="M58">
        <v>0</v>
      </c>
      <c r="N58">
        <v>300</v>
      </c>
      <c r="O58">
        <v>23</v>
      </c>
      <c r="P58">
        <v>1</v>
      </c>
      <c r="Q58">
        <v>6</v>
      </c>
      <c r="R58">
        <v>20</v>
      </c>
      <c r="S58">
        <v>3</v>
      </c>
      <c r="T58">
        <v>2</v>
      </c>
      <c r="U58" s="168">
        <v>42121</v>
      </c>
      <c r="V58">
        <v>35</v>
      </c>
      <c r="W58" s="169" t="s">
        <v>146</v>
      </c>
      <c r="Y58">
        <v>8</v>
      </c>
    </row>
    <row r="59" spans="1:25" x14ac:dyDescent="0.25">
      <c r="A59" s="169" t="s">
        <v>174</v>
      </c>
      <c r="C59" s="169" t="s">
        <v>277</v>
      </c>
      <c r="D59">
        <v>436566058</v>
      </c>
      <c r="F59" s="169" t="s">
        <v>172</v>
      </c>
      <c r="H59" s="169" t="s">
        <v>172</v>
      </c>
      <c r="I59" s="169"/>
      <c r="K59">
        <v>31</v>
      </c>
      <c r="L59">
        <v>49</v>
      </c>
      <c r="M59">
        <v>14860</v>
      </c>
      <c r="N59">
        <v>3370</v>
      </c>
      <c r="O59">
        <v>75</v>
      </c>
      <c r="P59">
        <v>8</v>
      </c>
      <c r="Q59">
        <v>3</v>
      </c>
      <c r="R59">
        <v>20</v>
      </c>
      <c r="S59">
        <v>6</v>
      </c>
      <c r="T59">
        <v>7</v>
      </c>
      <c r="U59" s="168">
        <v>44790</v>
      </c>
      <c r="V59">
        <v>65</v>
      </c>
      <c r="W59" s="169" t="s">
        <v>173</v>
      </c>
      <c r="Y59">
        <v>8</v>
      </c>
    </row>
    <row r="60" spans="1:25" x14ac:dyDescent="0.25">
      <c r="A60" s="169" t="s">
        <v>174</v>
      </c>
      <c r="C60" s="169" t="s">
        <v>504</v>
      </c>
      <c r="D60">
        <v>471598921</v>
      </c>
      <c r="F60" s="169" t="s">
        <v>183</v>
      </c>
      <c r="H60" s="169" t="s">
        <v>172</v>
      </c>
      <c r="I60" s="169"/>
      <c r="K60">
        <v>17</v>
      </c>
      <c r="L60">
        <v>58</v>
      </c>
      <c r="M60">
        <v>1220</v>
      </c>
      <c r="N60">
        <v>350</v>
      </c>
      <c r="O60">
        <v>0</v>
      </c>
      <c r="P60">
        <v>2</v>
      </c>
      <c r="Q60">
        <v>4</v>
      </c>
      <c r="R60">
        <v>2</v>
      </c>
      <c r="S60">
        <v>6</v>
      </c>
      <c r="T60">
        <v>5</v>
      </c>
      <c r="U60" s="168">
        <v>44811</v>
      </c>
      <c r="V60">
        <v>3</v>
      </c>
      <c r="W60" s="169" t="s">
        <v>146</v>
      </c>
      <c r="Y60">
        <v>8</v>
      </c>
    </row>
    <row r="61" spans="1:25" x14ac:dyDescent="0.25">
      <c r="A61" s="169" t="s">
        <v>186</v>
      </c>
      <c r="C61" s="169" t="s">
        <v>278</v>
      </c>
      <c r="D61">
        <v>434715103</v>
      </c>
      <c r="F61" s="169" t="s">
        <v>183</v>
      </c>
      <c r="H61" s="169" t="s">
        <v>172</v>
      </c>
      <c r="I61" s="169"/>
      <c r="K61">
        <v>31</v>
      </c>
      <c r="L61">
        <v>84</v>
      </c>
      <c r="M61">
        <v>24120</v>
      </c>
      <c r="N61">
        <v>3360</v>
      </c>
      <c r="O61">
        <v>111</v>
      </c>
      <c r="P61">
        <v>9</v>
      </c>
      <c r="Q61">
        <v>1</v>
      </c>
      <c r="R61">
        <v>20</v>
      </c>
      <c r="S61">
        <v>6</v>
      </c>
      <c r="T61">
        <v>7</v>
      </c>
      <c r="U61" s="168">
        <v>44790</v>
      </c>
      <c r="V61">
        <v>5</v>
      </c>
      <c r="W61" s="169" t="s">
        <v>146</v>
      </c>
      <c r="Y61">
        <v>8</v>
      </c>
    </row>
    <row r="62" spans="1:25" x14ac:dyDescent="0.25">
      <c r="A62" s="169" t="s">
        <v>174</v>
      </c>
      <c r="C62" s="169" t="s">
        <v>505</v>
      </c>
      <c r="D62">
        <v>471632304</v>
      </c>
      <c r="F62" s="169" t="s">
        <v>183</v>
      </c>
      <c r="H62" s="169" t="s">
        <v>172</v>
      </c>
      <c r="I62" s="169"/>
      <c r="K62">
        <v>17</v>
      </c>
      <c r="L62">
        <v>11</v>
      </c>
      <c r="M62">
        <v>1080</v>
      </c>
      <c r="N62">
        <v>430</v>
      </c>
      <c r="O62">
        <v>0</v>
      </c>
      <c r="P62">
        <v>2</v>
      </c>
      <c r="Q62">
        <v>5</v>
      </c>
      <c r="R62">
        <v>2</v>
      </c>
      <c r="S62">
        <v>6</v>
      </c>
      <c r="T62">
        <v>5</v>
      </c>
      <c r="U62" s="168">
        <v>44811</v>
      </c>
      <c r="V62">
        <v>35</v>
      </c>
      <c r="W62" s="169" t="s">
        <v>207</v>
      </c>
      <c r="Y62">
        <v>8</v>
      </c>
    </row>
    <row r="63" spans="1:25" x14ac:dyDescent="0.25">
      <c r="A63" s="169" t="s">
        <v>261</v>
      </c>
      <c r="C63" s="169" t="s">
        <v>279</v>
      </c>
      <c r="D63">
        <v>434477424</v>
      </c>
      <c r="F63" s="169" t="s">
        <v>180</v>
      </c>
      <c r="H63" s="169" t="s">
        <v>172</v>
      </c>
      <c r="I63" s="169"/>
      <c r="K63">
        <v>32</v>
      </c>
      <c r="L63">
        <v>43</v>
      </c>
      <c r="M63">
        <v>58810</v>
      </c>
      <c r="N63">
        <v>9432</v>
      </c>
      <c r="O63">
        <v>90</v>
      </c>
      <c r="P63">
        <v>12</v>
      </c>
      <c r="Q63">
        <v>5</v>
      </c>
      <c r="R63">
        <v>20</v>
      </c>
      <c r="S63">
        <v>7</v>
      </c>
      <c r="T63">
        <v>8</v>
      </c>
      <c r="U63" s="168">
        <v>44814</v>
      </c>
      <c r="V63">
        <v>75</v>
      </c>
      <c r="W63" s="169" t="s">
        <v>207</v>
      </c>
      <c r="Y63">
        <v>8</v>
      </c>
    </row>
  </sheetData>
  <phoneticPr fontId="22" type="noConversion"/>
  <pageMargins left="0.7" right="0.7" top="0.75" bottom="0.75" header="0.3" footer="0.3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CA76-8208-41BC-A689-8998D28EB812}">
  <sheetPr>
    <tabColor theme="9" tint="0.79998168889431442"/>
  </sheetPr>
  <dimension ref="A1:AN54"/>
  <sheetViews>
    <sheetView topLeftCell="W1" zoomScale="90" zoomScaleNormal="90" workbookViewId="0">
      <selection activeCell="AK21" sqref="AK21"/>
    </sheetView>
  </sheetViews>
  <sheetFormatPr baseColWidth="10" defaultRowHeight="15" x14ac:dyDescent="0.25"/>
  <cols>
    <col min="1" max="1" width="15.42578125" bestFit="1" customWidth="1"/>
    <col min="2" max="2" width="6" customWidth="1"/>
    <col min="3" max="3" width="22.85546875" bestFit="1" customWidth="1"/>
    <col min="4" max="4" width="15.5703125" bestFit="1" customWidth="1"/>
    <col min="5" max="5" width="6.5703125" customWidth="1"/>
    <col min="6" max="6" width="14.28515625" bestFit="1" customWidth="1"/>
    <col min="7" max="10" width="5" customWidth="1"/>
    <col min="11" max="11" width="7.5703125" bestFit="1" customWidth="1"/>
    <col min="12" max="12" width="7" bestFit="1" customWidth="1"/>
    <col min="13" max="13" width="7.7109375" bestFit="1" customWidth="1"/>
    <col min="14" max="14" width="9.28515625" bestFit="1" customWidth="1"/>
    <col min="15" max="20" width="8" customWidth="1"/>
    <col min="21" max="21" width="21.7109375" bestFit="1" customWidth="1"/>
    <col min="22" max="22" width="8.140625" customWidth="1"/>
    <col min="23" max="23" width="9.7109375" customWidth="1"/>
    <col min="24" max="25" width="5.7109375" customWidth="1"/>
    <col min="29" max="29" width="26.7109375" bestFit="1" customWidth="1"/>
    <col min="30" max="30" width="14.28515625" bestFit="1" customWidth="1"/>
    <col min="31" max="31" width="11.140625" bestFit="1" customWidth="1"/>
    <col min="32" max="32" width="22.42578125" bestFit="1" customWidth="1"/>
    <col min="33" max="34" width="3.28515625" bestFit="1" customWidth="1"/>
    <col min="35" max="35" width="5.7109375" bestFit="1" customWidth="1"/>
    <col min="36" max="37" width="3.28515625" bestFit="1" customWidth="1"/>
    <col min="38" max="38" width="8.42578125" bestFit="1" customWidth="1"/>
    <col min="39" max="39" width="5.5703125" bestFit="1" customWidth="1"/>
    <col min="40" max="40" width="4.42578125" bestFit="1" customWidth="1"/>
    <col min="41" max="42" width="2.140625" bestFit="1" customWidth="1"/>
    <col min="43" max="43" width="14.5703125" bestFit="1" customWidth="1"/>
    <col min="44" max="45" width="2.140625" bestFit="1" customWidth="1"/>
    <col min="46" max="46" width="34.28515625" bestFit="1" customWidth="1"/>
    <col min="47" max="47" width="4.42578125" bestFit="1" customWidth="1"/>
    <col min="48" max="48" width="3.28515625" bestFit="1" customWidth="1"/>
    <col min="49" max="49" width="22" bestFit="1" customWidth="1"/>
    <col min="50" max="50" width="17.42578125" bestFit="1" customWidth="1"/>
    <col min="51" max="51" width="37.140625" bestFit="1" customWidth="1"/>
    <col min="52" max="52" width="19.140625" bestFit="1" customWidth="1"/>
    <col min="53" max="54" width="2.140625" bestFit="1" customWidth="1"/>
    <col min="55" max="55" width="14.5703125" bestFit="1" customWidth="1"/>
    <col min="56" max="57" width="2.140625" bestFit="1" customWidth="1"/>
    <col min="58" max="58" width="34.28515625" bestFit="1" customWidth="1"/>
    <col min="59" max="60" width="2.140625" bestFit="1" customWidth="1"/>
    <col min="61" max="61" width="21.28515625" bestFit="1" customWidth="1"/>
    <col min="62" max="62" width="16.7109375" bestFit="1" customWidth="1"/>
    <col min="63" max="63" width="36.28515625" bestFit="1" customWidth="1"/>
    <col min="64" max="64" width="19.140625" bestFit="1" customWidth="1"/>
    <col min="65" max="65" width="2.140625" bestFit="1" customWidth="1"/>
    <col min="66" max="66" width="14.5703125" bestFit="1" customWidth="1"/>
    <col min="67" max="67" width="2.140625" bestFit="1" customWidth="1"/>
    <col min="68" max="68" width="34.28515625" bestFit="1" customWidth="1"/>
    <col min="69" max="69" width="3.28515625" bestFit="1" customWidth="1"/>
    <col min="70" max="70" width="21.85546875" bestFit="1" customWidth="1"/>
    <col min="71" max="71" width="17.28515625" bestFit="1" customWidth="1"/>
    <col min="72" max="72" width="37" bestFit="1" customWidth="1"/>
    <col min="73" max="73" width="19.140625" bestFit="1" customWidth="1"/>
    <col min="74" max="74" width="2.140625" bestFit="1" customWidth="1"/>
    <col min="75" max="75" width="14.5703125" bestFit="1" customWidth="1"/>
    <col min="76" max="76" width="2.140625" bestFit="1" customWidth="1"/>
    <col min="77" max="77" width="34.28515625" bestFit="1" customWidth="1"/>
    <col min="78" max="78" width="2.140625" bestFit="1" customWidth="1"/>
    <col min="79" max="79" width="21" bestFit="1" customWidth="1"/>
    <col min="80" max="80" width="16.5703125" bestFit="1" customWidth="1"/>
    <col min="81" max="81" width="36.140625" bestFit="1" customWidth="1"/>
    <col min="82" max="82" width="19.140625" bestFit="1" customWidth="1"/>
    <col min="83" max="84" width="3.28515625" bestFit="1" customWidth="1"/>
    <col min="85" max="85" width="14.5703125" bestFit="1" customWidth="1"/>
    <col min="86" max="87" width="3.28515625" bestFit="1" customWidth="1"/>
    <col min="88" max="88" width="34.28515625" bestFit="1" customWidth="1"/>
    <col min="89" max="89" width="3.28515625" bestFit="1" customWidth="1"/>
    <col min="90" max="90" width="4.42578125" bestFit="1" customWidth="1"/>
    <col min="91" max="91" width="22.7109375" bestFit="1" customWidth="1"/>
    <col min="92" max="92" width="18.140625" bestFit="1" customWidth="1"/>
    <col min="93" max="93" width="37.85546875" bestFit="1" customWidth="1"/>
    <col min="94" max="94" width="19.140625" bestFit="1" customWidth="1"/>
    <col min="95" max="95" width="3.28515625" bestFit="1" customWidth="1"/>
    <col min="96" max="96" width="2.140625" bestFit="1" customWidth="1"/>
    <col min="97" max="97" width="14.5703125" bestFit="1" customWidth="1"/>
    <col min="98" max="98" width="3.28515625" bestFit="1" customWidth="1"/>
    <col min="99" max="99" width="2.140625" bestFit="1" customWidth="1"/>
    <col min="100" max="100" width="34.28515625" bestFit="1" customWidth="1"/>
    <col min="101" max="101" width="3.28515625" bestFit="1" customWidth="1"/>
    <col min="102" max="102" width="2.140625" bestFit="1" customWidth="1"/>
    <col min="103" max="103" width="23.42578125" bestFit="1" customWidth="1"/>
    <col min="104" max="104" width="18.85546875" bestFit="1" customWidth="1"/>
    <col min="105" max="105" width="38.5703125" bestFit="1" customWidth="1"/>
  </cols>
  <sheetData>
    <row r="1" spans="1:40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224</v>
      </c>
      <c r="AD1" s="172">
        <v>1</v>
      </c>
    </row>
    <row r="2" spans="1:40" x14ac:dyDescent="0.25">
      <c r="A2" s="169" t="s">
        <v>210</v>
      </c>
      <c r="C2" s="169" t="s">
        <v>294</v>
      </c>
      <c r="D2">
        <v>446635122</v>
      </c>
      <c r="F2" s="169" t="s">
        <v>172</v>
      </c>
      <c r="H2">
        <v>3</v>
      </c>
      <c r="I2" s="169" t="s">
        <v>172</v>
      </c>
      <c r="J2" s="169" t="s">
        <v>172</v>
      </c>
      <c r="K2">
        <v>39</v>
      </c>
      <c r="L2">
        <v>69</v>
      </c>
      <c r="M2">
        <v>0</v>
      </c>
      <c r="N2">
        <v>300</v>
      </c>
      <c r="O2">
        <v>60</v>
      </c>
      <c r="P2">
        <v>7</v>
      </c>
      <c r="Q2">
        <v>7</v>
      </c>
      <c r="R2">
        <v>20</v>
      </c>
      <c r="S2">
        <v>6</v>
      </c>
      <c r="T2">
        <v>3</v>
      </c>
      <c r="U2" s="168">
        <v>44734</v>
      </c>
      <c r="V2">
        <v>1</v>
      </c>
      <c r="W2" s="169" t="s">
        <v>146</v>
      </c>
      <c r="X2">
        <v>0</v>
      </c>
      <c r="Y2">
        <v>1</v>
      </c>
      <c r="AC2" s="171" t="s">
        <v>168</v>
      </c>
      <c r="AD2" t="s">
        <v>488</v>
      </c>
    </row>
    <row r="3" spans="1:40" x14ac:dyDescent="0.25">
      <c r="A3" s="169" t="s">
        <v>210</v>
      </c>
      <c r="C3" s="169" t="s">
        <v>294</v>
      </c>
      <c r="D3">
        <v>446635122</v>
      </c>
      <c r="F3" s="169" t="s">
        <v>172</v>
      </c>
      <c r="H3">
        <v>2</v>
      </c>
      <c r="I3" s="169" t="s">
        <v>172</v>
      </c>
      <c r="J3" s="169" t="s">
        <v>172</v>
      </c>
      <c r="K3">
        <v>39</v>
      </c>
      <c r="L3">
        <v>79</v>
      </c>
      <c r="M3">
        <v>0</v>
      </c>
      <c r="N3">
        <v>300</v>
      </c>
      <c r="O3">
        <v>61</v>
      </c>
      <c r="P3">
        <v>7</v>
      </c>
      <c r="Q3">
        <v>7</v>
      </c>
      <c r="R3">
        <v>20</v>
      </c>
      <c r="S3">
        <v>6</v>
      </c>
      <c r="T3">
        <v>3</v>
      </c>
      <c r="U3" s="168">
        <v>44734</v>
      </c>
      <c r="V3">
        <v>1</v>
      </c>
      <c r="W3" s="169" t="s">
        <v>146</v>
      </c>
      <c r="X3">
        <v>0</v>
      </c>
      <c r="Y3">
        <v>2</v>
      </c>
    </row>
    <row r="4" spans="1:40" x14ac:dyDescent="0.25">
      <c r="A4" s="169" t="s">
        <v>210</v>
      </c>
      <c r="C4" s="169" t="s">
        <v>294</v>
      </c>
      <c r="D4">
        <v>446635122</v>
      </c>
      <c r="F4" s="169" t="s">
        <v>172</v>
      </c>
      <c r="H4">
        <v>1</v>
      </c>
      <c r="I4" s="169" t="s">
        <v>172</v>
      </c>
      <c r="J4" s="169" t="s">
        <v>172</v>
      </c>
      <c r="K4">
        <v>39</v>
      </c>
      <c r="L4">
        <v>83</v>
      </c>
      <c r="M4">
        <v>0</v>
      </c>
      <c r="N4">
        <v>300</v>
      </c>
      <c r="O4">
        <v>62</v>
      </c>
      <c r="P4">
        <v>7</v>
      </c>
      <c r="Q4">
        <v>7</v>
      </c>
      <c r="R4">
        <v>20</v>
      </c>
      <c r="S4">
        <v>6</v>
      </c>
      <c r="T4">
        <v>3</v>
      </c>
      <c r="U4" s="168">
        <v>44734</v>
      </c>
      <c r="V4">
        <v>1</v>
      </c>
      <c r="W4" s="169" t="s">
        <v>146</v>
      </c>
      <c r="X4">
        <v>0</v>
      </c>
      <c r="Y4">
        <v>3</v>
      </c>
      <c r="AF4" s="171" t="s">
        <v>239</v>
      </c>
    </row>
    <row r="5" spans="1:40" x14ac:dyDescent="0.25">
      <c r="A5" s="169" t="s">
        <v>174</v>
      </c>
      <c r="C5" s="169" t="s">
        <v>310</v>
      </c>
      <c r="D5">
        <v>469826787</v>
      </c>
      <c r="F5" s="169" t="s">
        <v>172</v>
      </c>
      <c r="G5">
        <v>1</v>
      </c>
      <c r="I5" s="169" t="s">
        <v>172</v>
      </c>
      <c r="J5" s="169" t="s">
        <v>172</v>
      </c>
      <c r="K5">
        <v>19</v>
      </c>
      <c r="L5">
        <v>43</v>
      </c>
      <c r="M5">
        <v>120</v>
      </c>
      <c r="N5">
        <v>250</v>
      </c>
      <c r="O5">
        <v>8</v>
      </c>
      <c r="P5">
        <v>1</v>
      </c>
      <c r="Q5">
        <v>2</v>
      </c>
      <c r="R5">
        <v>20</v>
      </c>
      <c r="S5">
        <v>6</v>
      </c>
      <c r="T5">
        <v>7</v>
      </c>
      <c r="U5" s="168">
        <v>44765</v>
      </c>
      <c r="V5">
        <v>1</v>
      </c>
      <c r="W5" s="169" t="s">
        <v>173</v>
      </c>
      <c r="X5">
        <v>0</v>
      </c>
      <c r="Y5">
        <v>1</v>
      </c>
      <c r="AF5" t="s">
        <v>489</v>
      </c>
      <c r="AI5" t="s">
        <v>490</v>
      </c>
      <c r="AL5" t="s">
        <v>491</v>
      </c>
    </row>
    <row r="6" spans="1:40" x14ac:dyDescent="0.25">
      <c r="A6" s="169" t="s">
        <v>199</v>
      </c>
      <c r="C6" s="169" t="s">
        <v>293</v>
      </c>
      <c r="D6">
        <v>422339587</v>
      </c>
      <c r="F6" s="169" t="s">
        <v>172</v>
      </c>
      <c r="I6" s="169" t="s">
        <v>172</v>
      </c>
      <c r="J6" s="169" t="s">
        <v>172</v>
      </c>
      <c r="K6">
        <v>35</v>
      </c>
      <c r="L6">
        <v>107</v>
      </c>
      <c r="M6">
        <v>380</v>
      </c>
      <c r="N6">
        <v>816</v>
      </c>
      <c r="O6">
        <v>60</v>
      </c>
      <c r="P6">
        <v>8</v>
      </c>
      <c r="Q6">
        <v>7</v>
      </c>
      <c r="R6">
        <v>20</v>
      </c>
      <c r="S6">
        <v>7</v>
      </c>
      <c r="T6">
        <v>5</v>
      </c>
      <c r="U6" s="168">
        <v>44769</v>
      </c>
      <c r="V6">
        <v>1.5</v>
      </c>
      <c r="W6" s="169" t="s">
        <v>146</v>
      </c>
      <c r="X6">
        <v>0</v>
      </c>
      <c r="Y6">
        <v>1</v>
      </c>
      <c r="AC6" s="171" t="s">
        <v>228</v>
      </c>
      <c r="AD6" s="171" t="s">
        <v>153</v>
      </c>
      <c r="AE6" s="171" t="s">
        <v>155</v>
      </c>
      <c r="AF6">
        <v>1</v>
      </c>
      <c r="AG6">
        <v>2</v>
      </c>
      <c r="AH6">
        <v>3</v>
      </c>
      <c r="AI6">
        <v>1</v>
      </c>
      <c r="AJ6">
        <v>2</v>
      </c>
      <c r="AK6">
        <v>3</v>
      </c>
      <c r="AL6">
        <v>1</v>
      </c>
      <c r="AM6">
        <v>2</v>
      </c>
      <c r="AN6">
        <v>3</v>
      </c>
    </row>
    <row r="7" spans="1:40" x14ac:dyDescent="0.25">
      <c r="A7" s="169" t="s">
        <v>199</v>
      </c>
      <c r="C7" s="169" t="s">
        <v>293</v>
      </c>
      <c r="D7">
        <v>422339587</v>
      </c>
      <c r="E7">
        <v>1</v>
      </c>
      <c r="F7" s="169" t="s">
        <v>172</v>
      </c>
      <c r="I7" s="169" t="s">
        <v>172</v>
      </c>
      <c r="J7" s="169" t="s">
        <v>172</v>
      </c>
      <c r="K7">
        <v>36</v>
      </c>
      <c r="L7">
        <v>5</v>
      </c>
      <c r="M7">
        <v>370</v>
      </c>
      <c r="N7">
        <v>492</v>
      </c>
      <c r="O7">
        <v>61</v>
      </c>
      <c r="P7">
        <v>8</v>
      </c>
      <c r="Q7">
        <v>7</v>
      </c>
      <c r="R7">
        <v>20</v>
      </c>
      <c r="S7">
        <v>7</v>
      </c>
      <c r="T7">
        <v>5</v>
      </c>
      <c r="U7" s="168">
        <v>44769</v>
      </c>
      <c r="V7">
        <v>1.5</v>
      </c>
      <c r="W7" s="169" t="s">
        <v>146</v>
      </c>
      <c r="X7">
        <v>0</v>
      </c>
      <c r="Y7">
        <v>2</v>
      </c>
      <c r="AC7" s="172" t="s">
        <v>476</v>
      </c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x14ac:dyDescent="0.25">
      <c r="A8" s="169" t="s">
        <v>298</v>
      </c>
      <c r="C8" s="169" t="s">
        <v>299</v>
      </c>
      <c r="D8">
        <v>431224460</v>
      </c>
      <c r="F8" s="169" t="s">
        <v>172</v>
      </c>
      <c r="I8" s="169" t="s">
        <v>172</v>
      </c>
      <c r="J8" s="169" t="s">
        <v>172</v>
      </c>
      <c r="K8">
        <v>33</v>
      </c>
      <c r="L8">
        <v>5</v>
      </c>
      <c r="M8">
        <v>46250</v>
      </c>
      <c r="N8">
        <v>22464</v>
      </c>
      <c r="O8">
        <v>19</v>
      </c>
      <c r="P8">
        <v>11</v>
      </c>
      <c r="Q8">
        <v>3</v>
      </c>
      <c r="R8">
        <v>12</v>
      </c>
      <c r="S8">
        <v>8</v>
      </c>
      <c r="T8">
        <v>6</v>
      </c>
      <c r="U8" s="168">
        <v>44779</v>
      </c>
      <c r="V8">
        <v>3</v>
      </c>
      <c r="W8" s="169" t="s">
        <v>173</v>
      </c>
      <c r="X8">
        <v>1</v>
      </c>
      <c r="Y8">
        <v>2</v>
      </c>
      <c r="Z8" t="s">
        <v>476</v>
      </c>
      <c r="AC8" s="181" t="s">
        <v>289</v>
      </c>
      <c r="AD8" s="172" t="s">
        <v>183</v>
      </c>
      <c r="AE8" s="172" t="s">
        <v>482</v>
      </c>
      <c r="AF8" s="169">
        <v>8</v>
      </c>
      <c r="AG8" s="169">
        <v>8</v>
      </c>
      <c r="AH8" s="169">
        <v>8</v>
      </c>
      <c r="AI8" s="169">
        <v>5</v>
      </c>
      <c r="AJ8" s="169">
        <v>6</v>
      </c>
      <c r="AK8" s="169">
        <v>6</v>
      </c>
      <c r="AL8" s="169">
        <v>8.5</v>
      </c>
      <c r="AM8" s="169">
        <v>9</v>
      </c>
      <c r="AN8" s="169">
        <v>7</v>
      </c>
    </row>
    <row r="9" spans="1:40" x14ac:dyDescent="0.25">
      <c r="A9" s="169" t="s">
        <v>174</v>
      </c>
      <c r="C9" s="169" t="s">
        <v>307</v>
      </c>
      <c r="D9">
        <v>468907924</v>
      </c>
      <c r="F9" s="169" t="s">
        <v>180</v>
      </c>
      <c r="G9">
        <v>1</v>
      </c>
      <c r="I9" s="169" t="s">
        <v>172</v>
      </c>
      <c r="J9" s="169" t="s">
        <v>172</v>
      </c>
      <c r="K9">
        <v>18</v>
      </c>
      <c r="L9">
        <v>3</v>
      </c>
      <c r="M9">
        <v>440</v>
      </c>
      <c r="N9">
        <v>310</v>
      </c>
      <c r="O9">
        <v>15</v>
      </c>
      <c r="P9">
        <v>1</v>
      </c>
      <c r="Q9">
        <v>4</v>
      </c>
      <c r="R9">
        <v>20</v>
      </c>
      <c r="S9">
        <v>7</v>
      </c>
      <c r="T9">
        <v>7</v>
      </c>
      <c r="U9" s="168">
        <v>44765</v>
      </c>
      <c r="V9">
        <v>3</v>
      </c>
      <c r="W9" s="169" t="s">
        <v>181</v>
      </c>
      <c r="X9">
        <v>0</v>
      </c>
      <c r="Y9">
        <v>2</v>
      </c>
      <c r="AC9" s="181" t="s">
        <v>287</v>
      </c>
      <c r="AD9" s="172" t="s">
        <v>183</v>
      </c>
      <c r="AE9" s="172" t="s">
        <v>482</v>
      </c>
      <c r="AF9" s="169">
        <v>8</v>
      </c>
      <c r="AG9" s="169">
        <v>8</v>
      </c>
      <c r="AH9" s="169">
        <v>8</v>
      </c>
      <c r="AI9" s="169">
        <v>8</v>
      </c>
      <c r="AJ9" s="169">
        <v>7</v>
      </c>
      <c r="AK9" s="169">
        <v>6</v>
      </c>
      <c r="AL9" s="169">
        <v>7</v>
      </c>
      <c r="AM9" s="169">
        <v>7</v>
      </c>
      <c r="AN9" s="169">
        <v>10</v>
      </c>
    </row>
    <row r="10" spans="1:40" x14ac:dyDescent="0.25">
      <c r="A10" s="169" t="s">
        <v>174</v>
      </c>
      <c r="C10" s="169" t="s">
        <v>307</v>
      </c>
      <c r="D10">
        <v>468907924</v>
      </c>
      <c r="F10" s="169" t="s">
        <v>180</v>
      </c>
      <c r="G10">
        <v>1</v>
      </c>
      <c r="I10" s="169" t="s">
        <v>172</v>
      </c>
      <c r="J10" s="169" t="s">
        <v>172</v>
      </c>
      <c r="K10">
        <v>17</v>
      </c>
      <c r="L10">
        <v>105</v>
      </c>
      <c r="M10">
        <v>420</v>
      </c>
      <c r="N10">
        <v>290</v>
      </c>
      <c r="O10">
        <v>13</v>
      </c>
      <c r="P10">
        <v>1</v>
      </c>
      <c r="Q10">
        <v>4</v>
      </c>
      <c r="R10">
        <v>20</v>
      </c>
      <c r="S10">
        <v>6</v>
      </c>
      <c r="T10">
        <v>7</v>
      </c>
      <c r="U10" s="168">
        <v>44765</v>
      </c>
      <c r="V10">
        <v>3</v>
      </c>
      <c r="W10" s="169" t="s">
        <v>181</v>
      </c>
      <c r="X10">
        <v>0</v>
      </c>
      <c r="Y10">
        <v>1</v>
      </c>
      <c r="AC10" s="181" t="s">
        <v>292</v>
      </c>
      <c r="AD10" s="172" t="s">
        <v>183</v>
      </c>
      <c r="AE10" s="172" t="s">
        <v>482</v>
      </c>
      <c r="AF10" s="169">
        <v>8</v>
      </c>
      <c r="AG10" s="169">
        <v>8</v>
      </c>
      <c r="AH10" s="169">
        <v>8</v>
      </c>
      <c r="AI10" s="169">
        <v>8</v>
      </c>
      <c r="AJ10" s="169">
        <v>7</v>
      </c>
      <c r="AK10" s="169">
        <v>7</v>
      </c>
      <c r="AL10" s="169">
        <v>10.5</v>
      </c>
      <c r="AM10" s="169">
        <v>10</v>
      </c>
      <c r="AN10" s="169">
        <v>7.5</v>
      </c>
    </row>
    <row r="11" spans="1:40" x14ac:dyDescent="0.25">
      <c r="A11" s="169" t="s">
        <v>190</v>
      </c>
      <c r="C11" s="169" t="s">
        <v>295</v>
      </c>
      <c r="D11">
        <v>419134956</v>
      </c>
      <c r="E11">
        <v>1</v>
      </c>
      <c r="F11" s="169" t="s">
        <v>171</v>
      </c>
      <c r="I11" s="169" t="s">
        <v>172</v>
      </c>
      <c r="J11" s="169" t="s">
        <v>172</v>
      </c>
      <c r="K11">
        <v>50</v>
      </c>
      <c r="L11">
        <v>26</v>
      </c>
      <c r="M11">
        <v>0</v>
      </c>
      <c r="N11">
        <v>300</v>
      </c>
      <c r="O11">
        <v>275</v>
      </c>
      <c r="P11">
        <v>9</v>
      </c>
      <c r="Q11">
        <v>5</v>
      </c>
      <c r="R11">
        <v>20</v>
      </c>
      <c r="S11">
        <v>4</v>
      </c>
      <c r="T11">
        <v>2</v>
      </c>
      <c r="U11" s="168">
        <v>44751</v>
      </c>
      <c r="V11">
        <v>5</v>
      </c>
      <c r="W11" s="169" t="s">
        <v>207</v>
      </c>
      <c r="X11">
        <v>0</v>
      </c>
      <c r="Y11">
        <v>1</v>
      </c>
      <c r="AC11" s="181" t="s">
        <v>297</v>
      </c>
      <c r="AD11" s="172" t="s">
        <v>172</v>
      </c>
      <c r="AE11" s="172" t="s">
        <v>482</v>
      </c>
      <c r="AF11" s="169">
        <v>7</v>
      </c>
      <c r="AG11" s="169">
        <v>7</v>
      </c>
      <c r="AH11" s="169">
        <v>7</v>
      </c>
      <c r="AI11" s="169">
        <v>6</v>
      </c>
      <c r="AJ11" s="169">
        <v>6</v>
      </c>
      <c r="AK11" s="169">
        <v>6</v>
      </c>
      <c r="AL11" s="169">
        <v>7.5</v>
      </c>
      <c r="AM11" s="169">
        <v>7.5</v>
      </c>
      <c r="AN11" s="169">
        <v>8</v>
      </c>
    </row>
    <row r="12" spans="1:40" x14ac:dyDescent="0.25">
      <c r="A12" s="169" t="s">
        <v>190</v>
      </c>
      <c r="C12" s="169" t="s">
        <v>296</v>
      </c>
      <c r="D12">
        <v>453102601</v>
      </c>
      <c r="F12" s="169" t="s">
        <v>172</v>
      </c>
      <c r="I12" s="169" t="s">
        <v>172</v>
      </c>
      <c r="J12" s="169" t="s">
        <v>172</v>
      </c>
      <c r="K12">
        <v>39</v>
      </c>
      <c r="L12">
        <v>102</v>
      </c>
      <c r="M12">
        <v>0</v>
      </c>
      <c r="N12">
        <v>300</v>
      </c>
      <c r="O12">
        <v>60</v>
      </c>
      <c r="P12">
        <v>7</v>
      </c>
      <c r="Q12">
        <v>7</v>
      </c>
      <c r="R12">
        <v>20</v>
      </c>
      <c r="S12">
        <v>7</v>
      </c>
      <c r="T12">
        <v>3</v>
      </c>
      <c r="U12" s="168">
        <v>44762</v>
      </c>
      <c r="V12">
        <v>5</v>
      </c>
      <c r="W12" s="169" t="s">
        <v>146</v>
      </c>
      <c r="X12">
        <v>0</v>
      </c>
      <c r="Y12">
        <v>1</v>
      </c>
      <c r="AC12" s="181" t="s">
        <v>299</v>
      </c>
      <c r="AD12" s="172" t="s">
        <v>172</v>
      </c>
      <c r="AE12" s="172" t="s">
        <v>482</v>
      </c>
      <c r="AF12" s="169">
        <v>6</v>
      </c>
      <c r="AG12" s="169">
        <v>6</v>
      </c>
      <c r="AH12" s="169">
        <v>6</v>
      </c>
      <c r="AI12" s="169">
        <v>7</v>
      </c>
      <c r="AJ12" s="169">
        <v>8</v>
      </c>
      <c r="AK12" s="169">
        <v>7</v>
      </c>
      <c r="AL12" s="169">
        <v>8</v>
      </c>
      <c r="AM12" s="169">
        <v>3</v>
      </c>
      <c r="AN12" s="169">
        <v>6.5</v>
      </c>
    </row>
    <row r="13" spans="1:40" x14ac:dyDescent="0.25">
      <c r="A13" s="169" t="s">
        <v>190</v>
      </c>
      <c r="C13" s="169" t="s">
        <v>296</v>
      </c>
      <c r="D13">
        <v>453102601</v>
      </c>
      <c r="F13" s="169" t="s">
        <v>172</v>
      </c>
      <c r="I13" s="169" t="s">
        <v>172</v>
      </c>
      <c r="J13" s="169" t="s">
        <v>172</v>
      </c>
      <c r="K13">
        <v>40</v>
      </c>
      <c r="L13">
        <v>0</v>
      </c>
      <c r="M13">
        <v>0</v>
      </c>
      <c r="N13">
        <v>300</v>
      </c>
      <c r="O13">
        <v>61</v>
      </c>
      <c r="P13">
        <v>7</v>
      </c>
      <c r="Q13">
        <v>7</v>
      </c>
      <c r="R13">
        <v>20</v>
      </c>
      <c r="S13">
        <v>7</v>
      </c>
      <c r="T13">
        <v>3</v>
      </c>
      <c r="U13" s="168">
        <v>44762</v>
      </c>
      <c r="V13">
        <v>5</v>
      </c>
      <c r="W13" s="169" t="s">
        <v>146</v>
      </c>
      <c r="X13">
        <v>0</v>
      </c>
      <c r="Y13">
        <v>2</v>
      </c>
      <c r="AC13" s="181" t="s">
        <v>288</v>
      </c>
      <c r="AD13" s="172" t="s">
        <v>183</v>
      </c>
      <c r="AE13" s="172" t="s">
        <v>482</v>
      </c>
      <c r="AF13" s="169">
        <v>8</v>
      </c>
      <c r="AG13" s="169">
        <v>8</v>
      </c>
      <c r="AH13" s="169">
        <v>8</v>
      </c>
      <c r="AI13" s="169">
        <v>8</v>
      </c>
      <c r="AJ13" s="169">
        <v>6</v>
      </c>
      <c r="AK13" s="169">
        <v>7</v>
      </c>
      <c r="AL13" s="169">
        <v>6.5</v>
      </c>
      <c r="AM13" s="169">
        <v>8</v>
      </c>
      <c r="AN13" s="169">
        <v>9</v>
      </c>
    </row>
    <row r="14" spans="1:40" x14ac:dyDescent="0.25">
      <c r="A14" s="169" t="s">
        <v>190</v>
      </c>
      <c r="C14" s="169" t="s">
        <v>296</v>
      </c>
      <c r="D14">
        <v>453102601</v>
      </c>
      <c r="F14" s="169" t="s">
        <v>172</v>
      </c>
      <c r="I14" s="169" t="s">
        <v>172</v>
      </c>
      <c r="J14" s="169" t="s">
        <v>172</v>
      </c>
      <c r="K14">
        <v>40</v>
      </c>
      <c r="L14">
        <v>4</v>
      </c>
      <c r="M14">
        <v>0</v>
      </c>
      <c r="N14">
        <v>300</v>
      </c>
      <c r="O14">
        <v>62</v>
      </c>
      <c r="P14">
        <v>7</v>
      </c>
      <c r="Q14">
        <v>7</v>
      </c>
      <c r="R14">
        <v>20</v>
      </c>
      <c r="S14">
        <v>7</v>
      </c>
      <c r="T14">
        <v>3</v>
      </c>
      <c r="U14" s="168">
        <v>44762</v>
      </c>
      <c r="V14">
        <v>5</v>
      </c>
      <c r="W14" s="169" t="s">
        <v>146</v>
      </c>
      <c r="X14">
        <v>0</v>
      </c>
      <c r="Y14">
        <v>3</v>
      </c>
      <c r="AC14" s="181" t="s">
        <v>304</v>
      </c>
      <c r="AD14" s="172" t="s">
        <v>176</v>
      </c>
      <c r="AE14" s="172" t="s">
        <v>482</v>
      </c>
      <c r="AF14" s="169">
        <v>7</v>
      </c>
      <c r="AG14" s="169">
        <v>7</v>
      </c>
      <c r="AH14" s="169">
        <v>7</v>
      </c>
      <c r="AI14" s="169">
        <v>7</v>
      </c>
      <c r="AJ14" s="169">
        <v>7</v>
      </c>
      <c r="AK14" s="169">
        <v>6</v>
      </c>
      <c r="AL14" s="169">
        <v>6.5</v>
      </c>
      <c r="AM14" s="169">
        <v>6.5</v>
      </c>
      <c r="AN14" s="169">
        <v>6.5</v>
      </c>
    </row>
    <row r="15" spans="1:40" x14ac:dyDescent="0.25">
      <c r="A15" s="169" t="s">
        <v>300</v>
      </c>
      <c r="C15" s="169" t="s">
        <v>301</v>
      </c>
      <c r="D15">
        <v>451067371</v>
      </c>
      <c r="F15" s="169" t="s">
        <v>172</v>
      </c>
      <c r="I15" s="169" t="s">
        <v>172</v>
      </c>
      <c r="J15" s="169" t="s">
        <v>172</v>
      </c>
      <c r="K15">
        <v>40</v>
      </c>
      <c r="L15">
        <v>94</v>
      </c>
      <c r="M15">
        <v>0</v>
      </c>
      <c r="N15">
        <v>300</v>
      </c>
      <c r="O15">
        <v>60</v>
      </c>
      <c r="P15">
        <v>7</v>
      </c>
      <c r="Q15">
        <v>7</v>
      </c>
      <c r="R15">
        <v>20</v>
      </c>
      <c r="S15">
        <v>5</v>
      </c>
      <c r="T15">
        <v>2</v>
      </c>
      <c r="U15" s="168">
        <v>44765</v>
      </c>
      <c r="V15">
        <v>5</v>
      </c>
      <c r="W15" s="169" t="s">
        <v>181</v>
      </c>
      <c r="X15">
        <v>0</v>
      </c>
      <c r="Y15">
        <v>1</v>
      </c>
      <c r="AC15" s="181" t="s">
        <v>306</v>
      </c>
      <c r="AD15" s="172" t="s">
        <v>183</v>
      </c>
      <c r="AE15" s="172" t="s">
        <v>482</v>
      </c>
      <c r="AF15" s="169">
        <v>7</v>
      </c>
      <c r="AG15" s="169">
        <v>7</v>
      </c>
      <c r="AH15" s="169">
        <v>7</v>
      </c>
      <c r="AI15" s="169">
        <v>6</v>
      </c>
      <c r="AJ15" s="169">
        <v>6</v>
      </c>
      <c r="AK15" s="169">
        <v>6</v>
      </c>
      <c r="AL15" s="169">
        <v>7</v>
      </c>
      <c r="AM15" s="169">
        <v>7</v>
      </c>
      <c r="AN15" s="169">
        <v>6</v>
      </c>
    </row>
    <row r="16" spans="1:40" x14ac:dyDescent="0.25">
      <c r="A16" s="169" t="s">
        <v>300</v>
      </c>
      <c r="C16" s="169" t="s">
        <v>301</v>
      </c>
      <c r="D16">
        <v>451067371</v>
      </c>
      <c r="F16" s="169" t="s">
        <v>172</v>
      </c>
      <c r="I16" s="169" t="s">
        <v>172</v>
      </c>
      <c r="J16" s="169" t="s">
        <v>172</v>
      </c>
      <c r="K16">
        <v>40</v>
      </c>
      <c r="L16">
        <v>104</v>
      </c>
      <c r="M16">
        <v>0</v>
      </c>
      <c r="N16">
        <v>300</v>
      </c>
      <c r="O16">
        <v>61</v>
      </c>
      <c r="P16">
        <v>7</v>
      </c>
      <c r="Q16">
        <v>7</v>
      </c>
      <c r="R16">
        <v>20</v>
      </c>
      <c r="S16">
        <v>5</v>
      </c>
      <c r="T16">
        <v>2</v>
      </c>
      <c r="U16" s="168">
        <v>44765</v>
      </c>
      <c r="V16">
        <v>5</v>
      </c>
      <c r="W16" s="169" t="s">
        <v>181</v>
      </c>
      <c r="X16">
        <v>0</v>
      </c>
      <c r="Y16">
        <v>2</v>
      </c>
      <c r="AC16" s="181" t="s">
        <v>290</v>
      </c>
      <c r="AD16" s="172" t="s">
        <v>183</v>
      </c>
      <c r="AE16" s="172">
        <v>1</v>
      </c>
      <c r="AF16" s="169"/>
      <c r="AG16" s="169">
        <v>8</v>
      </c>
      <c r="AH16" s="169"/>
      <c r="AI16" s="169"/>
      <c r="AJ16" s="169">
        <v>6</v>
      </c>
      <c r="AK16" s="169"/>
      <c r="AL16" s="169"/>
      <c r="AM16" s="169">
        <v>9</v>
      </c>
      <c r="AN16" s="169"/>
    </row>
    <row r="17" spans="1:40" x14ac:dyDescent="0.25">
      <c r="A17" s="169" t="s">
        <v>300</v>
      </c>
      <c r="C17" s="169" t="s">
        <v>301</v>
      </c>
      <c r="D17">
        <v>451067371</v>
      </c>
      <c r="F17" s="169" t="s">
        <v>172</v>
      </c>
      <c r="I17" s="169" t="s">
        <v>172</v>
      </c>
      <c r="J17" s="169" t="s">
        <v>172</v>
      </c>
      <c r="K17">
        <v>40</v>
      </c>
      <c r="L17">
        <v>108</v>
      </c>
      <c r="M17">
        <v>0</v>
      </c>
      <c r="N17">
        <v>300</v>
      </c>
      <c r="O17">
        <v>62</v>
      </c>
      <c r="P17">
        <v>7</v>
      </c>
      <c r="Q17">
        <v>7</v>
      </c>
      <c r="R17">
        <v>20</v>
      </c>
      <c r="S17">
        <v>6</v>
      </c>
      <c r="T17">
        <v>2</v>
      </c>
      <c r="U17" s="168">
        <v>44765</v>
      </c>
      <c r="V17">
        <v>5</v>
      </c>
      <c r="W17" s="169" t="s">
        <v>181</v>
      </c>
      <c r="X17">
        <v>0</v>
      </c>
      <c r="Y17">
        <v>3</v>
      </c>
      <c r="AE17" s="172" t="s">
        <v>482</v>
      </c>
      <c r="AF17" s="169">
        <v>8</v>
      </c>
      <c r="AG17" s="169"/>
      <c r="AH17" s="169">
        <v>8</v>
      </c>
      <c r="AI17" s="169">
        <v>6</v>
      </c>
      <c r="AJ17" s="169"/>
      <c r="AK17" s="169">
        <v>7</v>
      </c>
      <c r="AL17" s="169">
        <v>7.5</v>
      </c>
      <c r="AM17" s="169"/>
      <c r="AN17" s="169">
        <v>9</v>
      </c>
    </row>
    <row r="18" spans="1:40" x14ac:dyDescent="0.25">
      <c r="A18" s="169" t="s">
        <v>305</v>
      </c>
      <c r="C18" s="169" t="s">
        <v>306</v>
      </c>
      <c r="D18">
        <v>436089834</v>
      </c>
      <c r="F18" s="169" t="s">
        <v>183</v>
      </c>
      <c r="I18" s="169" t="s">
        <v>172</v>
      </c>
      <c r="J18" s="169" t="s">
        <v>172</v>
      </c>
      <c r="K18">
        <v>31</v>
      </c>
      <c r="L18">
        <v>8</v>
      </c>
      <c r="M18">
        <v>88150</v>
      </c>
      <c r="N18">
        <v>33984</v>
      </c>
      <c r="O18">
        <v>69</v>
      </c>
      <c r="P18">
        <v>11</v>
      </c>
      <c r="Q18">
        <v>3</v>
      </c>
      <c r="R18">
        <v>20</v>
      </c>
      <c r="S18">
        <v>6</v>
      </c>
      <c r="T18">
        <v>7</v>
      </c>
      <c r="U18" s="168">
        <v>44783</v>
      </c>
      <c r="V18">
        <v>6</v>
      </c>
      <c r="W18" s="169" t="s">
        <v>146</v>
      </c>
      <c r="X18">
        <v>1</v>
      </c>
      <c r="Y18">
        <v>3</v>
      </c>
      <c r="Z18" t="s">
        <v>476</v>
      </c>
      <c r="AC18" s="181" t="s">
        <v>285</v>
      </c>
      <c r="AD18" s="172" t="s">
        <v>183</v>
      </c>
      <c r="AE18" s="172" t="s">
        <v>482</v>
      </c>
      <c r="AF18" s="169">
        <v>8</v>
      </c>
      <c r="AG18" s="169">
        <v>8</v>
      </c>
      <c r="AH18" s="169">
        <v>8</v>
      </c>
      <c r="AI18" s="169">
        <v>7</v>
      </c>
      <c r="AJ18" s="169">
        <v>7</v>
      </c>
      <c r="AK18" s="169">
        <v>7</v>
      </c>
      <c r="AL18" s="169">
        <v>7</v>
      </c>
      <c r="AM18" s="169">
        <v>8</v>
      </c>
      <c r="AN18" s="169">
        <v>9.5</v>
      </c>
    </row>
    <row r="19" spans="1:40" x14ac:dyDescent="0.25">
      <c r="A19" s="169" t="s">
        <v>174</v>
      </c>
      <c r="B19">
        <v>6</v>
      </c>
      <c r="C19" s="169" t="s">
        <v>288</v>
      </c>
      <c r="D19">
        <v>441463617</v>
      </c>
      <c r="F19" s="169" t="s">
        <v>183</v>
      </c>
      <c r="I19" s="169" t="s">
        <v>172</v>
      </c>
      <c r="J19" s="169" t="s">
        <v>172</v>
      </c>
      <c r="K19">
        <v>28</v>
      </c>
      <c r="L19">
        <v>46</v>
      </c>
      <c r="M19">
        <v>235780</v>
      </c>
      <c r="N19">
        <v>37660</v>
      </c>
      <c r="O19">
        <v>182</v>
      </c>
      <c r="P19">
        <v>9</v>
      </c>
      <c r="Q19">
        <v>5</v>
      </c>
      <c r="R19">
        <v>20</v>
      </c>
      <c r="S19">
        <v>8</v>
      </c>
      <c r="T19">
        <v>8</v>
      </c>
      <c r="U19" s="168">
        <v>44769</v>
      </c>
      <c r="V19">
        <v>6.5</v>
      </c>
      <c r="W19" s="169" t="s">
        <v>148</v>
      </c>
      <c r="X19">
        <v>1</v>
      </c>
      <c r="Y19">
        <v>1</v>
      </c>
      <c r="Z19" t="s">
        <v>476</v>
      </c>
      <c r="AC19" s="181" t="s">
        <v>309</v>
      </c>
      <c r="AD19" s="172" t="s">
        <v>172</v>
      </c>
      <c r="AE19" s="172" t="s">
        <v>482</v>
      </c>
      <c r="AF19" s="169">
        <v>7</v>
      </c>
      <c r="AG19" s="169">
        <v>7</v>
      </c>
      <c r="AH19" s="169">
        <v>7</v>
      </c>
      <c r="AI19" s="169">
        <v>7</v>
      </c>
      <c r="AJ19" s="169">
        <v>7</v>
      </c>
      <c r="AK19" s="169">
        <v>7</v>
      </c>
      <c r="AL19" s="169">
        <v>7</v>
      </c>
      <c r="AM19" s="169">
        <v>6.5</v>
      </c>
      <c r="AN19" s="169">
        <v>7</v>
      </c>
    </row>
    <row r="20" spans="1:40" x14ac:dyDescent="0.25">
      <c r="A20" s="169" t="s">
        <v>303</v>
      </c>
      <c r="C20" s="169" t="s">
        <v>304</v>
      </c>
      <c r="D20">
        <v>435688371</v>
      </c>
      <c r="F20" s="169" t="s">
        <v>176</v>
      </c>
      <c r="I20" s="169" t="s">
        <v>172</v>
      </c>
      <c r="J20" s="169" t="s">
        <v>172</v>
      </c>
      <c r="K20">
        <v>31</v>
      </c>
      <c r="L20">
        <v>33</v>
      </c>
      <c r="M20">
        <v>89310</v>
      </c>
      <c r="N20">
        <v>33036</v>
      </c>
      <c r="O20">
        <v>68</v>
      </c>
      <c r="P20">
        <v>11</v>
      </c>
      <c r="Q20">
        <v>2</v>
      </c>
      <c r="R20">
        <v>20</v>
      </c>
      <c r="S20">
        <v>7</v>
      </c>
      <c r="T20">
        <v>7</v>
      </c>
      <c r="U20" s="168">
        <v>44779</v>
      </c>
      <c r="V20">
        <v>6.5</v>
      </c>
      <c r="W20" s="169" t="s">
        <v>181</v>
      </c>
      <c r="X20">
        <v>1</v>
      </c>
      <c r="Y20">
        <v>2</v>
      </c>
      <c r="Z20" t="s">
        <v>476</v>
      </c>
      <c r="AC20" s="172" t="s">
        <v>173</v>
      </c>
      <c r="AF20" s="169"/>
      <c r="AG20" s="169"/>
      <c r="AH20" s="169"/>
      <c r="AI20" s="169"/>
      <c r="AJ20" s="169"/>
      <c r="AK20" s="169"/>
      <c r="AL20" s="169"/>
      <c r="AM20" s="169"/>
      <c r="AN20" s="169"/>
    </row>
    <row r="21" spans="1:40" x14ac:dyDescent="0.25">
      <c r="A21" s="169" t="s">
        <v>303</v>
      </c>
      <c r="C21" s="169" t="s">
        <v>304</v>
      </c>
      <c r="D21">
        <v>435688371</v>
      </c>
      <c r="F21" s="169" t="s">
        <v>176</v>
      </c>
      <c r="I21" s="169" t="s">
        <v>172</v>
      </c>
      <c r="J21" s="169" t="s">
        <v>172</v>
      </c>
      <c r="K21">
        <v>31</v>
      </c>
      <c r="L21">
        <v>23</v>
      </c>
      <c r="M21">
        <v>88360</v>
      </c>
      <c r="N21">
        <v>33036</v>
      </c>
      <c r="O21">
        <v>67</v>
      </c>
      <c r="P21">
        <v>11</v>
      </c>
      <c r="Q21">
        <v>2</v>
      </c>
      <c r="R21">
        <v>20</v>
      </c>
      <c r="S21">
        <v>7</v>
      </c>
      <c r="T21">
        <v>7</v>
      </c>
      <c r="U21" s="168">
        <v>44769</v>
      </c>
      <c r="V21">
        <v>6.5</v>
      </c>
      <c r="W21" s="169" t="s">
        <v>146</v>
      </c>
      <c r="X21">
        <v>1</v>
      </c>
      <c r="Y21">
        <v>1</v>
      </c>
      <c r="Z21" t="s">
        <v>476</v>
      </c>
      <c r="AC21" s="181" t="s">
        <v>302</v>
      </c>
      <c r="AD21" s="172" t="s">
        <v>172</v>
      </c>
      <c r="AE21" s="172">
        <v>1</v>
      </c>
      <c r="AF21" s="169"/>
      <c r="AG21" s="169">
        <v>7</v>
      </c>
      <c r="AH21" s="169">
        <v>7</v>
      </c>
      <c r="AI21" s="169"/>
      <c r="AJ21" s="169">
        <v>6</v>
      </c>
      <c r="AK21" s="169">
        <v>6</v>
      </c>
      <c r="AL21" s="169"/>
      <c r="AM21" s="169">
        <v>8</v>
      </c>
      <c r="AN21" s="169">
        <v>8</v>
      </c>
    </row>
    <row r="22" spans="1:40" x14ac:dyDescent="0.25">
      <c r="A22" s="169" t="s">
        <v>308</v>
      </c>
      <c r="C22" s="169" t="s">
        <v>309</v>
      </c>
      <c r="D22">
        <v>435449364</v>
      </c>
      <c r="F22" s="169" t="s">
        <v>172</v>
      </c>
      <c r="I22" s="169" t="s">
        <v>172</v>
      </c>
      <c r="J22" s="169" t="s">
        <v>172</v>
      </c>
      <c r="K22">
        <v>31</v>
      </c>
      <c r="L22">
        <v>16</v>
      </c>
      <c r="M22">
        <v>97050</v>
      </c>
      <c r="N22">
        <v>38052</v>
      </c>
      <c r="O22">
        <v>68</v>
      </c>
      <c r="P22">
        <v>11</v>
      </c>
      <c r="Q22">
        <v>5</v>
      </c>
      <c r="R22">
        <v>20</v>
      </c>
      <c r="S22">
        <v>7</v>
      </c>
      <c r="T22">
        <v>7</v>
      </c>
      <c r="U22" s="168">
        <v>44779</v>
      </c>
      <c r="V22">
        <v>6.5</v>
      </c>
      <c r="W22" s="169" t="s">
        <v>146</v>
      </c>
      <c r="X22">
        <v>1</v>
      </c>
      <c r="Y22">
        <v>2</v>
      </c>
      <c r="Z22" t="s">
        <v>476</v>
      </c>
      <c r="AE22" s="172" t="s">
        <v>482</v>
      </c>
      <c r="AF22" s="169">
        <v>7</v>
      </c>
      <c r="AG22" s="169"/>
      <c r="AH22" s="169"/>
      <c r="AI22" s="169">
        <v>6</v>
      </c>
      <c r="AJ22" s="169"/>
      <c r="AK22" s="169"/>
      <c r="AL22" s="169">
        <v>8.5</v>
      </c>
      <c r="AM22" s="169"/>
      <c r="AN22" s="169"/>
    </row>
    <row r="23" spans="1:40" x14ac:dyDescent="0.25">
      <c r="A23" s="169" t="s">
        <v>174</v>
      </c>
      <c r="B23">
        <v>8</v>
      </c>
      <c r="C23" s="169" t="s">
        <v>289</v>
      </c>
      <c r="D23">
        <v>442222936</v>
      </c>
      <c r="F23" s="169" t="s">
        <v>183</v>
      </c>
      <c r="I23" s="169" t="s">
        <v>172</v>
      </c>
      <c r="J23" s="169" t="s">
        <v>172</v>
      </c>
      <c r="K23">
        <v>28</v>
      </c>
      <c r="L23">
        <v>25</v>
      </c>
      <c r="M23">
        <v>266030</v>
      </c>
      <c r="N23">
        <v>61170</v>
      </c>
      <c r="O23">
        <v>179</v>
      </c>
      <c r="P23">
        <v>11</v>
      </c>
      <c r="Q23">
        <v>7</v>
      </c>
      <c r="R23">
        <v>20</v>
      </c>
      <c r="S23">
        <v>6</v>
      </c>
      <c r="T23">
        <v>8</v>
      </c>
      <c r="U23" s="168">
        <v>44783</v>
      </c>
      <c r="V23">
        <v>7</v>
      </c>
      <c r="W23" s="169" t="s">
        <v>177</v>
      </c>
      <c r="X23">
        <v>1</v>
      </c>
      <c r="Y23">
        <v>3</v>
      </c>
      <c r="Z23" t="s">
        <v>476</v>
      </c>
      <c r="AC23" s="172" t="s">
        <v>229</v>
      </c>
      <c r="AF23" s="169">
        <v>89</v>
      </c>
      <c r="AG23" s="169">
        <v>89</v>
      </c>
      <c r="AH23" s="169">
        <v>89</v>
      </c>
      <c r="AI23" s="169">
        <v>81</v>
      </c>
      <c r="AJ23" s="169">
        <v>79</v>
      </c>
      <c r="AK23" s="169">
        <v>78</v>
      </c>
      <c r="AL23" s="169">
        <v>91.5</v>
      </c>
      <c r="AM23" s="169">
        <v>89.5</v>
      </c>
      <c r="AN23" s="169">
        <v>94</v>
      </c>
    </row>
    <row r="24" spans="1:40" x14ac:dyDescent="0.25">
      <c r="A24" s="169" t="s">
        <v>286</v>
      </c>
      <c r="B24">
        <v>5</v>
      </c>
      <c r="C24" s="169" t="s">
        <v>287</v>
      </c>
      <c r="D24">
        <v>442176787</v>
      </c>
      <c r="F24" s="169" t="s">
        <v>183</v>
      </c>
      <c r="I24" s="169" t="s">
        <v>172</v>
      </c>
      <c r="J24" s="169" t="s">
        <v>172</v>
      </c>
      <c r="K24">
        <v>28</v>
      </c>
      <c r="L24">
        <v>57</v>
      </c>
      <c r="M24">
        <v>284910</v>
      </c>
      <c r="N24">
        <v>50352</v>
      </c>
      <c r="O24">
        <v>177</v>
      </c>
      <c r="P24">
        <v>9</v>
      </c>
      <c r="Q24">
        <v>4</v>
      </c>
      <c r="R24">
        <v>20</v>
      </c>
      <c r="S24">
        <v>8</v>
      </c>
      <c r="T24">
        <v>8</v>
      </c>
      <c r="U24" s="168">
        <v>44769</v>
      </c>
      <c r="V24">
        <v>7</v>
      </c>
      <c r="W24" s="169" t="s">
        <v>148</v>
      </c>
      <c r="X24">
        <v>1</v>
      </c>
      <c r="Y24">
        <v>1</v>
      </c>
      <c r="Z24" t="s">
        <v>476</v>
      </c>
    </row>
    <row r="25" spans="1:40" x14ac:dyDescent="0.25">
      <c r="A25" s="169" t="s">
        <v>286</v>
      </c>
      <c r="B25">
        <v>5</v>
      </c>
      <c r="C25" s="169" t="s">
        <v>287</v>
      </c>
      <c r="D25">
        <v>442176787</v>
      </c>
      <c r="F25" s="169" t="s">
        <v>183</v>
      </c>
      <c r="I25" s="169" t="s">
        <v>172</v>
      </c>
      <c r="J25" s="169" t="s">
        <v>172</v>
      </c>
      <c r="K25">
        <v>28</v>
      </c>
      <c r="L25">
        <v>67</v>
      </c>
      <c r="M25">
        <v>271890</v>
      </c>
      <c r="N25">
        <v>50352</v>
      </c>
      <c r="O25">
        <v>178</v>
      </c>
      <c r="P25">
        <v>9</v>
      </c>
      <c r="Q25">
        <v>4</v>
      </c>
      <c r="R25">
        <v>20</v>
      </c>
      <c r="S25">
        <v>7</v>
      </c>
      <c r="T25">
        <v>8</v>
      </c>
      <c r="U25" s="168">
        <v>44779</v>
      </c>
      <c r="V25">
        <v>7</v>
      </c>
      <c r="W25" s="169" t="s">
        <v>207</v>
      </c>
      <c r="X25">
        <v>1</v>
      </c>
      <c r="Y25">
        <v>2</v>
      </c>
      <c r="Z25" t="s">
        <v>476</v>
      </c>
    </row>
    <row r="26" spans="1:40" x14ac:dyDescent="0.25">
      <c r="A26" s="169" t="s">
        <v>305</v>
      </c>
      <c r="C26" s="169" t="s">
        <v>306</v>
      </c>
      <c r="D26">
        <v>436089834</v>
      </c>
      <c r="F26" s="169" t="s">
        <v>183</v>
      </c>
      <c r="I26" s="169" t="s">
        <v>172</v>
      </c>
      <c r="J26" s="169" t="s">
        <v>172</v>
      </c>
      <c r="K26">
        <v>30</v>
      </c>
      <c r="L26">
        <v>106</v>
      </c>
      <c r="M26">
        <v>109350</v>
      </c>
      <c r="N26">
        <v>35100</v>
      </c>
      <c r="O26">
        <v>67</v>
      </c>
      <c r="P26">
        <v>11</v>
      </c>
      <c r="Q26">
        <v>3</v>
      </c>
      <c r="R26">
        <v>20</v>
      </c>
      <c r="S26">
        <v>6</v>
      </c>
      <c r="T26">
        <v>7</v>
      </c>
      <c r="U26" s="168">
        <v>44769</v>
      </c>
      <c r="V26">
        <v>7</v>
      </c>
      <c r="W26" s="169" t="s">
        <v>181</v>
      </c>
      <c r="X26">
        <v>1</v>
      </c>
      <c r="Y26">
        <v>1</v>
      </c>
      <c r="Z26" t="s">
        <v>476</v>
      </c>
    </row>
    <row r="27" spans="1:40" x14ac:dyDescent="0.25">
      <c r="A27" s="169" t="s">
        <v>305</v>
      </c>
      <c r="C27" s="169" t="s">
        <v>306</v>
      </c>
      <c r="D27">
        <v>436089834</v>
      </c>
      <c r="F27" s="169" t="s">
        <v>183</v>
      </c>
      <c r="I27" s="169" t="s">
        <v>172</v>
      </c>
      <c r="J27" s="169" t="s">
        <v>172</v>
      </c>
      <c r="K27">
        <v>31</v>
      </c>
      <c r="L27">
        <v>4</v>
      </c>
      <c r="M27">
        <v>86450</v>
      </c>
      <c r="N27">
        <v>33984</v>
      </c>
      <c r="O27">
        <v>68</v>
      </c>
      <c r="P27">
        <v>11</v>
      </c>
      <c r="Q27">
        <v>3</v>
      </c>
      <c r="R27">
        <v>20</v>
      </c>
      <c r="S27">
        <v>6</v>
      </c>
      <c r="T27">
        <v>7</v>
      </c>
      <c r="U27" s="168">
        <v>44779</v>
      </c>
      <c r="V27">
        <v>7</v>
      </c>
      <c r="W27" s="169" t="s">
        <v>201</v>
      </c>
      <c r="X27">
        <v>1</v>
      </c>
      <c r="Y27">
        <v>2</v>
      </c>
      <c r="Z27" t="s">
        <v>476</v>
      </c>
    </row>
    <row r="28" spans="1:40" x14ac:dyDescent="0.25">
      <c r="A28" s="169" t="s">
        <v>186</v>
      </c>
      <c r="B28">
        <v>4</v>
      </c>
      <c r="C28" s="169" t="s">
        <v>285</v>
      </c>
      <c r="D28">
        <v>441501946</v>
      </c>
      <c r="F28" s="169" t="s">
        <v>183</v>
      </c>
      <c r="I28" s="169" t="s">
        <v>172</v>
      </c>
      <c r="J28" s="169" t="s">
        <v>172</v>
      </c>
      <c r="K28">
        <v>28</v>
      </c>
      <c r="L28">
        <v>44</v>
      </c>
      <c r="M28">
        <v>259970</v>
      </c>
      <c r="N28">
        <v>51240</v>
      </c>
      <c r="O28">
        <v>177</v>
      </c>
      <c r="P28">
        <v>10</v>
      </c>
      <c r="Q28">
        <v>5</v>
      </c>
      <c r="R28">
        <v>20</v>
      </c>
      <c r="S28">
        <v>7</v>
      </c>
      <c r="T28">
        <v>8</v>
      </c>
      <c r="U28" s="168">
        <v>44769</v>
      </c>
      <c r="V28">
        <v>7</v>
      </c>
      <c r="W28" s="169" t="s">
        <v>148</v>
      </c>
      <c r="X28">
        <v>1</v>
      </c>
      <c r="Y28">
        <v>1</v>
      </c>
      <c r="Z28" t="s">
        <v>476</v>
      </c>
    </row>
    <row r="29" spans="1:40" x14ac:dyDescent="0.25">
      <c r="A29" s="169" t="s">
        <v>308</v>
      </c>
      <c r="C29" s="169" t="s">
        <v>309</v>
      </c>
      <c r="D29">
        <v>435449364</v>
      </c>
      <c r="F29" s="169" t="s">
        <v>172</v>
      </c>
      <c r="I29" s="169" t="s">
        <v>172</v>
      </c>
      <c r="J29" s="169" t="s">
        <v>172</v>
      </c>
      <c r="K29">
        <v>31</v>
      </c>
      <c r="L29">
        <v>6</v>
      </c>
      <c r="M29">
        <v>95930</v>
      </c>
      <c r="N29">
        <v>38052</v>
      </c>
      <c r="O29">
        <v>67</v>
      </c>
      <c r="P29">
        <v>11</v>
      </c>
      <c r="Q29">
        <v>5</v>
      </c>
      <c r="R29">
        <v>20</v>
      </c>
      <c r="S29">
        <v>7</v>
      </c>
      <c r="T29">
        <v>7</v>
      </c>
      <c r="U29" s="168">
        <v>44769</v>
      </c>
      <c r="V29">
        <v>7</v>
      </c>
      <c r="W29" s="169" t="s">
        <v>201</v>
      </c>
      <c r="X29">
        <v>1</v>
      </c>
      <c r="Y29">
        <v>1</v>
      </c>
      <c r="Z29" t="s">
        <v>476</v>
      </c>
    </row>
    <row r="30" spans="1:40" x14ac:dyDescent="0.25">
      <c r="A30" s="169" t="s">
        <v>308</v>
      </c>
      <c r="C30" s="169" t="s">
        <v>309</v>
      </c>
      <c r="D30">
        <v>435449364</v>
      </c>
      <c r="F30" s="169" t="s">
        <v>172</v>
      </c>
      <c r="I30" s="169" t="s">
        <v>172</v>
      </c>
      <c r="J30" s="169" t="s">
        <v>172</v>
      </c>
      <c r="K30">
        <v>31</v>
      </c>
      <c r="L30">
        <v>20</v>
      </c>
      <c r="M30">
        <v>97800</v>
      </c>
      <c r="N30">
        <v>38052</v>
      </c>
      <c r="O30">
        <v>69</v>
      </c>
      <c r="P30">
        <v>11</v>
      </c>
      <c r="Q30">
        <v>5</v>
      </c>
      <c r="R30">
        <v>20</v>
      </c>
      <c r="S30">
        <v>7</v>
      </c>
      <c r="T30">
        <v>7</v>
      </c>
      <c r="U30" s="168">
        <v>44783</v>
      </c>
      <c r="V30">
        <v>7</v>
      </c>
      <c r="W30" s="169" t="s">
        <v>201</v>
      </c>
      <c r="X30">
        <v>1</v>
      </c>
      <c r="Y30">
        <v>3</v>
      </c>
      <c r="Z30" t="s">
        <v>476</v>
      </c>
    </row>
    <row r="31" spans="1:40" x14ac:dyDescent="0.25">
      <c r="A31" s="169" t="s">
        <v>268</v>
      </c>
      <c r="C31" s="169" t="s">
        <v>297</v>
      </c>
      <c r="D31">
        <v>434933625</v>
      </c>
      <c r="F31" s="169" t="s">
        <v>172</v>
      </c>
      <c r="I31" s="169" t="s">
        <v>172</v>
      </c>
      <c r="J31" s="169" t="s">
        <v>172</v>
      </c>
      <c r="K31">
        <v>31</v>
      </c>
      <c r="L31">
        <v>32</v>
      </c>
      <c r="M31">
        <v>63030</v>
      </c>
      <c r="N31">
        <v>24348</v>
      </c>
      <c r="O31">
        <v>68</v>
      </c>
      <c r="P31">
        <v>11</v>
      </c>
      <c r="Q31">
        <v>3</v>
      </c>
      <c r="R31">
        <v>20</v>
      </c>
      <c r="S31">
        <v>6</v>
      </c>
      <c r="T31">
        <v>7</v>
      </c>
      <c r="U31" s="168">
        <v>44779</v>
      </c>
      <c r="V31">
        <v>7.5</v>
      </c>
      <c r="W31" s="169" t="s">
        <v>177</v>
      </c>
      <c r="X31">
        <v>1</v>
      </c>
      <c r="Y31">
        <v>2</v>
      </c>
      <c r="Z31" t="s">
        <v>476</v>
      </c>
    </row>
    <row r="32" spans="1:40" x14ac:dyDescent="0.25">
      <c r="A32" s="169" t="s">
        <v>268</v>
      </c>
      <c r="C32" s="169" t="s">
        <v>297</v>
      </c>
      <c r="D32">
        <v>434933625</v>
      </c>
      <c r="F32" s="169" t="s">
        <v>172</v>
      </c>
      <c r="I32" s="169" t="s">
        <v>172</v>
      </c>
      <c r="J32" s="169" t="s">
        <v>172</v>
      </c>
      <c r="K32">
        <v>31</v>
      </c>
      <c r="L32">
        <v>22</v>
      </c>
      <c r="M32">
        <v>60950</v>
      </c>
      <c r="N32">
        <v>24348</v>
      </c>
      <c r="O32">
        <v>66</v>
      </c>
      <c r="P32">
        <v>11</v>
      </c>
      <c r="Q32">
        <v>3</v>
      </c>
      <c r="R32">
        <v>20</v>
      </c>
      <c r="S32">
        <v>6</v>
      </c>
      <c r="T32">
        <v>7</v>
      </c>
      <c r="U32" s="168">
        <v>44765</v>
      </c>
      <c r="V32">
        <v>7.5</v>
      </c>
      <c r="W32" s="169" t="s">
        <v>146</v>
      </c>
      <c r="X32">
        <v>1</v>
      </c>
      <c r="Y32">
        <v>1</v>
      </c>
      <c r="Z32" t="s">
        <v>476</v>
      </c>
    </row>
    <row r="33" spans="1:26" x14ac:dyDescent="0.25">
      <c r="A33" s="169" t="s">
        <v>265</v>
      </c>
      <c r="B33">
        <v>10</v>
      </c>
      <c r="C33" s="169" t="s">
        <v>290</v>
      </c>
      <c r="D33">
        <v>441405607</v>
      </c>
      <c r="F33" s="169" t="s">
        <v>183</v>
      </c>
      <c r="I33" s="169" t="s">
        <v>172</v>
      </c>
      <c r="J33" s="169" t="s">
        <v>172</v>
      </c>
      <c r="K33">
        <v>28</v>
      </c>
      <c r="L33">
        <v>49</v>
      </c>
      <c r="M33">
        <v>294780</v>
      </c>
      <c r="N33">
        <v>64608</v>
      </c>
      <c r="O33">
        <v>182</v>
      </c>
      <c r="P33">
        <v>14</v>
      </c>
      <c r="Q33">
        <v>2</v>
      </c>
      <c r="R33">
        <v>20</v>
      </c>
      <c r="S33">
        <v>6</v>
      </c>
      <c r="T33">
        <v>8</v>
      </c>
      <c r="U33" s="168">
        <v>44769</v>
      </c>
      <c r="V33">
        <v>7.5</v>
      </c>
      <c r="W33" s="169" t="s">
        <v>147</v>
      </c>
      <c r="X33">
        <v>1</v>
      </c>
      <c r="Y33">
        <v>1</v>
      </c>
      <c r="Z33" t="s">
        <v>476</v>
      </c>
    </row>
    <row r="34" spans="1:26" x14ac:dyDescent="0.25">
      <c r="A34" s="169" t="s">
        <v>268</v>
      </c>
      <c r="C34" s="169" t="s">
        <v>297</v>
      </c>
      <c r="D34">
        <v>434933625</v>
      </c>
      <c r="F34" s="169" t="s">
        <v>172</v>
      </c>
      <c r="I34" s="169" t="s">
        <v>172</v>
      </c>
      <c r="J34" s="169" t="s">
        <v>172</v>
      </c>
      <c r="K34">
        <v>31</v>
      </c>
      <c r="L34">
        <v>36</v>
      </c>
      <c r="M34">
        <v>62370</v>
      </c>
      <c r="N34">
        <v>24348</v>
      </c>
      <c r="O34">
        <v>68</v>
      </c>
      <c r="P34">
        <v>11</v>
      </c>
      <c r="Q34">
        <v>3</v>
      </c>
      <c r="R34">
        <v>20</v>
      </c>
      <c r="S34">
        <v>6</v>
      </c>
      <c r="T34">
        <v>7</v>
      </c>
      <c r="U34" s="168">
        <v>44783</v>
      </c>
      <c r="V34">
        <v>8</v>
      </c>
      <c r="W34" s="169" t="s">
        <v>146</v>
      </c>
      <c r="X34">
        <v>1</v>
      </c>
      <c r="Y34">
        <v>3</v>
      </c>
      <c r="Z34" t="s">
        <v>476</v>
      </c>
    </row>
    <row r="35" spans="1:26" x14ac:dyDescent="0.25">
      <c r="A35" s="169" t="s">
        <v>298</v>
      </c>
      <c r="C35" s="169" t="s">
        <v>299</v>
      </c>
      <c r="D35">
        <v>431224460</v>
      </c>
      <c r="F35" s="169" t="s">
        <v>172</v>
      </c>
      <c r="I35" s="169" t="s">
        <v>172</v>
      </c>
      <c r="J35" s="169" t="s">
        <v>172</v>
      </c>
      <c r="K35">
        <v>32</v>
      </c>
      <c r="L35">
        <v>107</v>
      </c>
      <c r="M35">
        <v>67700</v>
      </c>
      <c r="N35">
        <v>26796</v>
      </c>
      <c r="O35">
        <v>17</v>
      </c>
      <c r="P35">
        <v>11</v>
      </c>
      <c r="Q35">
        <v>3</v>
      </c>
      <c r="R35">
        <v>12</v>
      </c>
      <c r="S35">
        <v>7</v>
      </c>
      <c r="T35">
        <v>6</v>
      </c>
      <c r="U35" s="168">
        <v>44765</v>
      </c>
      <c r="V35">
        <v>8</v>
      </c>
      <c r="W35" s="169" t="s">
        <v>147</v>
      </c>
      <c r="X35">
        <v>1</v>
      </c>
      <c r="Y35">
        <v>1</v>
      </c>
      <c r="Z35" t="s">
        <v>476</v>
      </c>
    </row>
    <row r="36" spans="1:26" x14ac:dyDescent="0.25">
      <c r="A36" s="169" t="s">
        <v>190</v>
      </c>
      <c r="C36" s="169" t="s">
        <v>302</v>
      </c>
      <c r="D36">
        <v>438527029</v>
      </c>
      <c r="F36" s="169" t="s">
        <v>172</v>
      </c>
      <c r="H36">
        <v>1</v>
      </c>
      <c r="I36" s="169" t="s">
        <v>172</v>
      </c>
      <c r="J36" s="169" t="s">
        <v>172</v>
      </c>
      <c r="K36">
        <v>30</v>
      </c>
      <c r="L36">
        <v>50</v>
      </c>
      <c r="M36">
        <v>82670</v>
      </c>
      <c r="N36">
        <v>34080</v>
      </c>
      <c r="O36">
        <v>47</v>
      </c>
      <c r="P36">
        <v>7</v>
      </c>
      <c r="Q36">
        <v>6</v>
      </c>
      <c r="R36">
        <v>19</v>
      </c>
      <c r="S36">
        <v>6</v>
      </c>
      <c r="T36">
        <v>7</v>
      </c>
      <c r="U36" s="168">
        <v>44779</v>
      </c>
      <c r="V36">
        <v>8</v>
      </c>
      <c r="W36" s="169" t="s">
        <v>173</v>
      </c>
      <c r="X36">
        <v>1</v>
      </c>
      <c r="Y36">
        <v>2</v>
      </c>
      <c r="Z36" t="s">
        <v>173</v>
      </c>
    </row>
    <row r="37" spans="1:26" x14ac:dyDescent="0.25">
      <c r="A37" s="169" t="s">
        <v>190</v>
      </c>
      <c r="C37" s="169" t="s">
        <v>302</v>
      </c>
      <c r="D37">
        <v>438527029</v>
      </c>
      <c r="F37" s="169" t="s">
        <v>172</v>
      </c>
      <c r="H37">
        <v>1</v>
      </c>
      <c r="I37" s="169" t="s">
        <v>172</v>
      </c>
      <c r="J37" s="169" t="s">
        <v>172</v>
      </c>
      <c r="K37">
        <v>30</v>
      </c>
      <c r="L37">
        <v>54</v>
      </c>
      <c r="M37">
        <v>71380</v>
      </c>
      <c r="N37">
        <v>34080</v>
      </c>
      <c r="O37">
        <v>48</v>
      </c>
      <c r="P37">
        <v>7</v>
      </c>
      <c r="Q37">
        <v>6</v>
      </c>
      <c r="R37">
        <v>20</v>
      </c>
      <c r="S37">
        <v>6</v>
      </c>
      <c r="T37">
        <v>7</v>
      </c>
      <c r="U37" s="168">
        <v>44779</v>
      </c>
      <c r="V37">
        <v>8</v>
      </c>
      <c r="W37" s="169" t="s">
        <v>173</v>
      </c>
      <c r="X37">
        <v>1</v>
      </c>
      <c r="Y37">
        <v>3</v>
      </c>
      <c r="Z37" t="s">
        <v>173</v>
      </c>
    </row>
    <row r="38" spans="1:26" x14ac:dyDescent="0.25">
      <c r="A38" s="169" t="s">
        <v>174</v>
      </c>
      <c r="B38">
        <v>6</v>
      </c>
      <c r="C38" s="169" t="s">
        <v>288</v>
      </c>
      <c r="D38">
        <v>441463617</v>
      </c>
      <c r="F38" s="169" t="s">
        <v>183</v>
      </c>
      <c r="I38" s="169" t="s">
        <v>172</v>
      </c>
      <c r="J38" s="169" t="s">
        <v>172</v>
      </c>
      <c r="K38">
        <v>28</v>
      </c>
      <c r="L38">
        <v>56</v>
      </c>
      <c r="M38">
        <v>218520</v>
      </c>
      <c r="N38">
        <v>37660</v>
      </c>
      <c r="O38">
        <v>183</v>
      </c>
      <c r="P38">
        <v>9</v>
      </c>
      <c r="Q38">
        <v>5</v>
      </c>
      <c r="R38">
        <v>20</v>
      </c>
      <c r="S38">
        <v>6</v>
      </c>
      <c r="T38">
        <v>8</v>
      </c>
      <c r="U38" s="168">
        <v>44779</v>
      </c>
      <c r="V38">
        <v>8</v>
      </c>
      <c r="W38" s="169" t="s">
        <v>146</v>
      </c>
      <c r="X38">
        <v>1</v>
      </c>
      <c r="Y38">
        <v>2</v>
      </c>
      <c r="Z38" t="s">
        <v>476</v>
      </c>
    </row>
    <row r="39" spans="1:26" x14ac:dyDescent="0.25">
      <c r="A39" s="169" t="s">
        <v>186</v>
      </c>
      <c r="B39">
        <v>4</v>
      </c>
      <c r="C39" s="169" t="s">
        <v>285</v>
      </c>
      <c r="D39">
        <v>441501946</v>
      </c>
      <c r="F39" s="169" t="s">
        <v>183</v>
      </c>
      <c r="I39" s="169" t="s">
        <v>172</v>
      </c>
      <c r="J39" s="169" t="s">
        <v>172</v>
      </c>
      <c r="K39">
        <v>28</v>
      </c>
      <c r="L39">
        <v>54</v>
      </c>
      <c r="M39">
        <v>272510</v>
      </c>
      <c r="N39">
        <v>51240</v>
      </c>
      <c r="O39">
        <v>178</v>
      </c>
      <c r="P39">
        <v>10</v>
      </c>
      <c r="Q39">
        <v>5</v>
      </c>
      <c r="R39">
        <v>20</v>
      </c>
      <c r="S39">
        <v>7</v>
      </c>
      <c r="T39">
        <v>8</v>
      </c>
      <c r="U39" s="168">
        <v>44779</v>
      </c>
      <c r="V39">
        <v>8</v>
      </c>
      <c r="W39" s="169" t="s">
        <v>146</v>
      </c>
      <c r="X39">
        <v>1</v>
      </c>
      <c r="Y39">
        <v>2</v>
      </c>
      <c r="Z39" t="s">
        <v>476</v>
      </c>
    </row>
    <row r="40" spans="1:26" x14ac:dyDescent="0.25">
      <c r="A40" s="169" t="s">
        <v>174</v>
      </c>
      <c r="B40">
        <v>8</v>
      </c>
      <c r="C40" s="169" t="s">
        <v>289</v>
      </c>
      <c r="D40">
        <v>442222936</v>
      </c>
      <c r="F40" s="169" t="s">
        <v>183</v>
      </c>
      <c r="I40" s="169" t="s">
        <v>172</v>
      </c>
      <c r="J40" s="169" t="s">
        <v>172</v>
      </c>
      <c r="K40">
        <v>28</v>
      </c>
      <c r="L40">
        <v>11</v>
      </c>
      <c r="M40">
        <v>245390</v>
      </c>
      <c r="N40">
        <v>61170</v>
      </c>
      <c r="O40">
        <v>177</v>
      </c>
      <c r="P40">
        <v>11</v>
      </c>
      <c r="Q40">
        <v>7</v>
      </c>
      <c r="R40">
        <v>20</v>
      </c>
      <c r="S40">
        <v>5</v>
      </c>
      <c r="T40">
        <v>8</v>
      </c>
      <c r="U40" s="168">
        <v>44769</v>
      </c>
      <c r="V40">
        <v>8.5</v>
      </c>
      <c r="W40" s="169" t="s">
        <v>147</v>
      </c>
      <c r="X40">
        <v>1</v>
      </c>
      <c r="Y40">
        <v>1</v>
      </c>
      <c r="Z40" t="s">
        <v>476</v>
      </c>
    </row>
    <row r="41" spans="1:26" x14ac:dyDescent="0.25">
      <c r="A41" s="169" t="s">
        <v>190</v>
      </c>
      <c r="C41" s="169" t="s">
        <v>302</v>
      </c>
      <c r="D41">
        <v>438527029</v>
      </c>
      <c r="F41" s="169" t="s">
        <v>172</v>
      </c>
      <c r="I41" s="169" t="s">
        <v>172</v>
      </c>
      <c r="J41" s="169" t="s">
        <v>172</v>
      </c>
      <c r="K41">
        <v>30</v>
      </c>
      <c r="L41">
        <v>40</v>
      </c>
      <c r="M41">
        <v>86400</v>
      </c>
      <c r="N41">
        <v>34080</v>
      </c>
      <c r="O41">
        <v>46</v>
      </c>
      <c r="P41">
        <v>7</v>
      </c>
      <c r="Q41">
        <v>6</v>
      </c>
      <c r="R41">
        <v>19</v>
      </c>
      <c r="S41">
        <v>6</v>
      </c>
      <c r="T41">
        <v>7</v>
      </c>
      <c r="U41" s="168">
        <v>44769</v>
      </c>
      <c r="V41">
        <v>8.5</v>
      </c>
      <c r="W41" s="169" t="s">
        <v>173</v>
      </c>
      <c r="X41">
        <v>1</v>
      </c>
      <c r="Y41">
        <v>1</v>
      </c>
      <c r="Z41" t="s">
        <v>173</v>
      </c>
    </row>
    <row r="42" spans="1:26" x14ac:dyDescent="0.25">
      <c r="A42" s="169" t="s">
        <v>174</v>
      </c>
      <c r="B42">
        <v>8</v>
      </c>
      <c r="C42" s="169" t="s">
        <v>289</v>
      </c>
      <c r="D42">
        <v>442222936</v>
      </c>
      <c r="F42" s="169" t="s">
        <v>183</v>
      </c>
      <c r="I42" s="169" t="s">
        <v>172</v>
      </c>
      <c r="J42" s="169" t="s">
        <v>172</v>
      </c>
      <c r="K42">
        <v>28</v>
      </c>
      <c r="L42">
        <v>21</v>
      </c>
      <c r="M42">
        <v>273360</v>
      </c>
      <c r="N42">
        <v>61170</v>
      </c>
      <c r="O42">
        <v>178</v>
      </c>
      <c r="P42">
        <v>11</v>
      </c>
      <c r="Q42">
        <v>7</v>
      </c>
      <c r="R42">
        <v>20</v>
      </c>
      <c r="S42">
        <v>6</v>
      </c>
      <c r="T42">
        <v>8</v>
      </c>
      <c r="U42" s="168">
        <v>44779</v>
      </c>
      <c r="V42">
        <v>9</v>
      </c>
      <c r="W42" s="169" t="s">
        <v>147</v>
      </c>
      <c r="X42">
        <v>1</v>
      </c>
      <c r="Y42">
        <v>2</v>
      </c>
      <c r="Z42" t="s">
        <v>476</v>
      </c>
    </row>
    <row r="43" spans="1:26" x14ac:dyDescent="0.25">
      <c r="A43" s="169" t="s">
        <v>174</v>
      </c>
      <c r="B43">
        <v>6</v>
      </c>
      <c r="C43" s="169" t="s">
        <v>288</v>
      </c>
      <c r="D43">
        <v>441463617</v>
      </c>
      <c r="F43" s="169" t="s">
        <v>183</v>
      </c>
      <c r="I43" s="169" t="s">
        <v>172</v>
      </c>
      <c r="J43" s="169" t="s">
        <v>172</v>
      </c>
      <c r="K43">
        <v>28</v>
      </c>
      <c r="L43">
        <v>60</v>
      </c>
      <c r="M43">
        <v>231250</v>
      </c>
      <c r="N43">
        <v>37660</v>
      </c>
      <c r="O43">
        <v>184</v>
      </c>
      <c r="P43">
        <v>9</v>
      </c>
      <c r="Q43">
        <v>5</v>
      </c>
      <c r="R43">
        <v>20</v>
      </c>
      <c r="S43">
        <v>7</v>
      </c>
      <c r="T43">
        <v>8</v>
      </c>
      <c r="U43" s="168">
        <v>44783</v>
      </c>
      <c r="V43">
        <v>9</v>
      </c>
      <c r="W43" s="169" t="s">
        <v>147</v>
      </c>
      <c r="X43">
        <v>1</v>
      </c>
      <c r="Y43">
        <v>3</v>
      </c>
      <c r="Z43" t="s">
        <v>476</v>
      </c>
    </row>
    <row r="44" spans="1:26" x14ac:dyDescent="0.25">
      <c r="A44" s="169" t="s">
        <v>265</v>
      </c>
      <c r="B44">
        <v>10</v>
      </c>
      <c r="C44" s="169" t="s">
        <v>290</v>
      </c>
      <c r="D44">
        <v>441405607</v>
      </c>
      <c r="F44" s="169" t="s">
        <v>183</v>
      </c>
      <c r="H44">
        <v>1</v>
      </c>
      <c r="I44" s="169" t="s">
        <v>172</v>
      </c>
      <c r="J44" s="169" t="s">
        <v>172</v>
      </c>
      <c r="K44">
        <v>28</v>
      </c>
      <c r="L44">
        <v>59</v>
      </c>
      <c r="M44">
        <v>295170</v>
      </c>
      <c r="N44">
        <v>64608</v>
      </c>
      <c r="O44">
        <v>183</v>
      </c>
      <c r="P44">
        <v>14</v>
      </c>
      <c r="Q44">
        <v>2</v>
      </c>
      <c r="R44">
        <v>20</v>
      </c>
      <c r="S44">
        <v>6</v>
      </c>
      <c r="T44">
        <v>8</v>
      </c>
      <c r="U44" s="168">
        <v>44779</v>
      </c>
      <c r="V44">
        <v>9</v>
      </c>
      <c r="W44" s="169" t="s">
        <v>147</v>
      </c>
      <c r="X44">
        <v>1</v>
      </c>
      <c r="Y44">
        <v>2</v>
      </c>
      <c r="Z44" t="s">
        <v>476</v>
      </c>
    </row>
    <row r="45" spans="1:26" x14ac:dyDescent="0.25">
      <c r="A45" s="169" t="s">
        <v>265</v>
      </c>
      <c r="B45">
        <v>10</v>
      </c>
      <c r="C45" s="169" t="s">
        <v>290</v>
      </c>
      <c r="D45">
        <v>441405607</v>
      </c>
      <c r="F45" s="169" t="s">
        <v>183</v>
      </c>
      <c r="I45" s="169" t="s">
        <v>172</v>
      </c>
      <c r="J45" s="169" t="s">
        <v>172</v>
      </c>
      <c r="K45">
        <v>28</v>
      </c>
      <c r="L45">
        <v>63</v>
      </c>
      <c r="M45">
        <v>303280</v>
      </c>
      <c r="N45">
        <v>64608</v>
      </c>
      <c r="O45">
        <v>184</v>
      </c>
      <c r="P45">
        <v>14</v>
      </c>
      <c r="Q45">
        <v>2</v>
      </c>
      <c r="R45">
        <v>20</v>
      </c>
      <c r="S45">
        <v>7</v>
      </c>
      <c r="T45">
        <v>8</v>
      </c>
      <c r="U45" s="168">
        <v>44779</v>
      </c>
      <c r="V45">
        <v>9</v>
      </c>
      <c r="W45" s="169" t="s">
        <v>147</v>
      </c>
      <c r="X45">
        <v>1</v>
      </c>
      <c r="Y45">
        <v>3</v>
      </c>
      <c r="Z45" t="s">
        <v>476</v>
      </c>
    </row>
    <row r="46" spans="1:26" x14ac:dyDescent="0.25">
      <c r="A46" s="169" t="s">
        <v>286</v>
      </c>
      <c r="B46">
        <v>5</v>
      </c>
      <c r="C46" s="169" t="s">
        <v>287</v>
      </c>
      <c r="D46">
        <v>442176787</v>
      </c>
      <c r="F46" s="169" t="s">
        <v>183</v>
      </c>
      <c r="I46" s="169" t="s">
        <v>172</v>
      </c>
      <c r="J46" s="169" t="s">
        <v>172</v>
      </c>
      <c r="K46">
        <v>28</v>
      </c>
      <c r="L46">
        <v>71</v>
      </c>
      <c r="M46">
        <v>263560</v>
      </c>
      <c r="N46">
        <v>50352</v>
      </c>
      <c r="O46">
        <v>179</v>
      </c>
      <c r="P46">
        <v>9</v>
      </c>
      <c r="Q46">
        <v>4</v>
      </c>
      <c r="R46">
        <v>20</v>
      </c>
      <c r="S46">
        <v>6</v>
      </c>
      <c r="T46">
        <v>8</v>
      </c>
      <c r="U46" s="168">
        <v>44783</v>
      </c>
      <c r="V46">
        <v>10</v>
      </c>
      <c r="W46" s="169" t="s">
        <v>147</v>
      </c>
      <c r="X46">
        <v>1</v>
      </c>
      <c r="Y46">
        <v>3</v>
      </c>
      <c r="Z46" t="s">
        <v>476</v>
      </c>
    </row>
    <row r="47" spans="1:26" x14ac:dyDescent="0.25">
      <c r="A47" s="169" t="s">
        <v>291</v>
      </c>
      <c r="B47">
        <v>11</v>
      </c>
      <c r="C47" s="169" t="s">
        <v>292</v>
      </c>
      <c r="D47">
        <v>442222377</v>
      </c>
      <c r="F47" s="169" t="s">
        <v>183</v>
      </c>
      <c r="I47" s="169" t="s">
        <v>172</v>
      </c>
      <c r="J47" s="169" t="s">
        <v>172</v>
      </c>
      <c r="K47">
        <v>28</v>
      </c>
      <c r="L47">
        <v>21</v>
      </c>
      <c r="M47">
        <v>302680</v>
      </c>
      <c r="N47">
        <v>71364</v>
      </c>
      <c r="O47">
        <v>178</v>
      </c>
      <c r="P47">
        <v>11</v>
      </c>
      <c r="Q47">
        <v>6</v>
      </c>
      <c r="R47">
        <v>20</v>
      </c>
      <c r="S47">
        <v>7</v>
      </c>
      <c r="T47">
        <v>8</v>
      </c>
      <c r="U47" s="168">
        <v>44779</v>
      </c>
      <c r="V47">
        <v>10</v>
      </c>
      <c r="W47" s="169" t="s">
        <v>147</v>
      </c>
      <c r="X47">
        <v>1</v>
      </c>
      <c r="Y47">
        <v>2</v>
      </c>
      <c r="Z47" t="s">
        <v>476</v>
      </c>
    </row>
    <row r="48" spans="1:26" x14ac:dyDescent="0.25">
      <c r="A48" s="169" t="s">
        <v>291</v>
      </c>
      <c r="B48">
        <v>11</v>
      </c>
      <c r="C48" s="169" t="s">
        <v>292</v>
      </c>
      <c r="D48">
        <v>442222377</v>
      </c>
      <c r="F48" s="169" t="s">
        <v>183</v>
      </c>
      <c r="I48" s="169" t="s">
        <v>172</v>
      </c>
      <c r="J48" s="169" t="s">
        <v>172</v>
      </c>
      <c r="K48">
        <v>28</v>
      </c>
      <c r="L48">
        <v>11</v>
      </c>
      <c r="M48">
        <v>308240</v>
      </c>
      <c r="N48">
        <v>71364</v>
      </c>
      <c r="O48">
        <v>177</v>
      </c>
      <c r="P48">
        <v>11</v>
      </c>
      <c r="Q48">
        <v>6</v>
      </c>
      <c r="R48">
        <v>20</v>
      </c>
      <c r="S48">
        <v>8</v>
      </c>
      <c r="T48">
        <v>8</v>
      </c>
      <c r="U48" s="168">
        <v>44769</v>
      </c>
      <c r="V48">
        <v>10.5</v>
      </c>
      <c r="W48" s="169" t="s">
        <v>147</v>
      </c>
      <c r="X48">
        <v>1</v>
      </c>
      <c r="Y48">
        <v>1</v>
      </c>
      <c r="Z48" t="s">
        <v>476</v>
      </c>
    </row>
    <row r="49" spans="1:26" x14ac:dyDescent="0.25">
      <c r="A49" s="169" t="s">
        <v>199</v>
      </c>
      <c r="C49" s="169" t="s">
        <v>293</v>
      </c>
      <c r="D49">
        <v>422339587</v>
      </c>
      <c r="E49">
        <v>1</v>
      </c>
      <c r="F49" s="169" t="s">
        <v>172</v>
      </c>
      <c r="I49" s="169" t="s">
        <v>172</v>
      </c>
      <c r="J49" s="169" t="s">
        <v>172</v>
      </c>
      <c r="K49">
        <v>36</v>
      </c>
      <c r="L49">
        <v>9</v>
      </c>
      <c r="M49">
        <v>320</v>
      </c>
      <c r="N49">
        <v>492</v>
      </c>
      <c r="O49">
        <v>62</v>
      </c>
      <c r="P49">
        <v>8</v>
      </c>
      <c r="Q49">
        <v>7</v>
      </c>
      <c r="R49">
        <v>20</v>
      </c>
      <c r="S49">
        <v>6</v>
      </c>
      <c r="T49">
        <v>5</v>
      </c>
      <c r="U49" s="168">
        <v>44769</v>
      </c>
      <c r="V49">
        <v>1.5</v>
      </c>
      <c r="W49" s="169" t="s">
        <v>146</v>
      </c>
      <c r="X49">
        <v>0</v>
      </c>
      <c r="Y49">
        <v>3</v>
      </c>
    </row>
    <row r="50" spans="1:26" x14ac:dyDescent="0.25">
      <c r="A50" s="169" t="s">
        <v>174</v>
      </c>
      <c r="C50" s="169" t="s">
        <v>307</v>
      </c>
      <c r="D50">
        <v>468907924</v>
      </c>
      <c r="F50" s="169" t="s">
        <v>180</v>
      </c>
      <c r="G50">
        <v>1</v>
      </c>
      <c r="I50" s="169" t="s">
        <v>172</v>
      </c>
      <c r="J50" s="169" t="s">
        <v>172</v>
      </c>
      <c r="K50">
        <v>18</v>
      </c>
      <c r="L50">
        <v>7</v>
      </c>
      <c r="M50">
        <v>410</v>
      </c>
      <c r="N50">
        <v>310</v>
      </c>
      <c r="O50">
        <v>15</v>
      </c>
      <c r="P50">
        <v>1</v>
      </c>
      <c r="Q50">
        <v>4</v>
      </c>
      <c r="R50">
        <v>20</v>
      </c>
      <c r="S50">
        <v>6</v>
      </c>
      <c r="T50">
        <v>7</v>
      </c>
      <c r="U50" s="168">
        <v>44783</v>
      </c>
      <c r="V50">
        <v>1.5</v>
      </c>
      <c r="W50" s="169" t="s">
        <v>173</v>
      </c>
      <c r="X50">
        <v>0</v>
      </c>
      <c r="Y50">
        <v>3</v>
      </c>
    </row>
    <row r="51" spans="1:26" x14ac:dyDescent="0.25">
      <c r="A51" s="169" t="s">
        <v>298</v>
      </c>
      <c r="C51" s="169" t="s">
        <v>299</v>
      </c>
      <c r="D51">
        <v>431224460</v>
      </c>
      <c r="F51" s="169" t="s">
        <v>172</v>
      </c>
      <c r="I51" s="169" t="s">
        <v>172</v>
      </c>
      <c r="J51" s="169" t="s">
        <v>172</v>
      </c>
      <c r="K51">
        <v>33</v>
      </c>
      <c r="L51">
        <v>9</v>
      </c>
      <c r="M51">
        <v>45470</v>
      </c>
      <c r="N51">
        <v>22464</v>
      </c>
      <c r="O51">
        <v>19</v>
      </c>
      <c r="P51">
        <v>11</v>
      </c>
      <c r="Q51">
        <v>3</v>
      </c>
      <c r="R51">
        <v>13</v>
      </c>
      <c r="S51">
        <v>7</v>
      </c>
      <c r="T51">
        <v>6</v>
      </c>
      <c r="U51" s="168">
        <v>44783</v>
      </c>
      <c r="V51">
        <v>6.5</v>
      </c>
      <c r="W51" s="169" t="s">
        <v>181</v>
      </c>
      <c r="X51">
        <v>1</v>
      </c>
      <c r="Y51">
        <v>3</v>
      </c>
      <c r="Z51" t="s">
        <v>476</v>
      </c>
    </row>
    <row r="52" spans="1:26" x14ac:dyDescent="0.25">
      <c r="A52" s="169" t="s">
        <v>303</v>
      </c>
      <c r="C52" s="169" t="s">
        <v>304</v>
      </c>
      <c r="D52">
        <v>435688371</v>
      </c>
      <c r="F52" s="169" t="s">
        <v>176</v>
      </c>
      <c r="I52" s="169" t="s">
        <v>172</v>
      </c>
      <c r="J52" s="169" t="s">
        <v>172</v>
      </c>
      <c r="K52">
        <v>31</v>
      </c>
      <c r="L52">
        <v>37</v>
      </c>
      <c r="M52">
        <v>82900</v>
      </c>
      <c r="N52">
        <v>33036</v>
      </c>
      <c r="O52">
        <v>69</v>
      </c>
      <c r="P52">
        <v>11</v>
      </c>
      <c r="Q52">
        <v>2</v>
      </c>
      <c r="R52">
        <v>20</v>
      </c>
      <c r="S52">
        <v>6</v>
      </c>
      <c r="T52">
        <v>7</v>
      </c>
      <c r="U52" s="168">
        <v>44783</v>
      </c>
      <c r="V52">
        <v>6.5</v>
      </c>
      <c r="W52" s="169" t="s">
        <v>146</v>
      </c>
      <c r="X52">
        <v>1</v>
      </c>
      <c r="Y52">
        <v>3</v>
      </c>
      <c r="Z52" t="s">
        <v>476</v>
      </c>
    </row>
    <row r="53" spans="1:26" x14ac:dyDescent="0.25">
      <c r="A53" s="169" t="s">
        <v>291</v>
      </c>
      <c r="B53">
        <v>11</v>
      </c>
      <c r="C53" s="169" t="s">
        <v>292</v>
      </c>
      <c r="D53">
        <v>442222377</v>
      </c>
      <c r="F53" s="169" t="s">
        <v>183</v>
      </c>
      <c r="I53" s="169" t="s">
        <v>172</v>
      </c>
      <c r="J53" s="169" t="s">
        <v>172</v>
      </c>
      <c r="K53">
        <v>28</v>
      </c>
      <c r="L53">
        <v>25</v>
      </c>
      <c r="M53">
        <v>299730</v>
      </c>
      <c r="N53">
        <v>71364</v>
      </c>
      <c r="O53">
        <v>179</v>
      </c>
      <c r="P53">
        <v>11</v>
      </c>
      <c r="Q53">
        <v>6</v>
      </c>
      <c r="R53">
        <v>20</v>
      </c>
      <c r="S53">
        <v>7</v>
      </c>
      <c r="T53">
        <v>8</v>
      </c>
      <c r="U53" s="168">
        <v>44783</v>
      </c>
      <c r="V53">
        <v>7.5</v>
      </c>
      <c r="W53" s="169" t="s">
        <v>207</v>
      </c>
      <c r="X53">
        <v>1</v>
      </c>
      <c r="Y53">
        <v>3</v>
      </c>
      <c r="Z53" t="s">
        <v>476</v>
      </c>
    </row>
    <row r="54" spans="1:26" x14ac:dyDescent="0.25">
      <c r="A54" s="169" t="s">
        <v>186</v>
      </c>
      <c r="B54">
        <v>4</v>
      </c>
      <c r="C54" s="169" t="s">
        <v>285</v>
      </c>
      <c r="D54">
        <v>441501946</v>
      </c>
      <c r="F54" s="169" t="s">
        <v>183</v>
      </c>
      <c r="I54" s="169" t="s">
        <v>172</v>
      </c>
      <c r="J54" s="169" t="s">
        <v>172</v>
      </c>
      <c r="K54">
        <v>28</v>
      </c>
      <c r="L54">
        <v>58</v>
      </c>
      <c r="M54">
        <v>281760</v>
      </c>
      <c r="N54">
        <v>51240</v>
      </c>
      <c r="O54">
        <v>179</v>
      </c>
      <c r="P54">
        <v>10</v>
      </c>
      <c r="Q54">
        <v>5</v>
      </c>
      <c r="R54">
        <v>20</v>
      </c>
      <c r="S54">
        <v>7</v>
      </c>
      <c r="T54">
        <v>8</v>
      </c>
      <c r="U54" s="168">
        <v>44783</v>
      </c>
      <c r="V54">
        <v>9.5</v>
      </c>
      <c r="W54" s="169" t="s">
        <v>147</v>
      </c>
      <c r="X54">
        <v>1</v>
      </c>
      <c r="Y54">
        <v>3</v>
      </c>
      <c r="Z54" t="s">
        <v>476</v>
      </c>
    </row>
  </sheetData>
  <phoneticPr fontId="22" type="noConversion"/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39E-68DA-4084-83CE-37DAD43ED6DE}">
  <sheetPr>
    <tabColor theme="9" tint="0.79998168889431442"/>
  </sheetPr>
  <dimension ref="A1:AQ104"/>
  <sheetViews>
    <sheetView zoomScale="80" zoomScaleNormal="80" workbookViewId="0">
      <pane xSplit="3" ySplit="1" topLeftCell="AA8" activePane="bottomRight" state="frozen"/>
      <selection pane="topRight" activeCell="D1" sqref="D1"/>
      <selection pane="bottomLeft" activeCell="A2" sqref="A2"/>
      <selection pane="bottomRight" activeCell="AG13" sqref="AG13"/>
    </sheetView>
  </sheetViews>
  <sheetFormatPr baseColWidth="10" defaultRowHeight="15" x14ac:dyDescent="0.25"/>
  <cols>
    <col min="1" max="1" width="11.42578125" customWidth="1"/>
    <col min="2" max="2" width="4.5703125" customWidth="1"/>
    <col min="3" max="3" width="25.42578125" bestFit="1" customWidth="1"/>
    <col min="4" max="4" width="15.5703125" bestFit="1" customWidth="1"/>
    <col min="5" max="5" width="4.140625" customWidth="1"/>
    <col min="6" max="6" width="14.28515625" bestFit="1" customWidth="1"/>
    <col min="7" max="10" width="3.42578125" customWidth="1"/>
    <col min="11" max="11" width="6.7109375" customWidth="1"/>
    <col min="12" max="12" width="7" bestFit="1" customWidth="1"/>
    <col min="13" max="13" width="7.7109375" bestFit="1" customWidth="1"/>
    <col min="14" max="14" width="9.28515625" bestFit="1" customWidth="1"/>
    <col min="15" max="15" width="8.28515625" customWidth="1"/>
    <col min="16" max="18" width="6.42578125" customWidth="1"/>
    <col min="19" max="20" width="5.7109375" customWidth="1"/>
    <col min="21" max="21" width="21.7109375" bestFit="1" customWidth="1"/>
    <col min="22" max="23" width="7.85546875" customWidth="1"/>
    <col min="29" max="29" width="34.42578125" bestFit="1" customWidth="1"/>
    <col min="30" max="30" width="15" bestFit="1" customWidth="1"/>
    <col min="31" max="31" width="23.140625" bestFit="1" customWidth="1"/>
    <col min="32" max="32" width="6.5703125" bestFit="1" customWidth="1"/>
    <col min="33" max="34" width="7.85546875" customWidth="1"/>
    <col min="35" max="35" width="12.85546875" bestFit="1" customWidth="1"/>
    <col min="36" max="36" width="23.42578125" bestFit="1" customWidth="1"/>
    <col min="37" max="37" width="29.42578125" bestFit="1" customWidth="1"/>
    <col min="38" max="38" width="15" bestFit="1" customWidth="1"/>
    <col min="39" max="39" width="23.140625" bestFit="1" customWidth="1"/>
    <col min="40" max="42" width="4.42578125" bestFit="1" customWidth="1"/>
    <col min="43" max="43" width="12.85546875" bestFit="1" customWidth="1"/>
    <col min="44" max="45" width="4.42578125" bestFit="1" customWidth="1"/>
    <col min="46" max="46" width="7.28515625" bestFit="1" customWidth="1"/>
    <col min="47" max="48" width="4.42578125" bestFit="1" customWidth="1"/>
    <col min="49" max="49" width="3.42578125" bestFit="1" customWidth="1"/>
    <col min="50" max="50" width="7.28515625" bestFit="1" customWidth="1"/>
    <col min="51" max="51" width="12.8554687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1</v>
      </c>
    </row>
    <row r="2" spans="1:37" x14ac:dyDescent="0.25">
      <c r="A2" s="169" t="s">
        <v>174</v>
      </c>
      <c r="B2">
        <v>5</v>
      </c>
      <c r="C2" s="169" t="s">
        <v>318</v>
      </c>
      <c r="D2">
        <v>428964423</v>
      </c>
      <c r="F2" s="169" t="s">
        <v>171</v>
      </c>
      <c r="G2">
        <v>1</v>
      </c>
      <c r="H2" s="169" t="s">
        <v>172</v>
      </c>
      <c r="J2" s="169" t="s">
        <v>172</v>
      </c>
      <c r="K2">
        <v>33</v>
      </c>
      <c r="L2">
        <v>91</v>
      </c>
      <c r="M2">
        <v>93850</v>
      </c>
      <c r="N2">
        <v>30090</v>
      </c>
      <c r="O2">
        <v>269</v>
      </c>
      <c r="P2">
        <v>14</v>
      </c>
      <c r="Q2">
        <v>3</v>
      </c>
      <c r="R2">
        <v>20</v>
      </c>
      <c r="S2">
        <v>7</v>
      </c>
      <c r="T2">
        <v>8</v>
      </c>
      <c r="U2" s="168">
        <v>44818</v>
      </c>
      <c r="V2">
        <v>11.5</v>
      </c>
      <c r="W2" s="169" t="s">
        <v>147</v>
      </c>
      <c r="X2">
        <v>1</v>
      </c>
      <c r="Y2">
        <v>9</v>
      </c>
      <c r="Z2" t="s">
        <v>242</v>
      </c>
      <c r="AC2" s="171" t="s">
        <v>224</v>
      </c>
      <c r="AD2" s="172">
        <v>1</v>
      </c>
    </row>
    <row r="3" spans="1:37" x14ac:dyDescent="0.25">
      <c r="A3" s="169" t="s">
        <v>174</v>
      </c>
      <c r="B3">
        <v>6</v>
      </c>
      <c r="C3" s="169" t="s">
        <v>319</v>
      </c>
      <c r="D3">
        <v>425551707</v>
      </c>
      <c r="F3" s="169" t="s">
        <v>176</v>
      </c>
      <c r="G3">
        <v>1</v>
      </c>
      <c r="H3" s="169" t="s">
        <v>172</v>
      </c>
      <c r="J3" s="169" t="s">
        <v>172</v>
      </c>
      <c r="K3">
        <v>35</v>
      </c>
      <c r="L3">
        <v>44</v>
      </c>
      <c r="M3">
        <v>37930</v>
      </c>
      <c r="N3">
        <v>15350</v>
      </c>
      <c r="O3">
        <v>294</v>
      </c>
      <c r="P3">
        <v>15</v>
      </c>
      <c r="Q3">
        <v>4</v>
      </c>
      <c r="R3">
        <v>20</v>
      </c>
      <c r="S3">
        <v>7</v>
      </c>
      <c r="T3">
        <v>7</v>
      </c>
      <c r="U3" s="168">
        <v>44818</v>
      </c>
      <c r="V3">
        <v>10.5</v>
      </c>
      <c r="W3" s="169" t="s">
        <v>147</v>
      </c>
      <c r="X3">
        <v>1</v>
      </c>
      <c r="Y3">
        <v>9</v>
      </c>
      <c r="Z3" t="s">
        <v>478</v>
      </c>
    </row>
    <row r="4" spans="1:37" x14ac:dyDescent="0.25">
      <c r="A4" s="169" t="s">
        <v>174</v>
      </c>
      <c r="C4" s="169" t="s">
        <v>320</v>
      </c>
      <c r="D4">
        <v>436695906</v>
      </c>
      <c r="F4" s="169" t="s">
        <v>183</v>
      </c>
      <c r="H4" s="169" t="s">
        <v>172</v>
      </c>
      <c r="J4" s="169" t="s">
        <v>172</v>
      </c>
      <c r="K4">
        <v>31</v>
      </c>
      <c r="L4">
        <v>65</v>
      </c>
      <c r="M4">
        <v>46230</v>
      </c>
      <c r="N4">
        <v>14170</v>
      </c>
      <c r="O4">
        <v>151</v>
      </c>
      <c r="P4">
        <v>10</v>
      </c>
      <c r="Q4">
        <v>5</v>
      </c>
      <c r="R4">
        <v>20</v>
      </c>
      <c r="S4">
        <v>6</v>
      </c>
      <c r="T4">
        <v>8</v>
      </c>
      <c r="U4" s="168">
        <v>44807</v>
      </c>
      <c r="V4">
        <v>9.5</v>
      </c>
      <c r="W4" s="169" t="s">
        <v>148</v>
      </c>
      <c r="X4">
        <v>1</v>
      </c>
      <c r="Y4">
        <v>9</v>
      </c>
      <c r="Z4" t="s">
        <v>148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174</v>
      </c>
      <c r="C5" s="169" t="s">
        <v>332</v>
      </c>
      <c r="D5">
        <v>425348003</v>
      </c>
      <c r="F5" s="169" t="s">
        <v>183</v>
      </c>
      <c r="H5" s="169" t="s">
        <v>172</v>
      </c>
      <c r="J5" s="169" t="s">
        <v>172</v>
      </c>
      <c r="K5">
        <v>35</v>
      </c>
      <c r="L5">
        <v>54</v>
      </c>
      <c r="M5">
        <v>12390</v>
      </c>
      <c r="N5">
        <v>9570</v>
      </c>
      <c r="O5">
        <v>181</v>
      </c>
      <c r="P5">
        <v>13</v>
      </c>
      <c r="Q5">
        <v>2</v>
      </c>
      <c r="R5">
        <v>20</v>
      </c>
      <c r="S5">
        <v>3</v>
      </c>
      <c r="T5">
        <v>5</v>
      </c>
      <c r="U5" s="168">
        <v>44783</v>
      </c>
      <c r="V5">
        <v>9.5</v>
      </c>
      <c r="W5" s="169" t="s">
        <v>201</v>
      </c>
      <c r="X5">
        <v>1</v>
      </c>
      <c r="Y5">
        <v>9</v>
      </c>
      <c r="Z5" t="s">
        <v>241</v>
      </c>
      <c r="AC5" s="172"/>
      <c r="AD5" s="169">
        <v>2</v>
      </c>
      <c r="AE5" s="173">
        <v>30.5</v>
      </c>
      <c r="AF5" s="173">
        <v>54</v>
      </c>
      <c r="AG5" s="173">
        <v>87020</v>
      </c>
      <c r="AH5" s="173">
        <v>31092</v>
      </c>
      <c r="AI5" s="173">
        <v>6.5</v>
      </c>
      <c r="AJ5" s="173">
        <v>9.5</v>
      </c>
      <c r="AK5" s="173">
        <v>8</v>
      </c>
    </row>
    <row r="6" spans="1:37" x14ac:dyDescent="0.25">
      <c r="A6" s="169" t="s">
        <v>263</v>
      </c>
      <c r="C6" s="169" t="s">
        <v>334</v>
      </c>
      <c r="D6">
        <v>431152208</v>
      </c>
      <c r="F6" s="169" t="s">
        <v>172</v>
      </c>
      <c r="H6" s="169" t="s">
        <v>172</v>
      </c>
      <c r="I6">
        <v>1</v>
      </c>
      <c r="J6" s="169" t="s">
        <v>172</v>
      </c>
      <c r="K6">
        <v>33</v>
      </c>
      <c r="L6">
        <v>16</v>
      </c>
      <c r="M6">
        <v>29590</v>
      </c>
      <c r="N6">
        <v>12096</v>
      </c>
      <c r="O6">
        <v>27</v>
      </c>
      <c r="P6">
        <v>11</v>
      </c>
      <c r="Q6">
        <v>5</v>
      </c>
      <c r="R6">
        <v>15</v>
      </c>
      <c r="S6">
        <v>7</v>
      </c>
      <c r="T6">
        <v>7</v>
      </c>
      <c r="U6" s="168">
        <v>44811</v>
      </c>
      <c r="V6">
        <v>9.5</v>
      </c>
      <c r="W6" s="169" t="s">
        <v>148</v>
      </c>
      <c r="X6">
        <v>1</v>
      </c>
      <c r="Y6">
        <v>9</v>
      </c>
      <c r="Z6" t="s">
        <v>148</v>
      </c>
      <c r="AC6" s="172" t="s">
        <v>183</v>
      </c>
      <c r="AD6" s="169">
        <v>6</v>
      </c>
      <c r="AE6" s="173">
        <v>29.666666666666668</v>
      </c>
      <c r="AF6" s="173">
        <v>46.5</v>
      </c>
      <c r="AG6" s="173">
        <v>384140</v>
      </c>
      <c r="AH6" s="173">
        <v>65200</v>
      </c>
      <c r="AI6" s="173">
        <v>6.833333333333333</v>
      </c>
      <c r="AJ6" s="173">
        <v>9.3333333333333339</v>
      </c>
      <c r="AK6" s="173">
        <v>8</v>
      </c>
    </row>
    <row r="7" spans="1:37" x14ac:dyDescent="0.25">
      <c r="A7" s="169" t="s">
        <v>174</v>
      </c>
      <c r="C7" s="169" t="s">
        <v>322</v>
      </c>
      <c r="D7">
        <v>425763529</v>
      </c>
      <c r="F7" s="169" t="s">
        <v>171</v>
      </c>
      <c r="H7" s="169" t="s">
        <v>172</v>
      </c>
      <c r="J7" s="169" t="s">
        <v>172</v>
      </c>
      <c r="K7">
        <v>35</v>
      </c>
      <c r="L7">
        <v>35</v>
      </c>
      <c r="M7">
        <v>6380</v>
      </c>
      <c r="N7">
        <v>6800</v>
      </c>
      <c r="O7">
        <v>201</v>
      </c>
      <c r="P7">
        <v>14</v>
      </c>
      <c r="Q7">
        <v>5</v>
      </c>
      <c r="R7">
        <v>20</v>
      </c>
      <c r="S7">
        <v>7</v>
      </c>
      <c r="T7">
        <v>7</v>
      </c>
      <c r="U7" s="168">
        <v>44818</v>
      </c>
      <c r="V7">
        <v>8.5</v>
      </c>
      <c r="W7" s="169" t="s">
        <v>173</v>
      </c>
      <c r="Y7">
        <v>9</v>
      </c>
      <c r="Z7" t="s">
        <v>173</v>
      </c>
      <c r="AC7" s="172" t="s">
        <v>171</v>
      </c>
      <c r="AD7" s="169">
        <v>1</v>
      </c>
      <c r="AE7" s="173">
        <v>33</v>
      </c>
      <c r="AF7" s="173">
        <v>42</v>
      </c>
      <c r="AG7" s="173">
        <v>92060</v>
      </c>
      <c r="AH7" s="173">
        <v>30090</v>
      </c>
      <c r="AI7" s="173">
        <v>7</v>
      </c>
      <c r="AJ7" s="173">
        <v>14</v>
      </c>
      <c r="AK7" s="173">
        <v>8</v>
      </c>
    </row>
    <row r="8" spans="1:37" x14ac:dyDescent="0.25">
      <c r="A8" s="169" t="s">
        <v>174</v>
      </c>
      <c r="C8" s="169" t="s">
        <v>337</v>
      </c>
      <c r="D8">
        <v>435294829</v>
      </c>
      <c r="F8" s="169" t="s">
        <v>183</v>
      </c>
      <c r="H8" s="169" t="s">
        <v>172</v>
      </c>
      <c r="I8">
        <v>1</v>
      </c>
      <c r="J8" s="169" t="s">
        <v>172</v>
      </c>
      <c r="K8">
        <v>32</v>
      </c>
      <c r="L8">
        <v>6</v>
      </c>
      <c r="M8">
        <v>43130</v>
      </c>
      <c r="N8">
        <v>7390</v>
      </c>
      <c r="O8">
        <v>182</v>
      </c>
      <c r="P8">
        <v>8</v>
      </c>
      <c r="Q8">
        <v>1</v>
      </c>
      <c r="R8">
        <v>20</v>
      </c>
      <c r="S8">
        <v>5</v>
      </c>
      <c r="T8">
        <v>8</v>
      </c>
      <c r="U8" s="168">
        <v>44818</v>
      </c>
      <c r="V8">
        <v>8.5</v>
      </c>
      <c r="W8" s="169" t="s">
        <v>201</v>
      </c>
      <c r="X8">
        <v>1</v>
      </c>
      <c r="Y8">
        <v>9</v>
      </c>
      <c r="Z8" t="s">
        <v>241</v>
      </c>
      <c r="AC8" s="172" t="s">
        <v>176</v>
      </c>
      <c r="AD8" s="169">
        <v>4</v>
      </c>
      <c r="AE8" s="173">
        <v>30.75</v>
      </c>
      <c r="AF8" s="173">
        <v>59.25</v>
      </c>
      <c r="AG8" s="173">
        <v>505540</v>
      </c>
      <c r="AH8" s="173">
        <v>118002</v>
      </c>
      <c r="AI8" s="173">
        <v>6.5</v>
      </c>
      <c r="AJ8" s="173">
        <v>10.25</v>
      </c>
      <c r="AK8" s="173">
        <v>8</v>
      </c>
    </row>
    <row r="9" spans="1:37" x14ac:dyDescent="0.25">
      <c r="A9" s="169" t="s">
        <v>268</v>
      </c>
      <c r="C9" s="169" t="s">
        <v>328</v>
      </c>
      <c r="D9">
        <v>439421251</v>
      </c>
      <c r="F9" s="169" t="s">
        <v>172</v>
      </c>
      <c r="H9" s="169" t="s">
        <v>172</v>
      </c>
      <c r="J9" s="169" t="s">
        <v>172</v>
      </c>
      <c r="K9">
        <v>29</v>
      </c>
      <c r="L9">
        <v>78</v>
      </c>
      <c r="M9">
        <v>37830</v>
      </c>
      <c r="N9">
        <v>14772</v>
      </c>
      <c r="O9">
        <v>83</v>
      </c>
      <c r="P9">
        <v>8</v>
      </c>
      <c r="Q9">
        <v>3</v>
      </c>
      <c r="R9">
        <v>20</v>
      </c>
      <c r="S9">
        <v>6</v>
      </c>
      <c r="T9">
        <v>8</v>
      </c>
      <c r="U9" s="168">
        <v>44797</v>
      </c>
      <c r="V9">
        <v>7.5</v>
      </c>
      <c r="W9" s="169" t="s">
        <v>173</v>
      </c>
      <c r="X9">
        <v>1</v>
      </c>
      <c r="Y9">
        <v>9</v>
      </c>
      <c r="Z9" t="s">
        <v>173</v>
      </c>
      <c r="AC9" s="172" t="s">
        <v>180</v>
      </c>
      <c r="AD9" s="169">
        <v>5</v>
      </c>
      <c r="AE9" s="173">
        <v>33</v>
      </c>
      <c r="AF9" s="173">
        <v>37.6</v>
      </c>
      <c r="AG9" s="173">
        <v>205740</v>
      </c>
      <c r="AH9" s="173">
        <v>53370</v>
      </c>
      <c r="AI9" s="173">
        <v>6.4</v>
      </c>
      <c r="AJ9" s="173">
        <v>10.6</v>
      </c>
      <c r="AK9" s="173">
        <v>7.6</v>
      </c>
    </row>
    <row r="10" spans="1:37" x14ac:dyDescent="0.25">
      <c r="A10" s="169" t="s">
        <v>174</v>
      </c>
      <c r="B10">
        <v>1</v>
      </c>
      <c r="C10" s="169" t="s">
        <v>315</v>
      </c>
      <c r="D10">
        <v>424047074</v>
      </c>
      <c r="F10" s="169" t="s">
        <v>180</v>
      </c>
      <c r="G10">
        <v>1</v>
      </c>
      <c r="H10" s="169" t="s">
        <v>172</v>
      </c>
      <c r="J10" s="169" t="s">
        <v>172</v>
      </c>
      <c r="K10">
        <v>35</v>
      </c>
      <c r="L10">
        <v>91</v>
      </c>
      <c r="M10">
        <v>26780</v>
      </c>
      <c r="N10">
        <v>12430</v>
      </c>
      <c r="O10">
        <v>300</v>
      </c>
      <c r="P10">
        <v>16</v>
      </c>
      <c r="Q10">
        <v>3</v>
      </c>
      <c r="R10">
        <v>20</v>
      </c>
      <c r="S10">
        <v>5</v>
      </c>
      <c r="T10">
        <v>7</v>
      </c>
      <c r="U10" s="168">
        <v>44818</v>
      </c>
      <c r="V10">
        <v>7.5</v>
      </c>
      <c r="W10" s="169" t="s">
        <v>181</v>
      </c>
      <c r="X10">
        <v>1</v>
      </c>
      <c r="Y10">
        <v>9</v>
      </c>
      <c r="Z10" t="s">
        <v>478</v>
      </c>
      <c r="AC10" s="172" t="s">
        <v>229</v>
      </c>
      <c r="AD10" s="169">
        <v>18</v>
      </c>
      <c r="AE10" s="173">
        <v>31.111111111111111</v>
      </c>
      <c r="AF10" s="173">
        <v>47.444444444444443</v>
      </c>
      <c r="AG10" s="173">
        <v>1274500</v>
      </c>
      <c r="AH10" s="173">
        <v>297754</v>
      </c>
      <c r="AI10" s="173">
        <v>6.6111111111111107</v>
      </c>
      <c r="AJ10" s="173">
        <v>10.166666666666666</v>
      </c>
      <c r="AK10" s="173">
        <v>7.8888888888888893</v>
      </c>
    </row>
    <row r="11" spans="1:37" x14ac:dyDescent="0.25">
      <c r="A11" s="169" t="s">
        <v>174</v>
      </c>
      <c r="C11" s="169" t="s">
        <v>329</v>
      </c>
      <c r="D11">
        <v>435350188</v>
      </c>
      <c r="F11" s="169" t="s">
        <v>176</v>
      </c>
      <c r="G11">
        <v>1</v>
      </c>
      <c r="H11" s="169" t="s">
        <v>172</v>
      </c>
      <c r="J11" s="169" t="s">
        <v>172</v>
      </c>
      <c r="K11">
        <v>31</v>
      </c>
      <c r="L11">
        <v>58</v>
      </c>
      <c r="M11">
        <v>108660</v>
      </c>
      <c r="N11">
        <v>22560</v>
      </c>
      <c r="O11">
        <v>232</v>
      </c>
      <c r="P11">
        <v>12</v>
      </c>
      <c r="Q11">
        <v>6</v>
      </c>
      <c r="R11">
        <v>20</v>
      </c>
      <c r="S11">
        <v>6</v>
      </c>
      <c r="T11">
        <v>8</v>
      </c>
      <c r="U11" s="168">
        <v>44818</v>
      </c>
      <c r="V11">
        <v>7.5</v>
      </c>
      <c r="W11" s="169" t="s">
        <v>207</v>
      </c>
      <c r="X11">
        <v>1</v>
      </c>
      <c r="Y11">
        <v>9</v>
      </c>
      <c r="Z11" t="s">
        <v>242</v>
      </c>
    </row>
    <row r="12" spans="1:37" x14ac:dyDescent="0.25">
      <c r="A12" s="169" t="s">
        <v>174</v>
      </c>
      <c r="C12" s="169" t="s">
        <v>327</v>
      </c>
      <c r="D12">
        <v>431230656</v>
      </c>
      <c r="F12" s="169" t="s">
        <v>180</v>
      </c>
      <c r="H12" s="169" t="s">
        <v>172</v>
      </c>
      <c r="J12" s="169" t="s">
        <v>172</v>
      </c>
      <c r="K12">
        <v>33</v>
      </c>
      <c r="L12">
        <v>51</v>
      </c>
      <c r="M12">
        <v>14190</v>
      </c>
      <c r="N12">
        <v>12170</v>
      </c>
      <c r="O12">
        <v>121</v>
      </c>
      <c r="P12">
        <v>8</v>
      </c>
      <c r="Q12">
        <v>3</v>
      </c>
      <c r="R12">
        <v>20</v>
      </c>
      <c r="S12">
        <v>6</v>
      </c>
      <c r="T12">
        <v>7</v>
      </c>
      <c r="U12" s="168">
        <v>44793</v>
      </c>
      <c r="V12">
        <v>4.5</v>
      </c>
      <c r="W12" s="169" t="s">
        <v>146</v>
      </c>
      <c r="X12">
        <v>1</v>
      </c>
      <c r="Y12">
        <v>9</v>
      </c>
      <c r="Z12" t="s">
        <v>146</v>
      </c>
    </row>
    <row r="13" spans="1:37" x14ac:dyDescent="0.25">
      <c r="A13" s="169" t="s">
        <v>174</v>
      </c>
      <c r="C13" s="169" t="s">
        <v>330</v>
      </c>
      <c r="D13">
        <v>461786415</v>
      </c>
      <c r="F13" s="169" t="s">
        <v>183</v>
      </c>
      <c r="G13">
        <v>1</v>
      </c>
      <c r="H13" s="169" t="s">
        <v>172</v>
      </c>
      <c r="J13" s="169" t="s">
        <v>172</v>
      </c>
      <c r="K13">
        <v>20</v>
      </c>
      <c r="L13">
        <v>78</v>
      </c>
      <c r="M13">
        <v>4690</v>
      </c>
      <c r="N13">
        <v>1270</v>
      </c>
      <c r="O13">
        <v>57</v>
      </c>
      <c r="P13">
        <v>2</v>
      </c>
      <c r="Q13">
        <v>2</v>
      </c>
      <c r="R13">
        <v>20</v>
      </c>
      <c r="S13">
        <v>4</v>
      </c>
      <c r="T13">
        <v>8</v>
      </c>
      <c r="U13" s="168">
        <v>44765</v>
      </c>
      <c r="V13">
        <v>4.5</v>
      </c>
      <c r="W13" s="169" t="s">
        <v>147</v>
      </c>
      <c r="Y13">
        <v>9</v>
      </c>
    </row>
    <row r="14" spans="1:37" x14ac:dyDescent="0.25">
      <c r="A14" s="169" t="s">
        <v>174</v>
      </c>
      <c r="C14" s="169" t="s">
        <v>339</v>
      </c>
      <c r="D14">
        <v>442335004</v>
      </c>
      <c r="F14" s="169" t="s">
        <v>176</v>
      </c>
      <c r="H14" s="169" t="s">
        <v>172</v>
      </c>
      <c r="J14" s="169" t="s">
        <v>172</v>
      </c>
      <c r="K14">
        <v>28</v>
      </c>
      <c r="L14">
        <v>78</v>
      </c>
      <c r="M14">
        <v>85730</v>
      </c>
      <c r="N14">
        <v>35480</v>
      </c>
      <c r="O14">
        <v>121</v>
      </c>
      <c r="P14">
        <v>4</v>
      </c>
      <c r="Q14">
        <v>4</v>
      </c>
      <c r="R14">
        <v>20</v>
      </c>
      <c r="S14">
        <v>6</v>
      </c>
      <c r="T14">
        <v>8</v>
      </c>
      <c r="U14" s="168">
        <v>44765</v>
      </c>
      <c r="V14">
        <v>2.5</v>
      </c>
      <c r="W14" s="169" t="s">
        <v>146</v>
      </c>
      <c r="X14">
        <v>1</v>
      </c>
      <c r="Y14">
        <v>9</v>
      </c>
      <c r="Z14" t="s">
        <v>506</v>
      </c>
    </row>
    <row r="15" spans="1:37" x14ac:dyDescent="0.25">
      <c r="A15" s="169" t="s">
        <v>174</v>
      </c>
      <c r="C15" s="169" t="s">
        <v>329</v>
      </c>
      <c r="D15">
        <v>435350188</v>
      </c>
      <c r="F15" s="169" t="s">
        <v>176</v>
      </c>
      <c r="G15">
        <v>1</v>
      </c>
      <c r="J15" s="169" t="s">
        <v>172</v>
      </c>
      <c r="K15">
        <v>31</v>
      </c>
      <c r="L15">
        <v>9</v>
      </c>
      <c r="M15">
        <v>129900</v>
      </c>
      <c r="N15">
        <v>22560</v>
      </c>
      <c r="O15">
        <v>225</v>
      </c>
      <c r="P15">
        <v>11</v>
      </c>
      <c r="Q15">
        <v>6</v>
      </c>
      <c r="R15">
        <v>20</v>
      </c>
      <c r="S15">
        <v>8</v>
      </c>
      <c r="T15">
        <v>8</v>
      </c>
      <c r="U15" s="168">
        <v>44769</v>
      </c>
      <c r="V15">
        <v>11</v>
      </c>
      <c r="W15" s="169" t="s">
        <v>147</v>
      </c>
      <c r="X15">
        <v>1</v>
      </c>
      <c r="Y15">
        <v>1</v>
      </c>
      <c r="Z15" t="s">
        <v>242</v>
      </c>
    </row>
    <row r="16" spans="1:37" x14ac:dyDescent="0.25">
      <c r="A16" s="169" t="s">
        <v>174</v>
      </c>
      <c r="B16">
        <v>5</v>
      </c>
      <c r="C16" s="169" t="s">
        <v>318</v>
      </c>
      <c r="D16">
        <v>428964423</v>
      </c>
      <c r="F16" s="169" t="s">
        <v>171</v>
      </c>
      <c r="G16">
        <v>1</v>
      </c>
      <c r="J16" s="169" t="s">
        <v>172</v>
      </c>
      <c r="K16">
        <v>33</v>
      </c>
      <c r="L16">
        <v>42</v>
      </c>
      <c r="M16">
        <v>92060</v>
      </c>
      <c r="N16">
        <v>30090</v>
      </c>
      <c r="O16">
        <v>262</v>
      </c>
      <c r="P16">
        <v>14</v>
      </c>
      <c r="Q16">
        <v>3</v>
      </c>
      <c r="R16">
        <v>20</v>
      </c>
      <c r="S16">
        <v>7</v>
      </c>
      <c r="T16">
        <v>8</v>
      </c>
      <c r="U16" s="168">
        <v>44765</v>
      </c>
      <c r="V16">
        <v>11</v>
      </c>
      <c r="W16" s="169" t="s">
        <v>147</v>
      </c>
      <c r="X16">
        <v>1</v>
      </c>
      <c r="Y16">
        <v>1</v>
      </c>
      <c r="Z16" t="s">
        <v>242</v>
      </c>
    </row>
    <row r="17" spans="1:43" x14ac:dyDescent="0.25">
      <c r="A17" s="169" t="s">
        <v>174</v>
      </c>
      <c r="B17">
        <v>5</v>
      </c>
      <c r="C17" s="169" t="s">
        <v>318</v>
      </c>
      <c r="D17">
        <v>428964423</v>
      </c>
      <c r="F17" s="169" t="s">
        <v>171</v>
      </c>
      <c r="G17">
        <v>1</v>
      </c>
      <c r="J17" s="169" t="s">
        <v>172</v>
      </c>
      <c r="K17">
        <v>33</v>
      </c>
      <c r="L17">
        <v>87</v>
      </c>
      <c r="M17">
        <v>90540</v>
      </c>
      <c r="N17">
        <v>30090</v>
      </c>
      <c r="O17">
        <v>268</v>
      </c>
      <c r="P17">
        <v>14</v>
      </c>
      <c r="Q17">
        <v>3</v>
      </c>
      <c r="R17">
        <v>20</v>
      </c>
      <c r="S17">
        <v>7</v>
      </c>
      <c r="T17">
        <v>8</v>
      </c>
      <c r="U17" s="168">
        <v>44814</v>
      </c>
      <c r="V17">
        <v>11</v>
      </c>
      <c r="W17" s="169" t="s">
        <v>147</v>
      </c>
      <c r="X17">
        <v>1</v>
      </c>
      <c r="Y17">
        <v>8</v>
      </c>
      <c r="Z17" t="s">
        <v>242</v>
      </c>
    </row>
    <row r="18" spans="1:43" x14ac:dyDescent="0.25">
      <c r="A18" s="169" t="s">
        <v>174</v>
      </c>
      <c r="B18">
        <v>3</v>
      </c>
      <c r="C18" s="169" t="s">
        <v>316</v>
      </c>
      <c r="D18">
        <v>424287978</v>
      </c>
      <c r="F18" s="169" t="s">
        <v>180</v>
      </c>
      <c r="G18">
        <v>1</v>
      </c>
      <c r="H18" s="169" t="s">
        <v>172</v>
      </c>
      <c r="I18">
        <v>1</v>
      </c>
      <c r="J18" s="169" t="s">
        <v>172</v>
      </c>
      <c r="K18">
        <v>35</v>
      </c>
      <c r="L18">
        <v>73</v>
      </c>
      <c r="M18">
        <v>31920</v>
      </c>
      <c r="N18">
        <v>12630</v>
      </c>
      <c r="O18">
        <v>298</v>
      </c>
      <c r="P18">
        <v>15</v>
      </c>
      <c r="Q18">
        <v>4</v>
      </c>
      <c r="R18">
        <v>20</v>
      </c>
      <c r="S18">
        <v>6</v>
      </c>
      <c r="T18">
        <v>7</v>
      </c>
      <c r="U18" s="168">
        <v>44818</v>
      </c>
      <c r="V18">
        <v>11</v>
      </c>
      <c r="W18" s="169" t="s">
        <v>147</v>
      </c>
      <c r="X18">
        <v>1</v>
      </c>
      <c r="Y18">
        <v>9</v>
      </c>
      <c r="Z18" t="s">
        <v>478</v>
      </c>
      <c r="AC18" s="171" t="s">
        <v>224</v>
      </c>
      <c r="AD18" s="172">
        <v>1</v>
      </c>
      <c r="AK18" s="171" t="s">
        <v>224</v>
      </c>
      <c r="AL18" s="172">
        <v>1</v>
      </c>
    </row>
    <row r="19" spans="1:43" x14ac:dyDescent="0.25">
      <c r="A19" s="169" t="s">
        <v>174</v>
      </c>
      <c r="C19" s="169" t="s">
        <v>336</v>
      </c>
      <c r="D19">
        <v>432169917</v>
      </c>
      <c r="F19" s="169" t="s">
        <v>183</v>
      </c>
      <c r="J19" s="169" t="s">
        <v>172</v>
      </c>
      <c r="K19">
        <v>32</v>
      </c>
      <c r="L19">
        <v>27</v>
      </c>
      <c r="M19">
        <v>50380</v>
      </c>
      <c r="N19">
        <v>12620</v>
      </c>
      <c r="O19">
        <v>159</v>
      </c>
      <c r="P19">
        <v>11</v>
      </c>
      <c r="Q19">
        <v>5</v>
      </c>
      <c r="R19">
        <v>20</v>
      </c>
      <c r="S19">
        <v>7</v>
      </c>
      <c r="T19">
        <v>8</v>
      </c>
      <c r="U19" s="168">
        <v>44769</v>
      </c>
      <c r="V19">
        <v>11</v>
      </c>
      <c r="W19" s="169" t="s">
        <v>148</v>
      </c>
      <c r="X19">
        <v>1</v>
      </c>
      <c r="Y19">
        <v>1</v>
      </c>
      <c r="Z19" t="s">
        <v>148</v>
      </c>
    </row>
    <row r="20" spans="1:43" x14ac:dyDescent="0.25">
      <c r="A20" s="169" t="s">
        <v>174</v>
      </c>
      <c r="C20" s="169" t="s">
        <v>336</v>
      </c>
      <c r="D20">
        <v>432169917</v>
      </c>
      <c r="F20" s="169" t="s">
        <v>183</v>
      </c>
      <c r="J20" s="169" t="s">
        <v>172</v>
      </c>
      <c r="K20">
        <v>32</v>
      </c>
      <c r="L20">
        <v>72</v>
      </c>
      <c r="M20">
        <v>48580</v>
      </c>
      <c r="N20">
        <v>12620</v>
      </c>
      <c r="O20">
        <v>166</v>
      </c>
      <c r="P20">
        <v>12</v>
      </c>
      <c r="Q20">
        <v>5</v>
      </c>
      <c r="R20">
        <v>20</v>
      </c>
      <c r="S20">
        <v>7</v>
      </c>
      <c r="T20">
        <v>8</v>
      </c>
      <c r="U20" s="168">
        <v>44814</v>
      </c>
      <c r="V20">
        <v>11</v>
      </c>
      <c r="W20" s="169" t="s">
        <v>148</v>
      </c>
      <c r="X20">
        <v>1</v>
      </c>
      <c r="Y20">
        <v>8</v>
      </c>
      <c r="Z20" t="s">
        <v>148</v>
      </c>
      <c r="AC20" s="171" t="s">
        <v>481</v>
      </c>
      <c r="AE20" s="171" t="s">
        <v>239</v>
      </c>
      <c r="AK20" s="171" t="s">
        <v>462</v>
      </c>
      <c r="AM20" s="171" t="s">
        <v>239</v>
      </c>
    </row>
    <row r="21" spans="1:43" x14ac:dyDescent="0.25">
      <c r="A21" s="169" t="s">
        <v>174</v>
      </c>
      <c r="C21" s="169" t="s">
        <v>336</v>
      </c>
      <c r="D21">
        <v>432169917</v>
      </c>
      <c r="F21" s="169" t="s">
        <v>183</v>
      </c>
      <c r="H21" s="169" t="s">
        <v>172</v>
      </c>
      <c r="J21" s="169" t="s">
        <v>172</v>
      </c>
      <c r="K21">
        <v>32</v>
      </c>
      <c r="L21">
        <v>76</v>
      </c>
      <c r="M21">
        <v>49400</v>
      </c>
      <c r="N21">
        <v>12620</v>
      </c>
      <c r="O21">
        <v>166</v>
      </c>
      <c r="P21">
        <v>12</v>
      </c>
      <c r="Q21">
        <v>5</v>
      </c>
      <c r="R21">
        <v>20</v>
      </c>
      <c r="S21">
        <v>8</v>
      </c>
      <c r="T21">
        <v>8</v>
      </c>
      <c r="U21" s="168">
        <v>44818</v>
      </c>
      <c r="V21">
        <v>11</v>
      </c>
      <c r="W21" s="169" t="s">
        <v>148</v>
      </c>
      <c r="X21">
        <v>1</v>
      </c>
      <c r="Y21">
        <v>9</v>
      </c>
      <c r="Z21" t="s">
        <v>148</v>
      </c>
      <c r="AC21" s="171" t="s">
        <v>228</v>
      </c>
      <c r="AD21" s="171" t="s">
        <v>153</v>
      </c>
      <c r="AE21">
        <v>1</v>
      </c>
      <c r="AF21">
        <v>2</v>
      </c>
      <c r="AG21">
        <v>8</v>
      </c>
      <c r="AH21">
        <v>9</v>
      </c>
      <c r="AI21" t="s">
        <v>229</v>
      </c>
      <c r="AK21" s="171" t="s">
        <v>228</v>
      </c>
      <c r="AL21" s="171" t="s">
        <v>153</v>
      </c>
      <c r="AM21">
        <v>1</v>
      </c>
      <c r="AN21">
        <v>2</v>
      </c>
      <c r="AO21">
        <v>8</v>
      </c>
      <c r="AP21">
        <v>9</v>
      </c>
      <c r="AQ21" t="s">
        <v>229</v>
      </c>
    </row>
    <row r="22" spans="1:43" x14ac:dyDescent="0.25">
      <c r="A22" s="169" t="s">
        <v>199</v>
      </c>
      <c r="C22" s="169" t="s">
        <v>321</v>
      </c>
      <c r="D22">
        <v>435816080</v>
      </c>
      <c r="F22" s="169" t="s">
        <v>176</v>
      </c>
      <c r="J22" s="169"/>
      <c r="K22">
        <v>30</v>
      </c>
      <c r="L22">
        <v>105</v>
      </c>
      <c r="M22">
        <v>257810</v>
      </c>
      <c r="N22">
        <v>37752</v>
      </c>
      <c r="O22">
        <v>88</v>
      </c>
      <c r="P22">
        <v>12</v>
      </c>
      <c r="Q22">
        <v>4</v>
      </c>
      <c r="R22">
        <v>20</v>
      </c>
      <c r="S22">
        <v>8</v>
      </c>
      <c r="T22">
        <v>8</v>
      </c>
      <c r="U22" s="168">
        <v>44783</v>
      </c>
      <c r="V22">
        <v>10.5</v>
      </c>
      <c r="W22" s="169" t="s">
        <v>147</v>
      </c>
      <c r="X22">
        <v>1</v>
      </c>
      <c r="Y22">
        <v>2</v>
      </c>
      <c r="Z22" t="s">
        <v>506</v>
      </c>
      <c r="AC22" s="172" t="s">
        <v>146</v>
      </c>
      <c r="AE22" s="169">
        <v>3.5</v>
      </c>
      <c r="AF22" s="169">
        <v>3.5</v>
      </c>
      <c r="AG22" s="169">
        <v>4.5</v>
      </c>
      <c r="AH22" s="169">
        <v>4.5</v>
      </c>
      <c r="AI22" s="169">
        <v>16</v>
      </c>
      <c r="AK22" s="172" t="s">
        <v>146</v>
      </c>
      <c r="AM22" s="169">
        <v>5</v>
      </c>
      <c r="AN22" s="169">
        <v>5</v>
      </c>
      <c r="AO22" s="169">
        <v>8</v>
      </c>
      <c r="AP22" s="169">
        <v>6</v>
      </c>
      <c r="AQ22" s="169">
        <v>24</v>
      </c>
    </row>
    <row r="23" spans="1:43" x14ac:dyDescent="0.25">
      <c r="A23" s="169" t="s">
        <v>174</v>
      </c>
      <c r="B23">
        <v>1</v>
      </c>
      <c r="C23" s="169" t="s">
        <v>315</v>
      </c>
      <c r="D23">
        <v>424047074</v>
      </c>
      <c r="F23" s="169" t="s">
        <v>180</v>
      </c>
      <c r="G23">
        <v>1</v>
      </c>
      <c r="J23" s="169"/>
      <c r="K23">
        <v>35</v>
      </c>
      <c r="L23">
        <v>55</v>
      </c>
      <c r="M23">
        <v>34690</v>
      </c>
      <c r="N23">
        <v>12430</v>
      </c>
      <c r="O23">
        <v>295</v>
      </c>
      <c r="P23">
        <v>15</v>
      </c>
      <c r="Q23">
        <v>3</v>
      </c>
      <c r="R23">
        <v>20</v>
      </c>
      <c r="S23">
        <v>8</v>
      </c>
      <c r="T23">
        <v>7</v>
      </c>
      <c r="U23" s="168">
        <v>44779</v>
      </c>
      <c r="V23">
        <v>10.5</v>
      </c>
      <c r="W23" s="169" t="s">
        <v>147</v>
      </c>
      <c r="X23">
        <v>1</v>
      </c>
      <c r="Y23">
        <v>2</v>
      </c>
      <c r="Z23" t="s">
        <v>478</v>
      </c>
      <c r="AC23" s="181" t="s">
        <v>327</v>
      </c>
      <c r="AD23" s="172" t="s">
        <v>180</v>
      </c>
      <c r="AE23" s="169">
        <v>3.5</v>
      </c>
      <c r="AF23" s="169">
        <v>3.5</v>
      </c>
      <c r="AG23" s="169">
        <v>4.5</v>
      </c>
      <c r="AH23" s="169">
        <v>4.5</v>
      </c>
      <c r="AI23" s="169">
        <v>16</v>
      </c>
      <c r="AK23" s="181" t="s">
        <v>327</v>
      </c>
      <c r="AL23" s="172" t="s">
        <v>180</v>
      </c>
      <c r="AM23" s="169">
        <v>5</v>
      </c>
      <c r="AN23" s="169">
        <v>5</v>
      </c>
      <c r="AO23" s="169">
        <v>8</v>
      </c>
      <c r="AP23" s="169">
        <v>6</v>
      </c>
      <c r="AQ23" s="169">
        <v>24</v>
      </c>
    </row>
    <row r="24" spans="1:43" x14ac:dyDescent="0.25">
      <c r="A24" s="169" t="s">
        <v>174</v>
      </c>
      <c r="C24" s="169" t="s">
        <v>338</v>
      </c>
      <c r="D24">
        <v>437682998</v>
      </c>
      <c r="F24" s="169" t="s">
        <v>183</v>
      </c>
      <c r="G24">
        <v>1</v>
      </c>
      <c r="J24" s="169" t="s">
        <v>172</v>
      </c>
      <c r="K24">
        <v>29</v>
      </c>
      <c r="L24">
        <v>104</v>
      </c>
      <c r="M24">
        <v>166600</v>
      </c>
      <c r="N24">
        <v>17260</v>
      </c>
      <c r="O24">
        <v>206</v>
      </c>
      <c r="P24">
        <v>12</v>
      </c>
      <c r="Q24">
        <v>4</v>
      </c>
      <c r="R24">
        <v>20</v>
      </c>
      <c r="S24">
        <v>8</v>
      </c>
      <c r="T24">
        <v>8</v>
      </c>
      <c r="U24" s="168">
        <v>44769</v>
      </c>
      <c r="V24">
        <v>10.5</v>
      </c>
      <c r="W24" s="169" t="s">
        <v>147</v>
      </c>
      <c r="X24">
        <v>1</v>
      </c>
      <c r="Y24">
        <v>1</v>
      </c>
      <c r="Z24" t="s">
        <v>242</v>
      </c>
      <c r="AC24" s="172" t="s">
        <v>506</v>
      </c>
      <c r="AE24" s="169">
        <v>11</v>
      </c>
      <c r="AF24" s="169">
        <v>13</v>
      </c>
      <c r="AG24" s="169">
        <v>10</v>
      </c>
      <c r="AH24" s="169">
        <v>11.5</v>
      </c>
      <c r="AI24" s="169">
        <v>45.5</v>
      </c>
      <c r="AK24" s="172" t="s">
        <v>506</v>
      </c>
      <c r="AM24" s="169">
        <v>11</v>
      </c>
      <c r="AN24" s="169">
        <v>12</v>
      </c>
      <c r="AO24" s="169">
        <v>12</v>
      </c>
      <c r="AP24" s="169">
        <v>13</v>
      </c>
      <c r="AQ24" s="169">
        <v>48</v>
      </c>
    </row>
    <row r="25" spans="1:43" x14ac:dyDescent="0.25">
      <c r="A25" s="169" t="s">
        <v>174</v>
      </c>
      <c r="B25">
        <v>6</v>
      </c>
      <c r="C25" s="169" t="s">
        <v>319</v>
      </c>
      <c r="D25">
        <v>425551707</v>
      </c>
      <c r="F25" s="169" t="s">
        <v>176</v>
      </c>
      <c r="G25">
        <v>1</v>
      </c>
      <c r="J25" s="169" t="s">
        <v>172</v>
      </c>
      <c r="K25">
        <v>35</v>
      </c>
      <c r="L25">
        <v>40</v>
      </c>
      <c r="M25">
        <v>38070</v>
      </c>
      <c r="N25">
        <v>15350</v>
      </c>
      <c r="O25">
        <v>293</v>
      </c>
      <c r="P25">
        <v>15</v>
      </c>
      <c r="Q25">
        <v>4</v>
      </c>
      <c r="R25">
        <v>20</v>
      </c>
      <c r="S25">
        <v>7</v>
      </c>
      <c r="T25">
        <v>7</v>
      </c>
      <c r="U25" s="168">
        <v>44814</v>
      </c>
      <c r="V25">
        <v>10</v>
      </c>
      <c r="W25" s="169" t="s">
        <v>147</v>
      </c>
      <c r="X25">
        <v>1</v>
      </c>
      <c r="Y25">
        <v>8</v>
      </c>
      <c r="Z25" t="s">
        <v>478</v>
      </c>
      <c r="AC25" s="181" t="s">
        <v>321</v>
      </c>
      <c r="AD25" s="172" t="s">
        <v>176</v>
      </c>
      <c r="AE25" s="169">
        <v>8.5</v>
      </c>
      <c r="AF25" s="169">
        <v>10.5</v>
      </c>
      <c r="AG25" s="169">
        <v>7.5</v>
      </c>
      <c r="AH25" s="169">
        <v>9</v>
      </c>
      <c r="AI25" s="169">
        <v>35.5</v>
      </c>
      <c r="AK25" s="181" t="s">
        <v>321</v>
      </c>
      <c r="AL25" s="172" t="s">
        <v>176</v>
      </c>
      <c r="AM25" s="169">
        <v>7</v>
      </c>
      <c r="AN25" s="169">
        <v>8</v>
      </c>
      <c r="AO25" s="169">
        <v>7</v>
      </c>
      <c r="AP25" s="169">
        <v>7</v>
      </c>
      <c r="AQ25" s="169">
        <v>29</v>
      </c>
    </row>
    <row r="26" spans="1:43" x14ac:dyDescent="0.25">
      <c r="A26" s="169" t="s">
        <v>174</v>
      </c>
      <c r="B26">
        <v>3</v>
      </c>
      <c r="C26" s="169" t="s">
        <v>316</v>
      </c>
      <c r="D26">
        <v>424287978</v>
      </c>
      <c r="F26" s="169" t="s">
        <v>180</v>
      </c>
      <c r="G26">
        <v>1</v>
      </c>
      <c r="I26">
        <v>1</v>
      </c>
      <c r="J26" s="169" t="s">
        <v>172</v>
      </c>
      <c r="K26">
        <v>35</v>
      </c>
      <c r="L26">
        <v>69</v>
      </c>
      <c r="M26">
        <v>34370</v>
      </c>
      <c r="N26">
        <v>12630</v>
      </c>
      <c r="O26">
        <v>297</v>
      </c>
      <c r="P26">
        <v>14</v>
      </c>
      <c r="Q26">
        <v>4</v>
      </c>
      <c r="R26">
        <v>20</v>
      </c>
      <c r="S26">
        <v>8</v>
      </c>
      <c r="T26">
        <v>7</v>
      </c>
      <c r="U26" s="168">
        <v>44814</v>
      </c>
      <c r="V26">
        <v>10</v>
      </c>
      <c r="W26" s="169" t="s">
        <v>147</v>
      </c>
      <c r="X26">
        <v>1</v>
      </c>
      <c r="Y26">
        <v>8</v>
      </c>
      <c r="Z26" t="s">
        <v>478</v>
      </c>
      <c r="AC26" s="181" t="s">
        <v>339</v>
      </c>
      <c r="AD26" s="172" t="s">
        <v>176</v>
      </c>
      <c r="AE26" s="169">
        <v>2.5</v>
      </c>
      <c r="AF26" s="169">
        <v>2.5</v>
      </c>
      <c r="AG26" s="169">
        <v>2.5</v>
      </c>
      <c r="AH26" s="169">
        <v>2.5</v>
      </c>
      <c r="AI26" s="169">
        <v>10</v>
      </c>
      <c r="AK26" s="181" t="s">
        <v>339</v>
      </c>
      <c r="AL26" s="172" t="s">
        <v>176</v>
      </c>
      <c r="AM26" s="169">
        <v>4</v>
      </c>
      <c r="AN26" s="169">
        <v>4</v>
      </c>
      <c r="AO26" s="169">
        <v>5</v>
      </c>
      <c r="AP26" s="169">
        <v>6</v>
      </c>
      <c r="AQ26" s="169">
        <v>19</v>
      </c>
    </row>
    <row r="27" spans="1:43" x14ac:dyDescent="0.25">
      <c r="A27" s="169" t="s">
        <v>174</v>
      </c>
      <c r="C27" s="169" t="s">
        <v>336</v>
      </c>
      <c r="D27">
        <v>432169917</v>
      </c>
      <c r="F27" s="169" t="s">
        <v>183</v>
      </c>
      <c r="J27" s="169"/>
      <c r="K27">
        <v>32</v>
      </c>
      <c r="L27">
        <v>40</v>
      </c>
      <c r="M27">
        <v>46730</v>
      </c>
      <c r="N27">
        <v>12620</v>
      </c>
      <c r="O27">
        <v>161</v>
      </c>
      <c r="P27">
        <v>12</v>
      </c>
      <c r="Q27">
        <v>5</v>
      </c>
      <c r="R27">
        <v>20</v>
      </c>
      <c r="S27">
        <v>6</v>
      </c>
      <c r="T27">
        <v>8</v>
      </c>
      <c r="U27" s="168">
        <v>44783</v>
      </c>
      <c r="V27">
        <v>10</v>
      </c>
      <c r="W27" s="169" t="s">
        <v>148</v>
      </c>
      <c r="X27">
        <v>1</v>
      </c>
      <c r="Y27">
        <v>2</v>
      </c>
      <c r="Z27" t="s">
        <v>148</v>
      </c>
      <c r="AC27" s="172" t="s">
        <v>243</v>
      </c>
      <c r="AE27" s="169">
        <v>6.5</v>
      </c>
      <c r="AF27" s="169">
        <v>7.5</v>
      </c>
      <c r="AG27" s="169">
        <v>6</v>
      </c>
      <c r="AH27" s="169">
        <v>6</v>
      </c>
      <c r="AI27" s="169">
        <v>26</v>
      </c>
      <c r="AK27" s="172" t="s">
        <v>243</v>
      </c>
      <c r="AM27" s="169">
        <v>6</v>
      </c>
      <c r="AN27" s="169">
        <v>6</v>
      </c>
      <c r="AO27" s="169">
        <v>6</v>
      </c>
      <c r="AP27" s="169">
        <v>6</v>
      </c>
      <c r="AQ27" s="169">
        <v>24</v>
      </c>
    </row>
    <row r="28" spans="1:43" x14ac:dyDescent="0.25">
      <c r="A28" s="169" t="s">
        <v>174</v>
      </c>
      <c r="C28" s="169" t="s">
        <v>338</v>
      </c>
      <c r="D28">
        <v>437682998</v>
      </c>
      <c r="F28" s="169" t="s">
        <v>183</v>
      </c>
      <c r="G28">
        <v>1</v>
      </c>
      <c r="J28" s="169"/>
      <c r="K28">
        <v>30</v>
      </c>
      <c r="L28">
        <v>5</v>
      </c>
      <c r="M28">
        <v>140300</v>
      </c>
      <c r="N28">
        <v>19050</v>
      </c>
      <c r="O28">
        <v>208</v>
      </c>
      <c r="P28">
        <v>12</v>
      </c>
      <c r="Q28">
        <v>4</v>
      </c>
      <c r="R28">
        <v>20</v>
      </c>
      <c r="S28">
        <v>8</v>
      </c>
      <c r="T28">
        <v>8</v>
      </c>
      <c r="U28" s="168">
        <v>44783</v>
      </c>
      <c r="V28">
        <v>10</v>
      </c>
      <c r="W28" s="169" t="s">
        <v>147</v>
      </c>
      <c r="X28">
        <v>1</v>
      </c>
      <c r="Y28">
        <v>2</v>
      </c>
      <c r="Z28" t="s">
        <v>242</v>
      </c>
      <c r="AC28" s="181" t="s">
        <v>317</v>
      </c>
      <c r="AD28" s="172" t="s">
        <v>180</v>
      </c>
      <c r="AE28" s="169">
        <v>6.5</v>
      </c>
      <c r="AF28" s="169">
        <v>7.5</v>
      </c>
      <c r="AG28" s="169">
        <v>6</v>
      </c>
      <c r="AH28" s="169">
        <v>6</v>
      </c>
      <c r="AI28" s="169">
        <v>26</v>
      </c>
      <c r="AK28" s="181" t="s">
        <v>317</v>
      </c>
      <c r="AL28" s="172" t="s">
        <v>180</v>
      </c>
      <c r="AM28" s="169">
        <v>6</v>
      </c>
      <c r="AN28" s="169">
        <v>6</v>
      </c>
      <c r="AO28" s="169">
        <v>6</v>
      </c>
      <c r="AP28" s="169">
        <v>6</v>
      </c>
      <c r="AQ28" s="169">
        <v>24</v>
      </c>
    </row>
    <row r="29" spans="1:43" x14ac:dyDescent="0.25">
      <c r="A29" s="169" t="s">
        <v>174</v>
      </c>
      <c r="C29" s="169" t="s">
        <v>320</v>
      </c>
      <c r="D29">
        <v>436695906</v>
      </c>
      <c r="F29" s="169" t="s">
        <v>183</v>
      </c>
      <c r="J29" s="169" t="s">
        <v>172</v>
      </c>
      <c r="K29">
        <v>31</v>
      </c>
      <c r="L29">
        <v>61</v>
      </c>
      <c r="M29">
        <v>47180</v>
      </c>
      <c r="N29">
        <v>14170</v>
      </c>
      <c r="O29">
        <v>150</v>
      </c>
      <c r="P29">
        <v>10</v>
      </c>
      <c r="Q29">
        <v>5</v>
      </c>
      <c r="R29">
        <v>20</v>
      </c>
      <c r="S29">
        <v>6</v>
      </c>
      <c r="T29">
        <v>8</v>
      </c>
      <c r="U29" s="168">
        <v>44807</v>
      </c>
      <c r="V29">
        <v>9.5</v>
      </c>
      <c r="W29" s="169" t="s">
        <v>148</v>
      </c>
      <c r="X29">
        <v>1</v>
      </c>
      <c r="Y29">
        <v>8</v>
      </c>
      <c r="Z29" t="s">
        <v>148</v>
      </c>
      <c r="AC29" s="172" t="s">
        <v>148</v>
      </c>
      <c r="AE29" s="169">
        <v>29</v>
      </c>
      <c r="AF29" s="169">
        <v>26.5</v>
      </c>
      <c r="AG29" s="169">
        <v>30</v>
      </c>
      <c r="AH29" s="169">
        <v>30</v>
      </c>
      <c r="AI29" s="169">
        <v>115.5</v>
      </c>
      <c r="AK29" s="172" t="s">
        <v>148</v>
      </c>
      <c r="AM29" s="169">
        <v>19</v>
      </c>
      <c r="AN29" s="169">
        <v>16</v>
      </c>
      <c r="AO29" s="169">
        <v>20</v>
      </c>
      <c r="AP29" s="169">
        <v>21</v>
      </c>
      <c r="AQ29" s="169">
        <v>76</v>
      </c>
    </row>
    <row r="30" spans="1:43" x14ac:dyDescent="0.25">
      <c r="A30" s="169" t="s">
        <v>174</v>
      </c>
      <c r="B30">
        <v>6</v>
      </c>
      <c r="C30" s="169" t="s">
        <v>319</v>
      </c>
      <c r="D30">
        <v>425551707</v>
      </c>
      <c r="F30" s="169" t="s">
        <v>176</v>
      </c>
      <c r="G30">
        <v>1</v>
      </c>
      <c r="J30" s="169"/>
      <c r="K30">
        <v>35</v>
      </c>
      <c r="L30">
        <v>8</v>
      </c>
      <c r="M30">
        <v>42380</v>
      </c>
      <c r="N30">
        <v>15350</v>
      </c>
      <c r="O30">
        <v>289</v>
      </c>
      <c r="P30">
        <v>14</v>
      </c>
      <c r="Q30">
        <v>4</v>
      </c>
      <c r="R30">
        <v>20</v>
      </c>
      <c r="S30">
        <v>7</v>
      </c>
      <c r="T30">
        <v>7</v>
      </c>
      <c r="U30" s="168">
        <v>44783</v>
      </c>
      <c r="V30">
        <v>9.5</v>
      </c>
      <c r="W30" s="169" t="s">
        <v>146</v>
      </c>
      <c r="X30">
        <v>1</v>
      </c>
      <c r="Y30">
        <v>2</v>
      </c>
      <c r="Z30" t="s">
        <v>478</v>
      </c>
      <c r="AC30" s="181" t="s">
        <v>320</v>
      </c>
      <c r="AD30" s="172" t="s">
        <v>183</v>
      </c>
      <c r="AE30" s="169">
        <v>8.5</v>
      </c>
      <c r="AF30" s="169">
        <v>8</v>
      </c>
      <c r="AG30" s="169">
        <v>9.5</v>
      </c>
      <c r="AH30" s="169">
        <v>9.5</v>
      </c>
      <c r="AI30" s="169">
        <v>35.5</v>
      </c>
      <c r="AK30" s="181" t="s">
        <v>320</v>
      </c>
      <c r="AL30" s="172" t="s">
        <v>183</v>
      </c>
      <c r="AM30" s="169">
        <v>5</v>
      </c>
      <c r="AN30" s="169">
        <v>5</v>
      </c>
      <c r="AO30" s="169">
        <v>6</v>
      </c>
      <c r="AP30" s="169">
        <v>6</v>
      </c>
      <c r="AQ30" s="169">
        <v>22</v>
      </c>
    </row>
    <row r="31" spans="1:43" x14ac:dyDescent="0.25">
      <c r="A31" s="169" t="s">
        <v>174</v>
      </c>
      <c r="B31">
        <v>5</v>
      </c>
      <c r="C31" s="169" t="s">
        <v>318</v>
      </c>
      <c r="D31">
        <v>428964423</v>
      </c>
      <c r="F31" s="169" t="s">
        <v>171</v>
      </c>
      <c r="G31">
        <v>1</v>
      </c>
      <c r="J31" s="169"/>
      <c r="K31">
        <v>33</v>
      </c>
      <c r="L31">
        <v>55</v>
      </c>
      <c r="M31">
        <v>90480</v>
      </c>
      <c r="N31">
        <v>30090</v>
      </c>
      <c r="O31">
        <v>263</v>
      </c>
      <c r="P31">
        <v>14</v>
      </c>
      <c r="Q31">
        <v>3</v>
      </c>
      <c r="R31">
        <v>20</v>
      </c>
      <c r="S31">
        <v>7</v>
      </c>
      <c r="T31">
        <v>8</v>
      </c>
      <c r="U31" s="168">
        <v>44783</v>
      </c>
      <c r="V31">
        <v>9.5</v>
      </c>
      <c r="W31" s="169" t="s">
        <v>146</v>
      </c>
      <c r="X31">
        <v>1</v>
      </c>
      <c r="Y31">
        <v>2</v>
      </c>
      <c r="Z31" t="s">
        <v>242</v>
      </c>
      <c r="AC31" s="181" t="s">
        <v>334</v>
      </c>
      <c r="AD31" s="172"/>
      <c r="AE31" s="169">
        <v>9.5</v>
      </c>
      <c r="AF31" s="169">
        <v>8.5</v>
      </c>
      <c r="AG31" s="169">
        <v>9.5</v>
      </c>
      <c r="AH31" s="169">
        <v>9.5</v>
      </c>
      <c r="AI31" s="169">
        <v>37</v>
      </c>
      <c r="AK31" s="181" t="s">
        <v>334</v>
      </c>
      <c r="AL31" s="172"/>
      <c r="AM31" s="169">
        <v>7</v>
      </c>
      <c r="AN31" s="169">
        <v>5</v>
      </c>
      <c r="AO31" s="169">
        <v>7</v>
      </c>
      <c r="AP31" s="169">
        <v>7</v>
      </c>
      <c r="AQ31" s="169">
        <v>26</v>
      </c>
    </row>
    <row r="32" spans="1:43" x14ac:dyDescent="0.25">
      <c r="A32" s="169" t="s">
        <v>174</v>
      </c>
      <c r="C32" s="169" t="s">
        <v>332</v>
      </c>
      <c r="D32">
        <v>425348003</v>
      </c>
      <c r="F32" s="169" t="s">
        <v>183</v>
      </c>
      <c r="H32">
        <v>5</v>
      </c>
      <c r="J32" s="169"/>
      <c r="K32">
        <v>35</v>
      </c>
      <c r="L32">
        <v>18</v>
      </c>
      <c r="M32">
        <v>18170</v>
      </c>
      <c r="N32">
        <v>9570</v>
      </c>
      <c r="O32">
        <v>176</v>
      </c>
      <c r="P32">
        <v>13</v>
      </c>
      <c r="Q32">
        <v>2</v>
      </c>
      <c r="R32">
        <v>20</v>
      </c>
      <c r="S32">
        <v>7</v>
      </c>
      <c r="T32">
        <v>7</v>
      </c>
      <c r="U32" s="168">
        <v>44783</v>
      </c>
      <c r="V32">
        <v>9.5</v>
      </c>
      <c r="W32" s="169" t="s">
        <v>201</v>
      </c>
      <c r="X32">
        <v>1</v>
      </c>
      <c r="Y32">
        <v>2</v>
      </c>
      <c r="Z32" t="s">
        <v>241</v>
      </c>
      <c r="AC32" s="181" t="s">
        <v>336</v>
      </c>
      <c r="AD32" s="172" t="s">
        <v>183</v>
      </c>
      <c r="AE32" s="169">
        <v>11</v>
      </c>
      <c r="AF32" s="169">
        <v>10</v>
      </c>
      <c r="AG32" s="169">
        <v>11</v>
      </c>
      <c r="AH32" s="169">
        <v>11</v>
      </c>
      <c r="AI32" s="169">
        <v>43</v>
      </c>
      <c r="AK32" s="181" t="s">
        <v>336</v>
      </c>
      <c r="AL32" s="172" t="s">
        <v>183</v>
      </c>
      <c r="AM32" s="169">
        <v>7</v>
      </c>
      <c r="AN32" s="169">
        <v>6</v>
      </c>
      <c r="AO32" s="169">
        <v>7</v>
      </c>
      <c r="AP32" s="169">
        <v>8</v>
      </c>
      <c r="AQ32" s="169">
        <v>28</v>
      </c>
    </row>
    <row r="33" spans="1:43" x14ac:dyDescent="0.25">
      <c r="A33" s="169" t="s">
        <v>174</v>
      </c>
      <c r="C33" s="169" t="s">
        <v>332</v>
      </c>
      <c r="D33">
        <v>425348003</v>
      </c>
      <c r="F33" s="169" t="s">
        <v>183</v>
      </c>
      <c r="H33">
        <v>1</v>
      </c>
      <c r="J33" s="169" t="s">
        <v>172</v>
      </c>
      <c r="K33">
        <v>35</v>
      </c>
      <c r="L33">
        <v>50</v>
      </c>
      <c r="M33">
        <v>14340</v>
      </c>
      <c r="N33">
        <v>9570</v>
      </c>
      <c r="O33">
        <v>181</v>
      </c>
      <c r="P33">
        <v>13</v>
      </c>
      <c r="Q33">
        <v>2</v>
      </c>
      <c r="R33">
        <v>20</v>
      </c>
      <c r="S33">
        <v>4</v>
      </c>
      <c r="T33">
        <v>5</v>
      </c>
      <c r="U33" s="168">
        <v>44783</v>
      </c>
      <c r="V33">
        <v>9.5</v>
      </c>
      <c r="W33" s="169" t="s">
        <v>201</v>
      </c>
      <c r="X33">
        <v>1</v>
      </c>
      <c r="Y33">
        <v>8</v>
      </c>
      <c r="Z33" t="s">
        <v>241</v>
      </c>
      <c r="AC33" s="172" t="s">
        <v>241</v>
      </c>
      <c r="AE33" s="169">
        <v>22.5</v>
      </c>
      <c r="AF33" s="169">
        <v>26</v>
      </c>
      <c r="AG33" s="169">
        <v>27</v>
      </c>
      <c r="AH33" s="169">
        <v>26</v>
      </c>
      <c r="AI33" s="169">
        <v>101.5</v>
      </c>
      <c r="AK33" s="172" t="s">
        <v>241</v>
      </c>
      <c r="AM33" s="169">
        <v>21</v>
      </c>
      <c r="AN33" s="169">
        <v>21</v>
      </c>
      <c r="AO33" s="169">
        <v>18</v>
      </c>
      <c r="AP33" s="169">
        <v>16</v>
      </c>
      <c r="AQ33" s="169">
        <v>76</v>
      </c>
    </row>
    <row r="34" spans="1:43" x14ac:dyDescent="0.25">
      <c r="A34" s="169" t="s">
        <v>263</v>
      </c>
      <c r="C34" s="169" t="s">
        <v>334</v>
      </c>
      <c r="D34">
        <v>431152208</v>
      </c>
      <c r="F34" s="169" t="s">
        <v>172</v>
      </c>
      <c r="J34" s="169" t="s">
        <v>172</v>
      </c>
      <c r="K34">
        <v>32</v>
      </c>
      <c r="L34">
        <v>79</v>
      </c>
      <c r="M34">
        <v>47190</v>
      </c>
      <c r="N34">
        <v>16320</v>
      </c>
      <c r="O34">
        <v>20</v>
      </c>
      <c r="P34">
        <v>11</v>
      </c>
      <c r="Q34">
        <v>5</v>
      </c>
      <c r="R34">
        <v>13</v>
      </c>
      <c r="S34">
        <v>7</v>
      </c>
      <c r="T34">
        <v>8</v>
      </c>
      <c r="U34" s="168">
        <v>44769</v>
      </c>
      <c r="V34">
        <v>9.5</v>
      </c>
      <c r="W34" s="169" t="s">
        <v>148</v>
      </c>
      <c r="X34">
        <v>1</v>
      </c>
      <c r="Y34">
        <v>1</v>
      </c>
      <c r="Z34" t="s">
        <v>148</v>
      </c>
      <c r="AC34" s="181" t="s">
        <v>332</v>
      </c>
      <c r="AD34" s="172" t="s">
        <v>183</v>
      </c>
      <c r="AE34" s="169">
        <v>8.5</v>
      </c>
      <c r="AF34" s="169">
        <v>9.5</v>
      </c>
      <c r="AG34" s="169">
        <v>9.5</v>
      </c>
      <c r="AH34" s="169">
        <v>9.5</v>
      </c>
      <c r="AI34" s="169">
        <v>37</v>
      </c>
      <c r="AK34" s="181" t="s">
        <v>332</v>
      </c>
      <c r="AL34" s="172" t="s">
        <v>183</v>
      </c>
      <c r="AM34" s="169">
        <v>7</v>
      </c>
      <c r="AN34" s="169">
        <v>7</v>
      </c>
      <c r="AO34" s="169">
        <v>4</v>
      </c>
      <c r="AP34" s="169">
        <v>3</v>
      </c>
      <c r="AQ34" s="169">
        <v>21</v>
      </c>
    </row>
    <row r="35" spans="1:43" x14ac:dyDescent="0.25">
      <c r="A35" s="169" t="s">
        <v>263</v>
      </c>
      <c r="C35" s="169" t="s">
        <v>334</v>
      </c>
      <c r="D35">
        <v>431152208</v>
      </c>
      <c r="F35" s="169" t="s">
        <v>172</v>
      </c>
      <c r="I35">
        <v>1</v>
      </c>
      <c r="J35" s="169" t="s">
        <v>172</v>
      </c>
      <c r="K35">
        <v>33</v>
      </c>
      <c r="L35">
        <v>12</v>
      </c>
      <c r="M35">
        <v>28980</v>
      </c>
      <c r="N35">
        <v>12096</v>
      </c>
      <c r="O35">
        <v>27</v>
      </c>
      <c r="P35">
        <v>11</v>
      </c>
      <c r="Q35">
        <v>5</v>
      </c>
      <c r="R35">
        <v>15</v>
      </c>
      <c r="S35">
        <v>7</v>
      </c>
      <c r="T35">
        <v>8</v>
      </c>
      <c r="U35" s="168">
        <v>44811</v>
      </c>
      <c r="V35">
        <v>9.5</v>
      </c>
      <c r="W35" s="169" t="s">
        <v>148</v>
      </c>
      <c r="X35">
        <v>1</v>
      </c>
      <c r="Y35">
        <v>8</v>
      </c>
      <c r="Z35" t="s">
        <v>148</v>
      </c>
      <c r="AC35" s="181" t="s">
        <v>335</v>
      </c>
      <c r="AD35" s="172" t="s">
        <v>180</v>
      </c>
      <c r="AE35" s="169">
        <v>7</v>
      </c>
      <c r="AF35" s="169">
        <v>7.5</v>
      </c>
      <c r="AG35" s="169">
        <v>8</v>
      </c>
      <c r="AH35" s="169">
        <v>8</v>
      </c>
      <c r="AI35" s="169">
        <v>30.5</v>
      </c>
      <c r="AK35" s="181" t="s">
        <v>335</v>
      </c>
      <c r="AL35" s="172" t="s">
        <v>180</v>
      </c>
      <c r="AM35" s="169">
        <v>7</v>
      </c>
      <c r="AN35" s="169">
        <v>7</v>
      </c>
      <c r="AO35" s="169">
        <v>8</v>
      </c>
      <c r="AP35" s="169">
        <v>8</v>
      </c>
      <c r="AQ35" s="169">
        <v>30</v>
      </c>
    </row>
    <row r="36" spans="1:43" x14ac:dyDescent="0.25">
      <c r="A36" s="169" t="s">
        <v>174</v>
      </c>
      <c r="C36" s="169" t="s">
        <v>337</v>
      </c>
      <c r="D36">
        <v>435294829</v>
      </c>
      <c r="F36" s="169" t="s">
        <v>183</v>
      </c>
      <c r="I36">
        <v>1</v>
      </c>
      <c r="J36" s="169" t="s">
        <v>172</v>
      </c>
      <c r="K36">
        <v>32</v>
      </c>
      <c r="L36">
        <v>2</v>
      </c>
      <c r="M36">
        <v>47800</v>
      </c>
      <c r="N36">
        <v>7390</v>
      </c>
      <c r="O36">
        <v>181</v>
      </c>
      <c r="P36">
        <v>8</v>
      </c>
      <c r="Q36">
        <v>1</v>
      </c>
      <c r="R36">
        <v>20</v>
      </c>
      <c r="S36">
        <v>6</v>
      </c>
      <c r="T36">
        <v>8</v>
      </c>
      <c r="U36" s="168">
        <v>44811</v>
      </c>
      <c r="V36">
        <v>9.5</v>
      </c>
      <c r="W36" s="169" t="s">
        <v>201</v>
      </c>
      <c r="X36">
        <v>1</v>
      </c>
      <c r="Y36">
        <v>8</v>
      </c>
      <c r="Z36" t="s">
        <v>241</v>
      </c>
      <c r="AC36" s="181" t="s">
        <v>337</v>
      </c>
      <c r="AD36" s="172" t="s">
        <v>183</v>
      </c>
      <c r="AE36" s="169">
        <v>7</v>
      </c>
      <c r="AF36" s="169">
        <v>9</v>
      </c>
      <c r="AG36" s="169">
        <v>9.5</v>
      </c>
      <c r="AH36" s="169">
        <v>8.5</v>
      </c>
      <c r="AI36" s="169">
        <v>34</v>
      </c>
      <c r="AK36" s="181" t="s">
        <v>337</v>
      </c>
      <c r="AL36" s="172" t="s">
        <v>183</v>
      </c>
      <c r="AM36" s="169">
        <v>7</v>
      </c>
      <c r="AN36" s="169">
        <v>7</v>
      </c>
      <c r="AO36" s="169">
        <v>6</v>
      </c>
      <c r="AP36" s="169">
        <v>5</v>
      </c>
      <c r="AQ36" s="169">
        <v>25</v>
      </c>
    </row>
    <row r="37" spans="1:43" x14ac:dyDescent="0.25">
      <c r="A37" s="169" t="s">
        <v>199</v>
      </c>
      <c r="C37" s="169" t="s">
        <v>321</v>
      </c>
      <c r="D37">
        <v>435816080</v>
      </c>
      <c r="F37" s="169" t="s">
        <v>176</v>
      </c>
      <c r="H37" s="169" t="s">
        <v>172</v>
      </c>
      <c r="J37" s="169" t="s">
        <v>172</v>
      </c>
      <c r="K37">
        <v>31</v>
      </c>
      <c r="L37">
        <v>29</v>
      </c>
      <c r="M37">
        <v>189890</v>
      </c>
      <c r="N37">
        <v>33288</v>
      </c>
      <c r="O37">
        <v>93</v>
      </c>
      <c r="P37">
        <v>12</v>
      </c>
      <c r="Q37">
        <v>4</v>
      </c>
      <c r="R37">
        <v>20</v>
      </c>
      <c r="S37">
        <v>7</v>
      </c>
      <c r="T37">
        <v>8</v>
      </c>
      <c r="U37" s="168">
        <v>44818</v>
      </c>
      <c r="V37">
        <v>9</v>
      </c>
      <c r="W37" s="169" t="s">
        <v>146</v>
      </c>
      <c r="X37">
        <v>1</v>
      </c>
      <c r="Y37">
        <v>9</v>
      </c>
      <c r="Z37" t="s">
        <v>506</v>
      </c>
      <c r="AC37" s="172" t="s">
        <v>242</v>
      </c>
      <c r="AE37" s="169">
        <v>39</v>
      </c>
      <c r="AF37" s="169">
        <v>34.5</v>
      </c>
      <c r="AG37" s="169">
        <v>32</v>
      </c>
      <c r="AH37" s="169">
        <v>35</v>
      </c>
      <c r="AI37" s="169">
        <v>140.5</v>
      </c>
      <c r="AK37" s="172" t="s">
        <v>242</v>
      </c>
      <c r="AM37" s="169">
        <v>30</v>
      </c>
      <c r="AN37" s="169">
        <v>30</v>
      </c>
      <c r="AO37" s="169">
        <v>25</v>
      </c>
      <c r="AP37" s="169">
        <v>24</v>
      </c>
      <c r="AQ37" s="169">
        <v>109</v>
      </c>
    </row>
    <row r="38" spans="1:43" x14ac:dyDescent="0.25">
      <c r="A38" s="169" t="s">
        <v>174</v>
      </c>
      <c r="C38" s="169" t="s">
        <v>337</v>
      </c>
      <c r="D38">
        <v>435294829</v>
      </c>
      <c r="F38" s="169" t="s">
        <v>183</v>
      </c>
      <c r="J38" s="169"/>
      <c r="K38">
        <v>31</v>
      </c>
      <c r="L38">
        <v>82</v>
      </c>
      <c r="M38">
        <v>68800</v>
      </c>
      <c r="N38">
        <v>7850</v>
      </c>
      <c r="O38">
        <v>176</v>
      </c>
      <c r="P38">
        <v>8</v>
      </c>
      <c r="Q38">
        <v>1</v>
      </c>
      <c r="R38">
        <v>20</v>
      </c>
      <c r="S38">
        <v>7</v>
      </c>
      <c r="T38">
        <v>8</v>
      </c>
      <c r="U38" s="168">
        <v>44779</v>
      </c>
      <c r="V38">
        <v>9</v>
      </c>
      <c r="W38" s="169" t="s">
        <v>201</v>
      </c>
      <c r="X38">
        <v>1</v>
      </c>
      <c r="Y38">
        <v>2</v>
      </c>
      <c r="Z38" t="s">
        <v>241</v>
      </c>
      <c r="AC38" s="181" t="s">
        <v>325</v>
      </c>
      <c r="AD38" s="172" t="s">
        <v>183</v>
      </c>
      <c r="AE38" s="169">
        <v>6.5</v>
      </c>
      <c r="AF38" s="169">
        <v>7</v>
      </c>
      <c r="AG38" s="169">
        <v>7</v>
      </c>
      <c r="AH38" s="169">
        <v>7</v>
      </c>
      <c r="AI38" s="169">
        <v>27.5</v>
      </c>
      <c r="AK38" s="181" t="s">
        <v>325</v>
      </c>
      <c r="AL38" s="172" t="s">
        <v>183</v>
      </c>
      <c r="AM38" s="169">
        <v>7</v>
      </c>
      <c r="AN38" s="169">
        <v>7</v>
      </c>
      <c r="AO38" s="169">
        <v>5</v>
      </c>
      <c r="AP38" s="169">
        <v>4</v>
      </c>
      <c r="AQ38" s="169">
        <v>23</v>
      </c>
    </row>
    <row r="39" spans="1:43" x14ac:dyDescent="0.25">
      <c r="A39" s="169" t="s">
        <v>174</v>
      </c>
      <c r="C39" s="169" t="s">
        <v>338</v>
      </c>
      <c r="D39">
        <v>437682998</v>
      </c>
      <c r="F39" s="169" t="s">
        <v>183</v>
      </c>
      <c r="G39">
        <v>1</v>
      </c>
      <c r="H39" s="169" t="s">
        <v>172</v>
      </c>
      <c r="J39" s="169" t="s">
        <v>172</v>
      </c>
      <c r="K39">
        <v>30</v>
      </c>
      <c r="L39">
        <v>41</v>
      </c>
      <c r="M39">
        <v>137080</v>
      </c>
      <c r="N39">
        <v>19050</v>
      </c>
      <c r="O39">
        <v>213</v>
      </c>
      <c r="P39">
        <v>12</v>
      </c>
      <c r="Q39">
        <v>4</v>
      </c>
      <c r="R39">
        <v>20</v>
      </c>
      <c r="S39">
        <v>7</v>
      </c>
      <c r="T39">
        <v>8</v>
      </c>
      <c r="U39" s="168">
        <v>44818</v>
      </c>
      <c r="V39">
        <v>9</v>
      </c>
      <c r="W39" s="169" t="s">
        <v>146</v>
      </c>
      <c r="X39">
        <v>1</v>
      </c>
      <c r="Y39">
        <v>9</v>
      </c>
      <c r="Z39" t="s">
        <v>242</v>
      </c>
      <c r="AC39" s="181" t="s">
        <v>329</v>
      </c>
      <c r="AD39" s="172" t="s">
        <v>176</v>
      </c>
      <c r="AE39" s="169">
        <v>11</v>
      </c>
      <c r="AF39" s="169">
        <v>8</v>
      </c>
      <c r="AG39" s="169">
        <v>6.5</v>
      </c>
      <c r="AH39" s="169">
        <v>7.5</v>
      </c>
      <c r="AI39" s="169">
        <v>33</v>
      </c>
      <c r="AK39" s="181" t="s">
        <v>329</v>
      </c>
      <c r="AL39" s="172" t="s">
        <v>176</v>
      </c>
      <c r="AM39" s="169">
        <v>8</v>
      </c>
      <c r="AN39" s="169">
        <v>8</v>
      </c>
      <c r="AO39" s="169">
        <v>6</v>
      </c>
      <c r="AP39" s="169">
        <v>6</v>
      </c>
      <c r="AQ39" s="169">
        <v>28</v>
      </c>
    </row>
    <row r="40" spans="1:43" x14ac:dyDescent="0.25">
      <c r="A40" s="169" t="s">
        <v>174</v>
      </c>
      <c r="C40" s="169" t="s">
        <v>320</v>
      </c>
      <c r="D40">
        <v>436695906</v>
      </c>
      <c r="F40" s="169" t="s">
        <v>183</v>
      </c>
      <c r="J40" s="169" t="s">
        <v>172</v>
      </c>
      <c r="K40">
        <v>31</v>
      </c>
      <c r="L40">
        <v>16</v>
      </c>
      <c r="M40">
        <v>42430</v>
      </c>
      <c r="N40">
        <v>14170</v>
      </c>
      <c r="O40">
        <v>144</v>
      </c>
      <c r="P40">
        <v>10</v>
      </c>
      <c r="Q40">
        <v>5</v>
      </c>
      <c r="R40">
        <v>20</v>
      </c>
      <c r="S40">
        <v>5</v>
      </c>
      <c r="T40">
        <v>8</v>
      </c>
      <c r="U40" s="168">
        <v>44769</v>
      </c>
      <c r="V40">
        <v>8.5</v>
      </c>
      <c r="W40" s="169" t="s">
        <v>148</v>
      </c>
      <c r="X40">
        <v>1</v>
      </c>
      <c r="Y40">
        <v>1</v>
      </c>
      <c r="Z40" t="s">
        <v>148</v>
      </c>
      <c r="AC40" s="181" t="s">
        <v>318</v>
      </c>
      <c r="AD40" s="172" t="s">
        <v>171</v>
      </c>
      <c r="AE40" s="169">
        <v>11</v>
      </c>
      <c r="AF40" s="169">
        <v>9.5</v>
      </c>
      <c r="AG40" s="169">
        <v>11</v>
      </c>
      <c r="AH40" s="169">
        <v>11.5</v>
      </c>
      <c r="AI40" s="169">
        <v>43</v>
      </c>
      <c r="AK40" s="181" t="s">
        <v>318</v>
      </c>
      <c r="AL40" s="172" t="s">
        <v>171</v>
      </c>
      <c r="AM40" s="169">
        <v>7</v>
      </c>
      <c r="AN40" s="169">
        <v>7</v>
      </c>
      <c r="AO40" s="169">
        <v>7</v>
      </c>
      <c r="AP40" s="169">
        <v>7</v>
      </c>
      <c r="AQ40" s="169">
        <v>28</v>
      </c>
    </row>
    <row r="41" spans="1:43" x14ac:dyDescent="0.25">
      <c r="A41" s="169" t="s">
        <v>199</v>
      </c>
      <c r="C41" s="169" t="s">
        <v>321</v>
      </c>
      <c r="D41">
        <v>435816080</v>
      </c>
      <c r="F41" s="169" t="s">
        <v>176</v>
      </c>
      <c r="J41" s="169" t="s">
        <v>172</v>
      </c>
      <c r="K41">
        <v>30</v>
      </c>
      <c r="L41">
        <v>92</v>
      </c>
      <c r="M41">
        <v>256700</v>
      </c>
      <c r="N41">
        <v>37752</v>
      </c>
      <c r="O41">
        <v>86</v>
      </c>
      <c r="P41">
        <v>12</v>
      </c>
      <c r="Q41">
        <v>4</v>
      </c>
      <c r="R41">
        <v>20</v>
      </c>
      <c r="S41">
        <v>7</v>
      </c>
      <c r="T41">
        <v>8</v>
      </c>
      <c r="U41" s="168">
        <v>44769</v>
      </c>
      <c r="V41">
        <v>8.5</v>
      </c>
      <c r="W41" s="169" t="s">
        <v>181</v>
      </c>
      <c r="X41">
        <v>1</v>
      </c>
      <c r="Y41">
        <v>1</v>
      </c>
      <c r="Z41" t="s">
        <v>506</v>
      </c>
      <c r="AC41" s="181" t="s">
        <v>338</v>
      </c>
      <c r="AD41" s="172" t="s">
        <v>183</v>
      </c>
      <c r="AE41" s="169">
        <v>10.5</v>
      </c>
      <c r="AF41" s="169">
        <v>10</v>
      </c>
      <c r="AG41" s="169">
        <v>7.5</v>
      </c>
      <c r="AH41" s="169">
        <v>9</v>
      </c>
      <c r="AI41" s="169">
        <v>37</v>
      </c>
      <c r="AK41" s="181" t="s">
        <v>338</v>
      </c>
      <c r="AL41" s="172" t="s">
        <v>183</v>
      </c>
      <c r="AM41" s="169">
        <v>8</v>
      </c>
      <c r="AN41" s="169">
        <v>8</v>
      </c>
      <c r="AO41" s="169">
        <v>7</v>
      </c>
      <c r="AP41" s="169">
        <v>7</v>
      </c>
      <c r="AQ41" s="169">
        <v>30</v>
      </c>
    </row>
    <row r="42" spans="1:43" x14ac:dyDescent="0.25">
      <c r="A42" s="169" t="s">
        <v>174</v>
      </c>
      <c r="C42" s="169" t="s">
        <v>322</v>
      </c>
      <c r="D42">
        <v>425763529</v>
      </c>
      <c r="F42" s="169" t="s">
        <v>171</v>
      </c>
      <c r="J42" s="169"/>
      <c r="K42">
        <v>34</v>
      </c>
      <c r="L42">
        <v>111</v>
      </c>
      <c r="M42">
        <v>6640</v>
      </c>
      <c r="N42">
        <v>9950</v>
      </c>
      <c r="O42">
        <v>196</v>
      </c>
      <c r="P42">
        <v>13</v>
      </c>
      <c r="Q42">
        <v>5</v>
      </c>
      <c r="R42">
        <v>20</v>
      </c>
      <c r="S42">
        <v>6</v>
      </c>
      <c r="T42">
        <v>7</v>
      </c>
      <c r="U42" s="168">
        <v>44779</v>
      </c>
      <c r="V42">
        <v>8.5</v>
      </c>
      <c r="W42" s="169" t="s">
        <v>173</v>
      </c>
      <c r="Y42">
        <v>2</v>
      </c>
      <c r="Z42" t="s">
        <v>173</v>
      </c>
      <c r="AC42" s="172" t="s">
        <v>478</v>
      </c>
      <c r="AE42" s="169">
        <v>21</v>
      </c>
      <c r="AF42" s="169">
        <v>27.5</v>
      </c>
      <c r="AG42" s="169">
        <v>27</v>
      </c>
      <c r="AH42" s="169">
        <v>29</v>
      </c>
      <c r="AI42" s="169">
        <v>104.5</v>
      </c>
      <c r="AK42" s="172" t="s">
        <v>478</v>
      </c>
      <c r="AM42" s="169">
        <v>21</v>
      </c>
      <c r="AN42" s="169">
        <v>22</v>
      </c>
      <c r="AO42" s="169">
        <v>21</v>
      </c>
      <c r="AP42" s="169">
        <v>18</v>
      </c>
      <c r="AQ42" s="169">
        <v>82</v>
      </c>
    </row>
    <row r="43" spans="1:43" x14ac:dyDescent="0.25">
      <c r="A43" s="169" t="s">
        <v>174</v>
      </c>
      <c r="C43" s="169" t="s">
        <v>322</v>
      </c>
      <c r="D43">
        <v>425763529</v>
      </c>
      <c r="F43" s="169" t="s">
        <v>171</v>
      </c>
      <c r="J43" s="169" t="s">
        <v>172</v>
      </c>
      <c r="K43">
        <v>35</v>
      </c>
      <c r="L43">
        <v>31</v>
      </c>
      <c r="M43">
        <v>6040</v>
      </c>
      <c r="N43">
        <v>6800</v>
      </c>
      <c r="O43">
        <v>201</v>
      </c>
      <c r="P43">
        <v>14</v>
      </c>
      <c r="Q43">
        <v>5</v>
      </c>
      <c r="R43">
        <v>20</v>
      </c>
      <c r="S43">
        <v>7</v>
      </c>
      <c r="T43">
        <v>7</v>
      </c>
      <c r="U43" s="168">
        <v>44814</v>
      </c>
      <c r="V43">
        <v>8.5</v>
      </c>
      <c r="W43" s="169" t="s">
        <v>173</v>
      </c>
      <c r="Y43">
        <v>8</v>
      </c>
      <c r="Z43" t="s">
        <v>173</v>
      </c>
      <c r="AC43" s="181" t="s">
        <v>315</v>
      </c>
      <c r="AD43" s="172" t="s">
        <v>180</v>
      </c>
      <c r="AE43" s="169">
        <v>6.5</v>
      </c>
      <c r="AF43" s="169">
        <v>10.5</v>
      </c>
      <c r="AG43" s="169">
        <v>7</v>
      </c>
      <c r="AH43" s="169">
        <v>7.5</v>
      </c>
      <c r="AI43" s="169">
        <v>31.5</v>
      </c>
      <c r="AK43" s="181" t="s">
        <v>315</v>
      </c>
      <c r="AL43" s="172" t="s">
        <v>180</v>
      </c>
      <c r="AM43" s="169">
        <v>7</v>
      </c>
      <c r="AN43" s="169">
        <v>8</v>
      </c>
      <c r="AO43" s="169">
        <v>6</v>
      </c>
      <c r="AP43" s="169">
        <v>5</v>
      </c>
      <c r="AQ43" s="169">
        <v>26</v>
      </c>
    </row>
    <row r="44" spans="1:43" x14ac:dyDescent="0.25">
      <c r="A44" s="169" t="s">
        <v>174</v>
      </c>
      <c r="B44">
        <v>6</v>
      </c>
      <c r="C44" s="169" t="s">
        <v>319</v>
      </c>
      <c r="D44">
        <v>425551707</v>
      </c>
      <c r="F44" s="169" t="s">
        <v>176</v>
      </c>
      <c r="G44">
        <v>1</v>
      </c>
      <c r="J44" s="169" t="s">
        <v>172</v>
      </c>
      <c r="K44">
        <v>34</v>
      </c>
      <c r="L44">
        <v>107</v>
      </c>
      <c r="M44">
        <v>45540</v>
      </c>
      <c r="N44">
        <v>22210</v>
      </c>
      <c r="O44">
        <v>287</v>
      </c>
      <c r="P44">
        <v>14</v>
      </c>
      <c r="Q44">
        <v>4</v>
      </c>
      <c r="R44">
        <v>20</v>
      </c>
      <c r="S44">
        <v>7</v>
      </c>
      <c r="T44">
        <v>7</v>
      </c>
      <c r="U44" s="168">
        <v>44765</v>
      </c>
      <c r="V44">
        <v>8.5</v>
      </c>
      <c r="W44" s="169" t="s">
        <v>181</v>
      </c>
      <c r="X44">
        <v>1</v>
      </c>
      <c r="Y44">
        <v>1</v>
      </c>
      <c r="Z44" t="s">
        <v>478</v>
      </c>
      <c r="AC44" s="181" t="s">
        <v>319</v>
      </c>
      <c r="AD44" s="172" t="s">
        <v>176</v>
      </c>
      <c r="AE44" s="169">
        <v>8.5</v>
      </c>
      <c r="AF44" s="169">
        <v>9.5</v>
      </c>
      <c r="AG44" s="169">
        <v>10</v>
      </c>
      <c r="AH44" s="169">
        <v>10.5</v>
      </c>
      <c r="AI44" s="169">
        <v>38.5</v>
      </c>
      <c r="AK44" s="181" t="s">
        <v>319</v>
      </c>
      <c r="AL44" s="172" t="s">
        <v>176</v>
      </c>
      <c r="AM44" s="169">
        <v>7</v>
      </c>
      <c r="AN44" s="169">
        <v>7</v>
      </c>
      <c r="AO44" s="169">
        <v>7</v>
      </c>
      <c r="AP44" s="169">
        <v>7</v>
      </c>
      <c r="AQ44" s="169">
        <v>28</v>
      </c>
    </row>
    <row r="45" spans="1:43" x14ac:dyDescent="0.25">
      <c r="A45" s="169" t="s">
        <v>174</v>
      </c>
      <c r="C45" s="169" t="s">
        <v>332</v>
      </c>
      <c r="D45">
        <v>425348003</v>
      </c>
      <c r="F45" s="169" t="s">
        <v>183</v>
      </c>
      <c r="J45" s="169" t="s">
        <v>172</v>
      </c>
      <c r="K45">
        <v>35</v>
      </c>
      <c r="L45">
        <v>5</v>
      </c>
      <c r="M45">
        <v>30070</v>
      </c>
      <c r="N45">
        <v>9570</v>
      </c>
      <c r="O45">
        <v>174</v>
      </c>
      <c r="P45">
        <v>13</v>
      </c>
      <c r="Q45">
        <v>2</v>
      </c>
      <c r="R45">
        <v>20</v>
      </c>
      <c r="S45">
        <v>7</v>
      </c>
      <c r="T45">
        <v>7</v>
      </c>
      <c r="U45" s="168">
        <v>44765</v>
      </c>
      <c r="V45">
        <v>8.5</v>
      </c>
      <c r="W45" s="169" t="s">
        <v>201</v>
      </c>
      <c r="X45">
        <v>1</v>
      </c>
      <c r="Y45">
        <v>1</v>
      </c>
      <c r="Z45" t="s">
        <v>241</v>
      </c>
      <c r="AC45" s="181" t="s">
        <v>316</v>
      </c>
      <c r="AD45" s="172" t="s">
        <v>180</v>
      </c>
      <c r="AE45" s="169">
        <v>6</v>
      </c>
      <c r="AF45" s="169">
        <v>7.5</v>
      </c>
      <c r="AG45" s="169">
        <v>10</v>
      </c>
      <c r="AH45" s="169">
        <v>11</v>
      </c>
      <c r="AI45" s="169">
        <v>34.5</v>
      </c>
      <c r="AK45" s="181" t="s">
        <v>316</v>
      </c>
      <c r="AL45" s="172" t="s">
        <v>180</v>
      </c>
      <c r="AM45" s="169">
        <v>7</v>
      </c>
      <c r="AN45" s="169">
        <v>7</v>
      </c>
      <c r="AO45" s="169">
        <v>8</v>
      </c>
      <c r="AP45" s="169">
        <v>6</v>
      </c>
      <c r="AQ45" s="169">
        <v>28</v>
      </c>
    </row>
    <row r="46" spans="1:43" x14ac:dyDescent="0.25">
      <c r="A46" s="169" t="s">
        <v>263</v>
      </c>
      <c r="C46" s="169" t="s">
        <v>334</v>
      </c>
      <c r="D46">
        <v>431152208</v>
      </c>
      <c r="F46" s="169" t="s">
        <v>172</v>
      </c>
      <c r="I46">
        <v>1</v>
      </c>
      <c r="J46" s="169"/>
      <c r="K46">
        <v>32</v>
      </c>
      <c r="L46">
        <v>92</v>
      </c>
      <c r="M46">
        <v>40500</v>
      </c>
      <c r="N46">
        <v>16320</v>
      </c>
      <c r="O46">
        <v>22</v>
      </c>
      <c r="P46">
        <v>11</v>
      </c>
      <c r="Q46">
        <v>5</v>
      </c>
      <c r="R46">
        <v>14</v>
      </c>
      <c r="S46">
        <v>5</v>
      </c>
      <c r="T46">
        <v>8</v>
      </c>
      <c r="U46" s="168">
        <v>44783</v>
      </c>
      <c r="V46">
        <v>8.5</v>
      </c>
      <c r="W46" s="169" t="s">
        <v>148</v>
      </c>
      <c r="X46">
        <v>1</v>
      </c>
      <c r="Y46">
        <v>2</v>
      </c>
      <c r="Z46" t="s">
        <v>148</v>
      </c>
      <c r="AC46" s="172" t="s">
        <v>173</v>
      </c>
      <c r="AE46" s="169">
        <v>7</v>
      </c>
      <c r="AF46" s="169">
        <v>8</v>
      </c>
      <c r="AG46" s="169">
        <v>7.5</v>
      </c>
      <c r="AH46" s="169">
        <v>7.5</v>
      </c>
      <c r="AI46" s="169">
        <v>30</v>
      </c>
      <c r="AK46" s="172" t="s">
        <v>173</v>
      </c>
      <c r="AM46" s="169">
        <v>6</v>
      </c>
      <c r="AN46" s="169">
        <v>7</v>
      </c>
      <c r="AO46" s="169">
        <v>6</v>
      </c>
      <c r="AP46" s="169">
        <v>6</v>
      </c>
      <c r="AQ46" s="169">
        <v>25</v>
      </c>
    </row>
    <row r="47" spans="1:43" x14ac:dyDescent="0.25">
      <c r="A47" s="169" t="s">
        <v>174</v>
      </c>
      <c r="C47" s="169" t="s">
        <v>320</v>
      </c>
      <c r="D47">
        <v>436695906</v>
      </c>
      <c r="F47" s="169" t="s">
        <v>183</v>
      </c>
      <c r="J47" s="169"/>
      <c r="K47">
        <v>31</v>
      </c>
      <c r="L47">
        <v>29</v>
      </c>
      <c r="M47">
        <v>40810</v>
      </c>
      <c r="N47">
        <v>14170</v>
      </c>
      <c r="O47">
        <v>146</v>
      </c>
      <c r="P47">
        <v>10</v>
      </c>
      <c r="Q47">
        <v>5</v>
      </c>
      <c r="R47">
        <v>20</v>
      </c>
      <c r="S47">
        <v>5</v>
      </c>
      <c r="T47">
        <v>8</v>
      </c>
      <c r="U47" s="168">
        <v>44783</v>
      </c>
      <c r="V47">
        <v>8</v>
      </c>
      <c r="W47" s="169" t="s">
        <v>148</v>
      </c>
      <c r="X47">
        <v>1</v>
      </c>
      <c r="Y47">
        <v>2</v>
      </c>
      <c r="Z47" t="s">
        <v>148</v>
      </c>
      <c r="AC47" s="181" t="s">
        <v>328</v>
      </c>
      <c r="AD47" s="172"/>
      <c r="AE47" s="169">
        <v>7</v>
      </c>
      <c r="AF47" s="169">
        <v>8</v>
      </c>
      <c r="AG47" s="169">
        <v>7.5</v>
      </c>
      <c r="AH47" s="169">
        <v>7.5</v>
      </c>
      <c r="AI47" s="169">
        <v>30</v>
      </c>
      <c r="AK47" s="181" t="s">
        <v>328</v>
      </c>
      <c r="AL47" s="172"/>
      <c r="AM47" s="169">
        <v>6</v>
      </c>
      <c r="AN47" s="169">
        <v>7</v>
      </c>
      <c r="AO47" s="169">
        <v>6</v>
      </c>
      <c r="AP47" s="169">
        <v>6</v>
      </c>
      <c r="AQ47" s="169">
        <v>25</v>
      </c>
    </row>
    <row r="48" spans="1:43" x14ac:dyDescent="0.25">
      <c r="A48" s="169" t="s">
        <v>174</v>
      </c>
      <c r="C48" s="169" t="s">
        <v>322</v>
      </c>
      <c r="D48">
        <v>425763529</v>
      </c>
      <c r="F48" s="169" t="s">
        <v>171</v>
      </c>
      <c r="J48" s="169" t="s">
        <v>172</v>
      </c>
      <c r="K48">
        <v>34</v>
      </c>
      <c r="L48">
        <v>98</v>
      </c>
      <c r="M48">
        <v>6310</v>
      </c>
      <c r="N48">
        <v>9950</v>
      </c>
      <c r="O48">
        <v>194</v>
      </c>
      <c r="P48">
        <v>13</v>
      </c>
      <c r="Q48">
        <v>5</v>
      </c>
      <c r="R48">
        <v>20</v>
      </c>
      <c r="S48">
        <v>6</v>
      </c>
      <c r="T48">
        <v>7</v>
      </c>
      <c r="U48" s="168">
        <v>44769</v>
      </c>
      <c r="V48">
        <v>8</v>
      </c>
      <c r="W48" s="169" t="s">
        <v>173</v>
      </c>
      <c r="Y48">
        <v>1</v>
      </c>
      <c r="Z48" t="s">
        <v>173</v>
      </c>
      <c r="AC48" s="172" t="s">
        <v>229</v>
      </c>
      <c r="AE48" s="169">
        <v>139.5</v>
      </c>
      <c r="AF48" s="169">
        <v>146.5</v>
      </c>
      <c r="AG48" s="169">
        <v>144</v>
      </c>
      <c r="AH48" s="169">
        <v>149.5</v>
      </c>
      <c r="AI48" s="169">
        <v>579.5</v>
      </c>
      <c r="AK48" s="172" t="s">
        <v>229</v>
      </c>
      <c r="AM48" s="169">
        <v>119</v>
      </c>
      <c r="AN48" s="169">
        <v>119</v>
      </c>
      <c r="AO48" s="169">
        <v>116</v>
      </c>
      <c r="AP48" s="169">
        <v>110</v>
      </c>
      <c r="AQ48" s="169">
        <v>464</v>
      </c>
    </row>
    <row r="49" spans="1:26" x14ac:dyDescent="0.25">
      <c r="A49" s="169" t="s">
        <v>268</v>
      </c>
      <c r="C49" s="169" t="s">
        <v>328</v>
      </c>
      <c r="D49">
        <v>439421251</v>
      </c>
      <c r="F49" s="169" t="s">
        <v>172</v>
      </c>
      <c r="J49" s="169"/>
      <c r="K49">
        <v>29</v>
      </c>
      <c r="L49">
        <v>42</v>
      </c>
      <c r="M49">
        <v>42040</v>
      </c>
      <c r="N49">
        <v>14772</v>
      </c>
      <c r="O49">
        <v>77</v>
      </c>
      <c r="P49">
        <v>8</v>
      </c>
      <c r="Q49">
        <v>3</v>
      </c>
      <c r="R49">
        <v>20</v>
      </c>
      <c r="S49">
        <v>7</v>
      </c>
      <c r="T49">
        <v>8</v>
      </c>
      <c r="U49" s="168">
        <v>44783</v>
      </c>
      <c r="V49">
        <v>8</v>
      </c>
      <c r="W49" s="169" t="s">
        <v>173</v>
      </c>
      <c r="X49">
        <v>1</v>
      </c>
      <c r="Y49">
        <v>2</v>
      </c>
      <c r="Z49" t="s">
        <v>173</v>
      </c>
    </row>
    <row r="50" spans="1:26" x14ac:dyDescent="0.25">
      <c r="A50" s="169" t="s">
        <v>174</v>
      </c>
      <c r="C50" s="169" t="s">
        <v>329</v>
      </c>
      <c r="D50">
        <v>435350188</v>
      </c>
      <c r="F50" s="169" t="s">
        <v>176</v>
      </c>
      <c r="G50">
        <v>1</v>
      </c>
      <c r="H50">
        <v>3</v>
      </c>
      <c r="J50" s="169"/>
      <c r="K50">
        <v>31</v>
      </c>
      <c r="L50">
        <v>22</v>
      </c>
      <c r="M50">
        <v>88930</v>
      </c>
      <c r="N50">
        <v>22560</v>
      </c>
      <c r="O50">
        <v>227</v>
      </c>
      <c r="P50">
        <v>11</v>
      </c>
      <c r="Q50">
        <v>6</v>
      </c>
      <c r="R50">
        <v>20</v>
      </c>
      <c r="S50">
        <v>8</v>
      </c>
      <c r="T50">
        <v>8</v>
      </c>
      <c r="U50" s="168">
        <v>44779</v>
      </c>
      <c r="V50">
        <v>8</v>
      </c>
      <c r="W50" s="169" t="s">
        <v>177</v>
      </c>
      <c r="X50">
        <v>1</v>
      </c>
      <c r="Y50">
        <v>2</v>
      </c>
      <c r="Z50" t="s">
        <v>242</v>
      </c>
    </row>
    <row r="51" spans="1:26" x14ac:dyDescent="0.25">
      <c r="A51" s="169" t="s">
        <v>174</v>
      </c>
      <c r="C51" s="169" t="s">
        <v>335</v>
      </c>
      <c r="D51">
        <v>435756737</v>
      </c>
      <c r="F51" s="169" t="s">
        <v>180</v>
      </c>
      <c r="G51">
        <v>1</v>
      </c>
      <c r="J51" s="169" t="s">
        <v>172</v>
      </c>
      <c r="K51">
        <v>31</v>
      </c>
      <c r="L51">
        <v>101</v>
      </c>
      <c r="M51">
        <v>50580</v>
      </c>
      <c r="N51">
        <v>5190</v>
      </c>
      <c r="O51">
        <v>228</v>
      </c>
      <c r="P51">
        <v>9</v>
      </c>
      <c r="Q51">
        <v>4</v>
      </c>
      <c r="R51">
        <v>20</v>
      </c>
      <c r="S51">
        <v>8</v>
      </c>
      <c r="T51">
        <v>8</v>
      </c>
      <c r="U51" s="168">
        <v>44814</v>
      </c>
      <c r="V51">
        <v>8</v>
      </c>
      <c r="W51" s="169" t="s">
        <v>181</v>
      </c>
      <c r="X51">
        <v>1</v>
      </c>
      <c r="Y51">
        <v>8</v>
      </c>
      <c r="Z51" t="s">
        <v>241</v>
      </c>
    </row>
    <row r="52" spans="1:26" x14ac:dyDescent="0.25">
      <c r="A52" s="169" t="s">
        <v>174</v>
      </c>
      <c r="C52" s="169" t="s">
        <v>335</v>
      </c>
      <c r="D52">
        <v>435756737</v>
      </c>
      <c r="F52" s="169" t="s">
        <v>180</v>
      </c>
      <c r="G52">
        <v>1</v>
      </c>
      <c r="H52" s="169" t="s">
        <v>172</v>
      </c>
      <c r="J52" s="169" t="s">
        <v>172</v>
      </c>
      <c r="K52">
        <v>31</v>
      </c>
      <c r="L52">
        <v>105</v>
      </c>
      <c r="M52">
        <v>50960</v>
      </c>
      <c r="N52">
        <v>5190</v>
      </c>
      <c r="O52">
        <v>228</v>
      </c>
      <c r="P52">
        <v>9</v>
      </c>
      <c r="Q52">
        <v>4</v>
      </c>
      <c r="R52">
        <v>20</v>
      </c>
      <c r="S52">
        <v>8</v>
      </c>
      <c r="T52">
        <v>8</v>
      </c>
      <c r="U52" s="168">
        <v>44818</v>
      </c>
      <c r="V52">
        <v>8</v>
      </c>
      <c r="W52" s="169" t="s">
        <v>177</v>
      </c>
      <c r="X52">
        <v>1</v>
      </c>
      <c r="Y52">
        <v>9</v>
      </c>
      <c r="Z52" t="s">
        <v>241</v>
      </c>
    </row>
    <row r="53" spans="1:26" x14ac:dyDescent="0.25">
      <c r="A53" s="169" t="s">
        <v>199</v>
      </c>
      <c r="C53" s="169" t="s">
        <v>321</v>
      </c>
      <c r="D53">
        <v>435816080</v>
      </c>
      <c r="F53" s="169" t="s">
        <v>176</v>
      </c>
      <c r="J53" s="169" t="s">
        <v>172</v>
      </c>
      <c r="K53">
        <v>31</v>
      </c>
      <c r="L53">
        <v>25</v>
      </c>
      <c r="M53">
        <v>180960</v>
      </c>
      <c r="N53">
        <v>33288</v>
      </c>
      <c r="O53">
        <v>92</v>
      </c>
      <c r="P53">
        <v>12</v>
      </c>
      <c r="Q53">
        <v>4</v>
      </c>
      <c r="R53">
        <v>20</v>
      </c>
      <c r="S53">
        <v>7</v>
      </c>
      <c r="T53">
        <v>8</v>
      </c>
      <c r="U53" s="168">
        <v>44814</v>
      </c>
      <c r="V53">
        <v>7.5</v>
      </c>
      <c r="W53" s="169" t="s">
        <v>146</v>
      </c>
      <c r="X53">
        <v>1</v>
      </c>
      <c r="Y53">
        <v>8</v>
      </c>
      <c r="Z53" t="s">
        <v>506</v>
      </c>
    </row>
    <row r="54" spans="1:26" x14ac:dyDescent="0.25">
      <c r="A54" s="169" t="s">
        <v>268</v>
      </c>
      <c r="C54" s="169" t="s">
        <v>328</v>
      </c>
      <c r="D54">
        <v>439421251</v>
      </c>
      <c r="F54" s="169" t="s">
        <v>172</v>
      </c>
      <c r="J54" s="169" t="s">
        <v>172</v>
      </c>
      <c r="K54">
        <v>29</v>
      </c>
      <c r="L54">
        <v>74</v>
      </c>
      <c r="M54">
        <v>37680</v>
      </c>
      <c r="N54">
        <v>14772</v>
      </c>
      <c r="O54">
        <v>82</v>
      </c>
      <c r="P54">
        <v>8</v>
      </c>
      <c r="Q54">
        <v>3</v>
      </c>
      <c r="R54">
        <v>20</v>
      </c>
      <c r="S54">
        <v>6</v>
      </c>
      <c r="T54">
        <v>8</v>
      </c>
      <c r="U54" s="168">
        <v>44797</v>
      </c>
      <c r="V54">
        <v>7.5</v>
      </c>
      <c r="W54" s="169" t="s">
        <v>173</v>
      </c>
      <c r="X54">
        <v>1</v>
      </c>
      <c r="Y54">
        <v>8</v>
      </c>
      <c r="Z54" t="s">
        <v>173</v>
      </c>
    </row>
    <row r="55" spans="1:26" x14ac:dyDescent="0.25">
      <c r="A55" s="169" t="s">
        <v>174</v>
      </c>
      <c r="B55">
        <v>4</v>
      </c>
      <c r="C55" s="169" t="s">
        <v>317</v>
      </c>
      <c r="D55">
        <v>434388447</v>
      </c>
      <c r="F55" s="169" t="s">
        <v>180</v>
      </c>
      <c r="G55">
        <v>1</v>
      </c>
      <c r="J55" s="169"/>
      <c r="K55">
        <v>31</v>
      </c>
      <c r="L55">
        <v>77</v>
      </c>
      <c r="M55">
        <v>72910</v>
      </c>
      <c r="N55">
        <v>10950</v>
      </c>
      <c r="O55">
        <v>235</v>
      </c>
      <c r="P55">
        <v>9</v>
      </c>
      <c r="Q55">
        <v>4</v>
      </c>
      <c r="R55">
        <v>20</v>
      </c>
      <c r="S55">
        <v>6</v>
      </c>
      <c r="T55">
        <v>8</v>
      </c>
      <c r="U55" s="168">
        <v>44783</v>
      </c>
      <c r="V55">
        <v>7.5</v>
      </c>
      <c r="W55" s="169" t="s">
        <v>201</v>
      </c>
      <c r="X55">
        <v>1</v>
      </c>
      <c r="Y55">
        <v>2</v>
      </c>
      <c r="Z55" t="s">
        <v>243</v>
      </c>
    </row>
    <row r="56" spans="1:26" x14ac:dyDescent="0.25">
      <c r="A56" s="169" t="s">
        <v>174</v>
      </c>
      <c r="B56">
        <v>3</v>
      </c>
      <c r="C56" s="169" t="s">
        <v>316</v>
      </c>
      <c r="D56">
        <v>424287978</v>
      </c>
      <c r="F56" s="169" t="s">
        <v>180</v>
      </c>
      <c r="G56">
        <v>1</v>
      </c>
      <c r="J56" s="169"/>
      <c r="K56">
        <v>35</v>
      </c>
      <c r="L56">
        <v>37</v>
      </c>
      <c r="M56">
        <v>35320</v>
      </c>
      <c r="N56">
        <v>12630</v>
      </c>
      <c r="O56">
        <v>293</v>
      </c>
      <c r="P56">
        <v>14</v>
      </c>
      <c r="Q56">
        <v>4</v>
      </c>
      <c r="R56">
        <v>20</v>
      </c>
      <c r="S56">
        <v>7</v>
      </c>
      <c r="T56">
        <v>7</v>
      </c>
      <c r="U56" s="168">
        <v>44783</v>
      </c>
      <c r="V56">
        <v>7.5</v>
      </c>
      <c r="W56" s="169" t="s">
        <v>181</v>
      </c>
      <c r="X56">
        <v>1</v>
      </c>
      <c r="Y56">
        <v>2</v>
      </c>
      <c r="Z56" t="s">
        <v>478</v>
      </c>
    </row>
    <row r="57" spans="1:26" x14ac:dyDescent="0.25">
      <c r="A57" s="169" t="s">
        <v>174</v>
      </c>
      <c r="C57" s="169" t="s">
        <v>335</v>
      </c>
      <c r="D57">
        <v>435756737</v>
      </c>
      <c r="F57" s="169" t="s">
        <v>180</v>
      </c>
      <c r="G57">
        <v>1</v>
      </c>
      <c r="J57" s="169"/>
      <c r="K57">
        <v>31</v>
      </c>
      <c r="L57">
        <v>69</v>
      </c>
      <c r="M57">
        <v>49370</v>
      </c>
      <c r="N57">
        <v>5190</v>
      </c>
      <c r="O57">
        <v>223</v>
      </c>
      <c r="P57">
        <v>9</v>
      </c>
      <c r="Q57">
        <v>4</v>
      </c>
      <c r="R57">
        <v>20</v>
      </c>
      <c r="S57">
        <v>7</v>
      </c>
      <c r="T57">
        <v>8</v>
      </c>
      <c r="U57" s="168">
        <v>44779</v>
      </c>
      <c r="V57">
        <v>7.5</v>
      </c>
      <c r="W57" s="169" t="s">
        <v>207</v>
      </c>
      <c r="X57">
        <v>1</v>
      </c>
      <c r="Y57">
        <v>2</v>
      </c>
      <c r="Z57" t="s">
        <v>241</v>
      </c>
    </row>
    <row r="58" spans="1:26" x14ac:dyDescent="0.25">
      <c r="A58" s="169" t="s">
        <v>174</v>
      </c>
      <c r="C58" s="169" t="s">
        <v>338</v>
      </c>
      <c r="D58">
        <v>437682998</v>
      </c>
      <c r="F58" s="169" t="s">
        <v>183</v>
      </c>
      <c r="G58">
        <v>1</v>
      </c>
      <c r="J58" s="169" t="s">
        <v>172</v>
      </c>
      <c r="K58">
        <v>30</v>
      </c>
      <c r="L58">
        <v>37</v>
      </c>
      <c r="M58">
        <v>135810</v>
      </c>
      <c r="N58">
        <v>19050</v>
      </c>
      <c r="O58">
        <v>213</v>
      </c>
      <c r="P58">
        <v>12</v>
      </c>
      <c r="Q58">
        <v>4</v>
      </c>
      <c r="R58">
        <v>20</v>
      </c>
      <c r="S58">
        <v>7</v>
      </c>
      <c r="T58">
        <v>8</v>
      </c>
      <c r="U58" s="168">
        <v>44814</v>
      </c>
      <c r="V58">
        <v>7.5</v>
      </c>
      <c r="W58" s="169" t="s">
        <v>177</v>
      </c>
      <c r="X58">
        <v>1</v>
      </c>
      <c r="Y58">
        <v>8</v>
      </c>
      <c r="Z58" t="s">
        <v>242</v>
      </c>
    </row>
    <row r="59" spans="1:26" x14ac:dyDescent="0.25">
      <c r="A59" s="169" t="s">
        <v>174</v>
      </c>
      <c r="C59" s="169" t="s">
        <v>325</v>
      </c>
      <c r="D59">
        <v>461301434</v>
      </c>
      <c r="F59" s="169" t="s">
        <v>183</v>
      </c>
      <c r="G59">
        <v>1</v>
      </c>
      <c r="J59" s="169"/>
      <c r="K59">
        <v>20</v>
      </c>
      <c r="L59">
        <v>71</v>
      </c>
      <c r="M59">
        <v>26450</v>
      </c>
      <c r="N59">
        <v>3730</v>
      </c>
      <c r="O59">
        <v>58</v>
      </c>
      <c r="P59">
        <v>2</v>
      </c>
      <c r="Q59">
        <v>7</v>
      </c>
      <c r="R59">
        <v>20</v>
      </c>
      <c r="S59">
        <v>7</v>
      </c>
      <c r="T59">
        <v>9</v>
      </c>
      <c r="U59" s="168">
        <v>44783</v>
      </c>
      <c r="V59">
        <v>7</v>
      </c>
      <c r="W59" s="169" t="s">
        <v>147</v>
      </c>
      <c r="X59">
        <v>1</v>
      </c>
      <c r="Y59">
        <v>2</v>
      </c>
      <c r="Z59" t="s">
        <v>242</v>
      </c>
    </row>
    <row r="60" spans="1:26" x14ac:dyDescent="0.25">
      <c r="A60" s="169" t="s">
        <v>174</v>
      </c>
      <c r="C60" s="169" t="s">
        <v>325</v>
      </c>
      <c r="D60">
        <v>461301434</v>
      </c>
      <c r="F60" s="169" t="s">
        <v>183</v>
      </c>
      <c r="G60">
        <v>1</v>
      </c>
      <c r="J60" s="169" t="s">
        <v>172</v>
      </c>
      <c r="K60">
        <v>20</v>
      </c>
      <c r="L60">
        <v>103</v>
      </c>
      <c r="M60">
        <v>21910</v>
      </c>
      <c r="N60">
        <v>3730</v>
      </c>
      <c r="O60">
        <v>62</v>
      </c>
      <c r="P60">
        <v>2</v>
      </c>
      <c r="Q60">
        <v>7</v>
      </c>
      <c r="R60">
        <v>20</v>
      </c>
      <c r="S60">
        <v>5</v>
      </c>
      <c r="T60">
        <v>8</v>
      </c>
      <c r="U60" s="168">
        <v>44783</v>
      </c>
      <c r="V60">
        <v>7</v>
      </c>
      <c r="W60" s="169" t="s">
        <v>147</v>
      </c>
      <c r="X60">
        <v>1</v>
      </c>
      <c r="Y60">
        <v>8</v>
      </c>
      <c r="Z60" t="s">
        <v>242</v>
      </c>
    </row>
    <row r="61" spans="1:26" x14ac:dyDescent="0.25">
      <c r="A61" s="169" t="s">
        <v>174</v>
      </c>
      <c r="C61" s="169" t="s">
        <v>325</v>
      </c>
      <c r="D61">
        <v>461301434</v>
      </c>
      <c r="F61" s="169" t="s">
        <v>183</v>
      </c>
      <c r="G61">
        <v>1</v>
      </c>
      <c r="H61" s="169" t="s">
        <v>172</v>
      </c>
      <c r="J61" s="169" t="s">
        <v>172</v>
      </c>
      <c r="K61">
        <v>20</v>
      </c>
      <c r="L61">
        <v>107</v>
      </c>
      <c r="M61">
        <v>20530</v>
      </c>
      <c r="N61">
        <v>3730</v>
      </c>
      <c r="O61">
        <v>63</v>
      </c>
      <c r="P61">
        <v>2</v>
      </c>
      <c r="Q61">
        <v>7</v>
      </c>
      <c r="R61">
        <v>20</v>
      </c>
      <c r="S61">
        <v>4</v>
      </c>
      <c r="T61">
        <v>8</v>
      </c>
      <c r="U61" s="168">
        <v>44783</v>
      </c>
      <c r="V61">
        <v>7</v>
      </c>
      <c r="W61" s="169" t="s">
        <v>147</v>
      </c>
      <c r="X61">
        <v>1</v>
      </c>
      <c r="Y61">
        <v>9</v>
      </c>
      <c r="Z61" t="s">
        <v>242</v>
      </c>
    </row>
    <row r="62" spans="1:26" x14ac:dyDescent="0.25">
      <c r="A62" s="169" t="s">
        <v>268</v>
      </c>
      <c r="C62" s="169" t="s">
        <v>328</v>
      </c>
      <c r="D62">
        <v>439421251</v>
      </c>
      <c r="F62" s="169" t="s">
        <v>172</v>
      </c>
      <c r="J62" s="169" t="s">
        <v>172</v>
      </c>
      <c r="K62">
        <v>29</v>
      </c>
      <c r="L62">
        <v>29</v>
      </c>
      <c r="M62">
        <v>39830</v>
      </c>
      <c r="N62">
        <v>14772</v>
      </c>
      <c r="O62">
        <v>76</v>
      </c>
      <c r="P62">
        <v>8</v>
      </c>
      <c r="Q62">
        <v>3</v>
      </c>
      <c r="R62">
        <v>20</v>
      </c>
      <c r="S62">
        <v>6</v>
      </c>
      <c r="T62">
        <v>8</v>
      </c>
      <c r="U62" s="168">
        <v>44765</v>
      </c>
      <c r="V62">
        <v>7</v>
      </c>
      <c r="W62" s="169" t="s">
        <v>173</v>
      </c>
      <c r="X62">
        <v>1</v>
      </c>
      <c r="Y62">
        <v>1</v>
      </c>
      <c r="Z62" t="s">
        <v>173</v>
      </c>
    </row>
    <row r="63" spans="1:26" x14ac:dyDescent="0.25">
      <c r="A63" s="169" t="s">
        <v>174</v>
      </c>
      <c r="B63">
        <v>1</v>
      </c>
      <c r="C63" s="169" t="s">
        <v>315</v>
      </c>
      <c r="D63">
        <v>424047074</v>
      </c>
      <c r="F63" s="169" t="s">
        <v>180</v>
      </c>
      <c r="G63">
        <v>1</v>
      </c>
      <c r="J63" s="169" t="s">
        <v>172</v>
      </c>
      <c r="K63">
        <v>35</v>
      </c>
      <c r="L63">
        <v>87</v>
      </c>
      <c r="M63">
        <v>27810</v>
      </c>
      <c r="N63">
        <v>12430</v>
      </c>
      <c r="O63">
        <v>300</v>
      </c>
      <c r="P63">
        <v>16</v>
      </c>
      <c r="Q63">
        <v>3</v>
      </c>
      <c r="R63">
        <v>20</v>
      </c>
      <c r="S63">
        <v>6</v>
      </c>
      <c r="T63">
        <v>7</v>
      </c>
      <c r="U63" s="168">
        <v>44814</v>
      </c>
      <c r="V63">
        <v>7</v>
      </c>
      <c r="W63" s="169" t="s">
        <v>201</v>
      </c>
      <c r="X63">
        <v>1</v>
      </c>
      <c r="Y63">
        <v>8</v>
      </c>
      <c r="Z63" t="s">
        <v>478</v>
      </c>
    </row>
    <row r="64" spans="1:26" x14ac:dyDescent="0.25">
      <c r="A64" s="169" t="s">
        <v>174</v>
      </c>
      <c r="C64" s="169" t="s">
        <v>335</v>
      </c>
      <c r="D64">
        <v>435756737</v>
      </c>
      <c r="F64" s="169" t="s">
        <v>180</v>
      </c>
      <c r="G64">
        <v>1</v>
      </c>
      <c r="J64" s="169" t="s">
        <v>172</v>
      </c>
      <c r="K64">
        <v>31</v>
      </c>
      <c r="L64">
        <v>56</v>
      </c>
      <c r="M64">
        <v>47140</v>
      </c>
      <c r="N64">
        <v>5190</v>
      </c>
      <c r="O64">
        <v>221</v>
      </c>
      <c r="P64">
        <v>8</v>
      </c>
      <c r="Q64">
        <v>4</v>
      </c>
      <c r="R64">
        <v>20</v>
      </c>
      <c r="S64">
        <v>7</v>
      </c>
      <c r="T64">
        <v>8</v>
      </c>
      <c r="U64" s="168">
        <v>44769</v>
      </c>
      <c r="V64">
        <v>7</v>
      </c>
      <c r="W64" s="169" t="s">
        <v>201</v>
      </c>
      <c r="X64">
        <v>1</v>
      </c>
      <c r="Y64">
        <v>1</v>
      </c>
      <c r="Z64" t="s">
        <v>241</v>
      </c>
    </row>
    <row r="65" spans="1:26" x14ac:dyDescent="0.25">
      <c r="A65" s="169" t="s">
        <v>174</v>
      </c>
      <c r="C65" s="169" t="s">
        <v>337</v>
      </c>
      <c r="D65">
        <v>435294829</v>
      </c>
      <c r="F65" s="169" t="s">
        <v>183</v>
      </c>
      <c r="J65" s="169" t="s">
        <v>172</v>
      </c>
      <c r="K65">
        <v>31</v>
      </c>
      <c r="L65">
        <v>69</v>
      </c>
      <c r="M65">
        <v>69210</v>
      </c>
      <c r="N65">
        <v>7850</v>
      </c>
      <c r="O65">
        <v>175</v>
      </c>
      <c r="P65">
        <v>8</v>
      </c>
      <c r="Q65">
        <v>1</v>
      </c>
      <c r="R65">
        <v>20</v>
      </c>
      <c r="S65">
        <v>7</v>
      </c>
      <c r="T65">
        <v>8</v>
      </c>
      <c r="U65" s="168">
        <v>44769</v>
      </c>
      <c r="V65">
        <v>7</v>
      </c>
      <c r="W65" s="169" t="s">
        <v>207</v>
      </c>
      <c r="X65">
        <v>1</v>
      </c>
      <c r="Y65">
        <v>1</v>
      </c>
      <c r="Z65" t="s">
        <v>241</v>
      </c>
    </row>
    <row r="66" spans="1:26" x14ac:dyDescent="0.25">
      <c r="A66" s="169" t="s">
        <v>174</v>
      </c>
      <c r="C66" s="169" t="s">
        <v>325</v>
      </c>
      <c r="D66">
        <v>461301434</v>
      </c>
      <c r="F66" s="169" t="s">
        <v>183</v>
      </c>
      <c r="G66">
        <v>1</v>
      </c>
      <c r="J66" s="169" t="s">
        <v>172</v>
      </c>
      <c r="K66">
        <v>20</v>
      </c>
      <c r="L66">
        <v>58</v>
      </c>
      <c r="M66">
        <v>25450</v>
      </c>
      <c r="N66">
        <v>3730</v>
      </c>
      <c r="O66">
        <v>56</v>
      </c>
      <c r="P66">
        <v>2</v>
      </c>
      <c r="Q66">
        <v>7</v>
      </c>
      <c r="R66">
        <v>20</v>
      </c>
      <c r="S66">
        <v>7</v>
      </c>
      <c r="T66">
        <v>9</v>
      </c>
      <c r="U66" s="168">
        <v>44769</v>
      </c>
      <c r="V66">
        <v>6.5</v>
      </c>
      <c r="W66" s="169" t="s">
        <v>147</v>
      </c>
      <c r="X66">
        <v>1</v>
      </c>
      <c r="Y66">
        <v>1</v>
      </c>
      <c r="Z66" t="s">
        <v>242</v>
      </c>
    </row>
    <row r="67" spans="1:26" x14ac:dyDescent="0.25">
      <c r="A67" s="169" t="s">
        <v>174</v>
      </c>
      <c r="B67">
        <v>1</v>
      </c>
      <c r="C67" s="169" t="s">
        <v>315</v>
      </c>
      <c r="D67">
        <v>424047074</v>
      </c>
      <c r="F67" s="169" t="s">
        <v>180</v>
      </c>
      <c r="G67">
        <v>1</v>
      </c>
      <c r="J67" s="169" t="s">
        <v>172</v>
      </c>
      <c r="K67">
        <v>35</v>
      </c>
      <c r="L67">
        <v>42</v>
      </c>
      <c r="M67">
        <v>35800</v>
      </c>
      <c r="N67">
        <v>12430</v>
      </c>
      <c r="O67">
        <v>293</v>
      </c>
      <c r="P67">
        <v>15</v>
      </c>
      <c r="Q67">
        <v>3</v>
      </c>
      <c r="R67">
        <v>20</v>
      </c>
      <c r="S67">
        <v>7</v>
      </c>
      <c r="T67">
        <v>7</v>
      </c>
      <c r="U67" s="168">
        <v>44765</v>
      </c>
      <c r="V67">
        <v>6.5</v>
      </c>
      <c r="W67" s="169" t="s">
        <v>207</v>
      </c>
      <c r="X67">
        <v>1</v>
      </c>
      <c r="Y67">
        <v>1</v>
      </c>
      <c r="Z67" t="s">
        <v>478</v>
      </c>
    </row>
    <row r="68" spans="1:26" x14ac:dyDescent="0.25">
      <c r="A68" s="169" t="s">
        <v>174</v>
      </c>
      <c r="C68" s="169" t="s">
        <v>329</v>
      </c>
      <c r="D68">
        <v>435350188</v>
      </c>
      <c r="F68" s="169" t="s">
        <v>176</v>
      </c>
      <c r="G68">
        <v>1</v>
      </c>
      <c r="J68" s="169" t="s">
        <v>172</v>
      </c>
      <c r="K68">
        <v>31</v>
      </c>
      <c r="L68">
        <v>54</v>
      </c>
      <c r="M68">
        <v>114710</v>
      </c>
      <c r="N68">
        <v>22560</v>
      </c>
      <c r="O68">
        <v>231</v>
      </c>
      <c r="P68">
        <v>12</v>
      </c>
      <c r="Q68">
        <v>6</v>
      </c>
      <c r="R68">
        <v>20</v>
      </c>
      <c r="S68">
        <v>6</v>
      </c>
      <c r="T68">
        <v>8</v>
      </c>
      <c r="U68" s="168">
        <v>44814</v>
      </c>
      <c r="V68">
        <v>6.5</v>
      </c>
      <c r="W68" s="169" t="s">
        <v>207</v>
      </c>
      <c r="X68">
        <v>1</v>
      </c>
      <c r="Y68">
        <v>8</v>
      </c>
      <c r="Z68" t="s">
        <v>242</v>
      </c>
    </row>
    <row r="69" spans="1:26" x14ac:dyDescent="0.25">
      <c r="A69" s="169" t="s">
        <v>174</v>
      </c>
      <c r="B69">
        <v>4</v>
      </c>
      <c r="C69" s="169" t="s">
        <v>317</v>
      </c>
      <c r="D69">
        <v>434388447</v>
      </c>
      <c r="F69" s="169" t="s">
        <v>180</v>
      </c>
      <c r="G69">
        <v>1</v>
      </c>
      <c r="I69">
        <v>3</v>
      </c>
      <c r="J69" s="169" t="s">
        <v>172</v>
      </c>
      <c r="K69">
        <v>31</v>
      </c>
      <c r="L69">
        <v>64</v>
      </c>
      <c r="M69">
        <v>72720</v>
      </c>
      <c r="N69">
        <v>10950</v>
      </c>
      <c r="O69">
        <v>233</v>
      </c>
      <c r="P69">
        <v>8</v>
      </c>
      <c r="Q69">
        <v>4</v>
      </c>
      <c r="R69">
        <v>20</v>
      </c>
      <c r="S69">
        <v>6</v>
      </c>
      <c r="T69">
        <v>8</v>
      </c>
      <c r="U69" s="168">
        <v>44769</v>
      </c>
      <c r="V69">
        <v>6.5</v>
      </c>
      <c r="W69" s="169" t="s">
        <v>177</v>
      </c>
      <c r="X69">
        <v>1</v>
      </c>
      <c r="Y69">
        <v>1</v>
      </c>
      <c r="Z69" t="s">
        <v>243</v>
      </c>
    </row>
    <row r="70" spans="1:26" x14ac:dyDescent="0.25">
      <c r="A70" s="169" t="s">
        <v>174</v>
      </c>
      <c r="B70">
        <v>4</v>
      </c>
      <c r="C70" s="169" t="s">
        <v>317</v>
      </c>
      <c r="D70">
        <v>434388447</v>
      </c>
      <c r="F70" s="169" t="s">
        <v>180</v>
      </c>
      <c r="G70">
        <v>1</v>
      </c>
      <c r="J70" s="169" t="s">
        <v>172</v>
      </c>
      <c r="K70">
        <v>31</v>
      </c>
      <c r="L70">
        <v>109</v>
      </c>
      <c r="M70">
        <v>70640</v>
      </c>
      <c r="N70">
        <v>10950</v>
      </c>
      <c r="O70">
        <v>239</v>
      </c>
      <c r="P70">
        <v>9</v>
      </c>
      <c r="Q70">
        <v>4</v>
      </c>
      <c r="R70">
        <v>20</v>
      </c>
      <c r="S70">
        <v>6</v>
      </c>
      <c r="T70">
        <v>8</v>
      </c>
      <c r="U70" s="168">
        <v>44814</v>
      </c>
      <c r="V70">
        <v>6</v>
      </c>
      <c r="W70" s="169" t="s">
        <v>146</v>
      </c>
      <c r="X70">
        <v>1</v>
      </c>
      <c r="Y70">
        <v>8</v>
      </c>
      <c r="Z70" t="s">
        <v>243</v>
      </c>
    </row>
    <row r="71" spans="1:26" x14ac:dyDescent="0.25">
      <c r="A71" s="169" t="s">
        <v>174</v>
      </c>
      <c r="B71">
        <v>4</v>
      </c>
      <c r="C71" s="169" t="s">
        <v>317</v>
      </c>
      <c r="D71">
        <v>434388447</v>
      </c>
      <c r="F71" s="169" t="s">
        <v>180</v>
      </c>
      <c r="G71">
        <v>1</v>
      </c>
      <c r="H71" s="169" t="s">
        <v>172</v>
      </c>
      <c r="J71" s="169" t="s">
        <v>172</v>
      </c>
      <c r="K71">
        <v>32</v>
      </c>
      <c r="L71">
        <v>1</v>
      </c>
      <c r="M71">
        <v>57710</v>
      </c>
      <c r="N71">
        <v>9890</v>
      </c>
      <c r="O71">
        <v>240</v>
      </c>
      <c r="P71">
        <v>9</v>
      </c>
      <c r="Q71">
        <v>4</v>
      </c>
      <c r="R71">
        <v>20</v>
      </c>
      <c r="S71">
        <v>6</v>
      </c>
      <c r="T71">
        <v>8</v>
      </c>
      <c r="U71" s="168">
        <v>44814</v>
      </c>
      <c r="V71">
        <v>6</v>
      </c>
      <c r="W71" s="169" t="s">
        <v>146</v>
      </c>
      <c r="X71">
        <v>1</v>
      </c>
      <c r="Y71">
        <v>9</v>
      </c>
      <c r="Z71" t="s">
        <v>243</v>
      </c>
    </row>
    <row r="72" spans="1:26" x14ac:dyDescent="0.25">
      <c r="A72" s="169" t="s">
        <v>174</v>
      </c>
      <c r="B72">
        <v>3</v>
      </c>
      <c r="C72" s="169" t="s">
        <v>316</v>
      </c>
      <c r="D72">
        <v>424287978</v>
      </c>
      <c r="F72" s="169" t="s">
        <v>180</v>
      </c>
      <c r="G72">
        <v>1</v>
      </c>
      <c r="J72" s="169" t="s">
        <v>172</v>
      </c>
      <c r="K72">
        <v>35</v>
      </c>
      <c r="L72">
        <v>24</v>
      </c>
      <c r="M72">
        <v>36670</v>
      </c>
      <c r="N72">
        <v>12630</v>
      </c>
      <c r="O72">
        <v>291</v>
      </c>
      <c r="P72">
        <v>14</v>
      </c>
      <c r="Q72">
        <v>4</v>
      </c>
      <c r="R72">
        <v>20</v>
      </c>
      <c r="S72">
        <v>7</v>
      </c>
      <c r="T72">
        <v>7</v>
      </c>
      <c r="U72" s="168">
        <v>44765</v>
      </c>
      <c r="V72">
        <v>6</v>
      </c>
      <c r="W72" s="169" t="s">
        <v>177</v>
      </c>
      <c r="X72">
        <v>1</v>
      </c>
      <c r="Y72">
        <v>1</v>
      </c>
      <c r="Z72" t="s">
        <v>478</v>
      </c>
    </row>
    <row r="73" spans="1:26" x14ac:dyDescent="0.25">
      <c r="A73" s="169" t="s">
        <v>268</v>
      </c>
      <c r="C73" s="169" t="s">
        <v>324</v>
      </c>
      <c r="D73">
        <v>334269782</v>
      </c>
      <c r="E73">
        <v>1</v>
      </c>
      <c r="F73" s="169" t="s">
        <v>172</v>
      </c>
      <c r="J73" s="169" t="s">
        <v>172</v>
      </c>
      <c r="K73">
        <v>52</v>
      </c>
      <c r="L73">
        <v>17</v>
      </c>
      <c r="M73">
        <v>0</v>
      </c>
      <c r="N73">
        <v>300</v>
      </c>
      <c r="O73">
        <v>240</v>
      </c>
      <c r="P73">
        <v>15</v>
      </c>
      <c r="Q73">
        <v>5</v>
      </c>
      <c r="R73">
        <v>20</v>
      </c>
      <c r="S73">
        <v>2</v>
      </c>
      <c r="T73">
        <v>2</v>
      </c>
      <c r="U73" s="168">
        <v>43397</v>
      </c>
      <c r="V73">
        <v>5</v>
      </c>
      <c r="W73" s="169" t="s">
        <v>147</v>
      </c>
      <c r="Y73">
        <v>1</v>
      </c>
    </row>
    <row r="74" spans="1:26" x14ac:dyDescent="0.25">
      <c r="A74" s="169" t="s">
        <v>268</v>
      </c>
      <c r="C74" s="169" t="s">
        <v>324</v>
      </c>
      <c r="D74">
        <v>334269782</v>
      </c>
      <c r="E74">
        <v>1</v>
      </c>
      <c r="F74" s="169" t="s">
        <v>172</v>
      </c>
      <c r="J74" s="169"/>
      <c r="K74">
        <v>52</v>
      </c>
      <c r="L74">
        <v>30</v>
      </c>
      <c r="M74">
        <v>0</v>
      </c>
      <c r="N74">
        <v>300</v>
      </c>
      <c r="O74">
        <v>242</v>
      </c>
      <c r="P74">
        <v>15</v>
      </c>
      <c r="Q74">
        <v>5</v>
      </c>
      <c r="R74">
        <v>20</v>
      </c>
      <c r="S74">
        <v>2</v>
      </c>
      <c r="T74">
        <v>2</v>
      </c>
      <c r="U74" s="168">
        <v>43397</v>
      </c>
      <c r="V74">
        <v>5</v>
      </c>
      <c r="W74" s="169" t="s">
        <v>147</v>
      </c>
      <c r="Y74">
        <v>2</v>
      </c>
    </row>
    <row r="75" spans="1:26" x14ac:dyDescent="0.25">
      <c r="A75" s="169" t="s">
        <v>268</v>
      </c>
      <c r="C75" s="169" t="s">
        <v>324</v>
      </c>
      <c r="D75">
        <v>334269782</v>
      </c>
      <c r="E75">
        <v>1</v>
      </c>
      <c r="F75" s="169" t="s">
        <v>172</v>
      </c>
      <c r="J75" s="169" t="s">
        <v>172</v>
      </c>
      <c r="K75">
        <v>52</v>
      </c>
      <c r="L75">
        <v>62</v>
      </c>
      <c r="M75">
        <v>0</v>
      </c>
      <c r="N75">
        <v>300</v>
      </c>
      <c r="O75">
        <v>247</v>
      </c>
      <c r="P75">
        <v>15</v>
      </c>
      <c r="Q75">
        <v>5</v>
      </c>
      <c r="R75">
        <v>20</v>
      </c>
      <c r="S75">
        <v>3</v>
      </c>
      <c r="T75">
        <v>2</v>
      </c>
      <c r="U75" s="168">
        <v>43397</v>
      </c>
      <c r="V75">
        <v>5</v>
      </c>
      <c r="W75" s="169" t="s">
        <v>147</v>
      </c>
      <c r="Y75">
        <v>8</v>
      </c>
    </row>
    <row r="76" spans="1:26" x14ac:dyDescent="0.25">
      <c r="A76" s="169" t="s">
        <v>268</v>
      </c>
      <c r="C76" s="169" t="s">
        <v>324</v>
      </c>
      <c r="D76">
        <v>334269782</v>
      </c>
      <c r="E76">
        <v>1</v>
      </c>
      <c r="F76" s="169" t="s">
        <v>172</v>
      </c>
      <c r="H76" s="169" t="s">
        <v>172</v>
      </c>
      <c r="J76" s="169" t="s">
        <v>172</v>
      </c>
      <c r="K76">
        <v>52</v>
      </c>
      <c r="L76">
        <v>66</v>
      </c>
      <c r="M76">
        <v>0</v>
      </c>
      <c r="N76">
        <v>300</v>
      </c>
      <c r="O76">
        <v>247</v>
      </c>
      <c r="P76">
        <v>15</v>
      </c>
      <c r="Q76">
        <v>5</v>
      </c>
      <c r="R76">
        <v>20</v>
      </c>
      <c r="S76">
        <v>5</v>
      </c>
      <c r="T76">
        <v>2</v>
      </c>
      <c r="U76" s="168">
        <v>43397</v>
      </c>
      <c r="V76">
        <v>5</v>
      </c>
      <c r="W76" s="169" t="s">
        <v>147</v>
      </c>
      <c r="Y76">
        <v>9</v>
      </c>
    </row>
    <row r="77" spans="1:26" x14ac:dyDescent="0.25">
      <c r="A77" s="169" t="s">
        <v>174</v>
      </c>
      <c r="C77" s="169" t="s">
        <v>326</v>
      </c>
      <c r="D77">
        <v>447466242</v>
      </c>
      <c r="F77" s="169" t="s">
        <v>176</v>
      </c>
      <c r="G77">
        <v>1</v>
      </c>
      <c r="J77" s="169" t="s">
        <v>172</v>
      </c>
      <c r="K77">
        <v>26</v>
      </c>
      <c r="L77">
        <v>73</v>
      </c>
      <c r="M77">
        <v>2970</v>
      </c>
      <c r="N77">
        <v>510</v>
      </c>
      <c r="O77">
        <v>139</v>
      </c>
      <c r="P77">
        <v>2</v>
      </c>
      <c r="Q77">
        <v>5</v>
      </c>
      <c r="R77">
        <v>20</v>
      </c>
      <c r="S77">
        <v>8</v>
      </c>
      <c r="T77">
        <v>9</v>
      </c>
      <c r="U77" s="168">
        <v>44765</v>
      </c>
      <c r="V77">
        <v>5</v>
      </c>
      <c r="W77" s="169" t="s">
        <v>148</v>
      </c>
      <c r="Y77">
        <v>1</v>
      </c>
    </row>
    <row r="78" spans="1:26" x14ac:dyDescent="0.25">
      <c r="A78" s="169" t="s">
        <v>174</v>
      </c>
      <c r="C78" s="169" t="s">
        <v>326</v>
      </c>
      <c r="D78">
        <v>447466242</v>
      </c>
      <c r="F78" s="169" t="s">
        <v>176</v>
      </c>
      <c r="G78">
        <v>1</v>
      </c>
      <c r="J78" s="169"/>
      <c r="K78">
        <v>26</v>
      </c>
      <c r="L78">
        <v>86</v>
      </c>
      <c r="M78">
        <v>2930</v>
      </c>
      <c r="N78">
        <v>510</v>
      </c>
      <c r="O78">
        <v>141</v>
      </c>
      <c r="P78">
        <v>2</v>
      </c>
      <c r="Q78">
        <v>5</v>
      </c>
      <c r="R78">
        <v>20</v>
      </c>
      <c r="S78">
        <v>8</v>
      </c>
      <c r="T78">
        <v>9</v>
      </c>
      <c r="U78" s="168">
        <v>44765</v>
      </c>
      <c r="V78">
        <v>5</v>
      </c>
      <c r="W78" s="169" t="s">
        <v>148</v>
      </c>
      <c r="Y78">
        <v>2</v>
      </c>
    </row>
    <row r="79" spans="1:26" x14ac:dyDescent="0.25">
      <c r="A79" s="169" t="s">
        <v>174</v>
      </c>
      <c r="C79" s="169" t="s">
        <v>326</v>
      </c>
      <c r="D79">
        <v>447466242</v>
      </c>
      <c r="F79" s="169" t="s">
        <v>176</v>
      </c>
      <c r="G79">
        <v>1</v>
      </c>
      <c r="J79" s="169" t="s">
        <v>172</v>
      </c>
      <c r="K79">
        <v>27</v>
      </c>
      <c r="L79">
        <v>6</v>
      </c>
      <c r="M79">
        <v>2660</v>
      </c>
      <c r="N79">
        <v>610</v>
      </c>
      <c r="O79">
        <v>146</v>
      </c>
      <c r="P79">
        <v>2</v>
      </c>
      <c r="Q79">
        <v>5</v>
      </c>
      <c r="R79">
        <v>20</v>
      </c>
      <c r="S79">
        <v>7</v>
      </c>
      <c r="T79">
        <v>8</v>
      </c>
      <c r="U79" s="168">
        <v>44765</v>
      </c>
      <c r="V79">
        <v>5</v>
      </c>
      <c r="W79" s="169" t="s">
        <v>148</v>
      </c>
      <c r="Y79">
        <v>8</v>
      </c>
    </row>
    <row r="80" spans="1:26" x14ac:dyDescent="0.25">
      <c r="A80" s="169" t="s">
        <v>174</v>
      </c>
      <c r="C80" s="169" t="s">
        <v>326</v>
      </c>
      <c r="D80">
        <v>447466242</v>
      </c>
      <c r="F80" s="169" t="s">
        <v>176</v>
      </c>
      <c r="G80">
        <v>1</v>
      </c>
      <c r="H80" s="169" t="s">
        <v>172</v>
      </c>
      <c r="J80" s="169" t="s">
        <v>172</v>
      </c>
      <c r="K80">
        <v>27</v>
      </c>
      <c r="L80">
        <v>10</v>
      </c>
      <c r="M80">
        <v>2710</v>
      </c>
      <c r="N80">
        <v>610</v>
      </c>
      <c r="O80">
        <v>146</v>
      </c>
      <c r="P80">
        <v>2</v>
      </c>
      <c r="Q80">
        <v>5</v>
      </c>
      <c r="R80">
        <v>20</v>
      </c>
      <c r="S80">
        <v>7</v>
      </c>
      <c r="T80">
        <v>8</v>
      </c>
      <c r="U80" s="168">
        <v>44765</v>
      </c>
      <c r="V80">
        <v>5</v>
      </c>
      <c r="W80" s="169" t="s">
        <v>148</v>
      </c>
      <c r="Y80">
        <v>9</v>
      </c>
    </row>
    <row r="81" spans="1:26" x14ac:dyDescent="0.25">
      <c r="A81" s="169" t="s">
        <v>174</v>
      </c>
      <c r="C81" s="169" t="s">
        <v>327</v>
      </c>
      <c r="D81">
        <v>431230656</v>
      </c>
      <c r="F81" s="169" t="s">
        <v>180</v>
      </c>
      <c r="J81" s="169" t="s">
        <v>172</v>
      </c>
      <c r="K81">
        <v>33</v>
      </c>
      <c r="L81">
        <v>47</v>
      </c>
      <c r="M81">
        <v>16420</v>
      </c>
      <c r="N81">
        <v>12170</v>
      </c>
      <c r="O81">
        <v>120</v>
      </c>
      <c r="P81">
        <v>8</v>
      </c>
      <c r="Q81">
        <v>3</v>
      </c>
      <c r="R81">
        <v>20</v>
      </c>
      <c r="S81">
        <v>8</v>
      </c>
      <c r="T81">
        <v>7</v>
      </c>
      <c r="U81" s="168">
        <v>44793</v>
      </c>
      <c r="V81">
        <v>4.5</v>
      </c>
      <c r="W81" s="169" t="s">
        <v>146</v>
      </c>
      <c r="X81">
        <v>1</v>
      </c>
      <c r="Y81">
        <v>8</v>
      </c>
      <c r="Z81" t="s">
        <v>146</v>
      </c>
    </row>
    <row r="82" spans="1:26" x14ac:dyDescent="0.25">
      <c r="A82" s="169" t="s">
        <v>174</v>
      </c>
      <c r="C82" s="169" t="s">
        <v>330</v>
      </c>
      <c r="D82">
        <v>461786415</v>
      </c>
      <c r="F82" s="169" t="s">
        <v>183</v>
      </c>
      <c r="G82">
        <v>1</v>
      </c>
      <c r="J82" s="169" t="s">
        <v>172</v>
      </c>
      <c r="K82">
        <v>20</v>
      </c>
      <c r="L82">
        <v>29</v>
      </c>
      <c r="M82">
        <v>5360</v>
      </c>
      <c r="N82">
        <v>1270</v>
      </c>
      <c r="O82">
        <v>50</v>
      </c>
      <c r="P82">
        <v>2</v>
      </c>
      <c r="Q82">
        <v>2</v>
      </c>
      <c r="R82">
        <v>20</v>
      </c>
      <c r="S82">
        <v>4</v>
      </c>
      <c r="T82">
        <v>9</v>
      </c>
      <c r="U82" s="168">
        <v>44765</v>
      </c>
      <c r="V82">
        <v>4.5</v>
      </c>
      <c r="W82" s="169" t="s">
        <v>147</v>
      </c>
      <c r="Y82">
        <v>1</v>
      </c>
    </row>
    <row r="83" spans="1:26" x14ac:dyDescent="0.25">
      <c r="A83" s="169" t="s">
        <v>174</v>
      </c>
      <c r="C83" s="169" t="s">
        <v>330</v>
      </c>
      <c r="D83">
        <v>461786415</v>
      </c>
      <c r="F83" s="169" t="s">
        <v>183</v>
      </c>
      <c r="G83">
        <v>1</v>
      </c>
      <c r="J83" s="169"/>
      <c r="K83">
        <v>20</v>
      </c>
      <c r="L83">
        <v>42</v>
      </c>
      <c r="M83">
        <v>5450</v>
      </c>
      <c r="N83">
        <v>1270</v>
      </c>
      <c r="O83">
        <v>52</v>
      </c>
      <c r="P83">
        <v>2</v>
      </c>
      <c r="Q83">
        <v>2</v>
      </c>
      <c r="R83">
        <v>20</v>
      </c>
      <c r="S83">
        <v>4</v>
      </c>
      <c r="T83">
        <v>9</v>
      </c>
      <c r="U83" s="168">
        <v>44765</v>
      </c>
      <c r="V83">
        <v>4.5</v>
      </c>
      <c r="W83" s="169" t="s">
        <v>147</v>
      </c>
      <c r="Y83">
        <v>2</v>
      </c>
    </row>
    <row r="84" spans="1:26" x14ac:dyDescent="0.25">
      <c r="A84" s="169" t="s">
        <v>174</v>
      </c>
      <c r="C84" s="169" t="s">
        <v>330</v>
      </c>
      <c r="D84">
        <v>461786415</v>
      </c>
      <c r="F84" s="169" t="s">
        <v>183</v>
      </c>
      <c r="G84">
        <v>1</v>
      </c>
      <c r="J84" s="169" t="s">
        <v>172</v>
      </c>
      <c r="K84">
        <v>20</v>
      </c>
      <c r="L84">
        <v>74</v>
      </c>
      <c r="M84">
        <v>5460</v>
      </c>
      <c r="N84">
        <v>1270</v>
      </c>
      <c r="O84">
        <v>57</v>
      </c>
      <c r="P84">
        <v>2</v>
      </c>
      <c r="Q84">
        <v>2</v>
      </c>
      <c r="R84">
        <v>20</v>
      </c>
      <c r="S84">
        <v>5</v>
      </c>
      <c r="T84">
        <v>8</v>
      </c>
      <c r="U84" s="168">
        <v>44765</v>
      </c>
      <c r="V84">
        <v>4.5</v>
      </c>
      <c r="W84" s="169" t="s">
        <v>147</v>
      </c>
      <c r="Y84">
        <v>8</v>
      </c>
    </row>
    <row r="85" spans="1:26" x14ac:dyDescent="0.25">
      <c r="A85" s="169" t="s">
        <v>174</v>
      </c>
      <c r="C85" s="169" t="s">
        <v>327</v>
      </c>
      <c r="D85">
        <v>431230656</v>
      </c>
      <c r="F85" s="169" t="s">
        <v>180</v>
      </c>
      <c r="H85">
        <v>1</v>
      </c>
      <c r="J85" s="169" t="s">
        <v>172</v>
      </c>
      <c r="K85">
        <v>33</v>
      </c>
      <c r="L85">
        <v>2</v>
      </c>
      <c r="M85">
        <v>13410</v>
      </c>
      <c r="N85">
        <v>12170</v>
      </c>
      <c r="O85">
        <v>114</v>
      </c>
      <c r="P85">
        <v>8</v>
      </c>
      <c r="Q85">
        <v>3</v>
      </c>
      <c r="R85">
        <v>20</v>
      </c>
      <c r="S85">
        <v>5</v>
      </c>
      <c r="T85">
        <v>8</v>
      </c>
      <c r="U85" s="168">
        <v>44765</v>
      </c>
      <c r="V85">
        <v>3.5</v>
      </c>
      <c r="W85" s="169" t="s">
        <v>146</v>
      </c>
      <c r="X85">
        <v>1</v>
      </c>
      <c r="Y85">
        <v>1</v>
      </c>
      <c r="Z85" t="s">
        <v>146</v>
      </c>
    </row>
    <row r="86" spans="1:26" x14ac:dyDescent="0.25">
      <c r="A86" s="169" t="s">
        <v>174</v>
      </c>
      <c r="C86" s="169" t="s">
        <v>327</v>
      </c>
      <c r="D86">
        <v>431230656</v>
      </c>
      <c r="F86" s="169" t="s">
        <v>180</v>
      </c>
      <c r="J86" s="169"/>
      <c r="K86">
        <v>33</v>
      </c>
      <c r="L86">
        <v>15</v>
      </c>
      <c r="M86">
        <v>15170</v>
      </c>
      <c r="N86">
        <v>12170</v>
      </c>
      <c r="O86">
        <v>116</v>
      </c>
      <c r="P86">
        <v>8</v>
      </c>
      <c r="Q86">
        <v>3</v>
      </c>
      <c r="R86">
        <v>20</v>
      </c>
      <c r="S86">
        <v>5</v>
      </c>
      <c r="T86">
        <v>8</v>
      </c>
      <c r="U86" s="168">
        <v>44776</v>
      </c>
      <c r="V86">
        <v>3.5</v>
      </c>
      <c r="W86" s="169" t="s">
        <v>146</v>
      </c>
      <c r="X86">
        <v>1</v>
      </c>
      <c r="Y86">
        <v>2</v>
      </c>
      <c r="Z86" t="s">
        <v>146</v>
      </c>
    </row>
    <row r="87" spans="1:26" x14ac:dyDescent="0.25">
      <c r="A87" s="169" t="s">
        <v>174</v>
      </c>
      <c r="C87" s="169" t="s">
        <v>331</v>
      </c>
      <c r="D87">
        <v>444830705</v>
      </c>
      <c r="F87" s="169" t="s">
        <v>171</v>
      </c>
      <c r="G87">
        <v>1</v>
      </c>
      <c r="J87" s="169" t="s">
        <v>172</v>
      </c>
      <c r="K87">
        <v>27</v>
      </c>
      <c r="L87">
        <v>30</v>
      </c>
      <c r="M87">
        <v>1640</v>
      </c>
      <c r="N87">
        <v>370</v>
      </c>
      <c r="O87">
        <v>155</v>
      </c>
      <c r="P87">
        <v>2</v>
      </c>
      <c r="Q87">
        <v>4</v>
      </c>
      <c r="R87">
        <v>20</v>
      </c>
      <c r="S87">
        <v>4</v>
      </c>
      <c r="T87">
        <v>8</v>
      </c>
      <c r="U87" s="168">
        <v>44762</v>
      </c>
      <c r="V87">
        <v>3</v>
      </c>
      <c r="W87" s="169" t="s">
        <v>148</v>
      </c>
      <c r="Y87">
        <v>1</v>
      </c>
    </row>
    <row r="88" spans="1:26" x14ac:dyDescent="0.25">
      <c r="A88" s="169" t="s">
        <v>174</v>
      </c>
      <c r="C88" s="169" t="s">
        <v>331</v>
      </c>
      <c r="D88">
        <v>444830705</v>
      </c>
      <c r="F88" s="169" t="s">
        <v>171</v>
      </c>
      <c r="G88">
        <v>1</v>
      </c>
      <c r="J88" s="169"/>
      <c r="K88">
        <v>27</v>
      </c>
      <c r="L88">
        <v>43</v>
      </c>
      <c r="M88">
        <v>1710</v>
      </c>
      <c r="N88">
        <v>370</v>
      </c>
      <c r="O88">
        <v>157</v>
      </c>
      <c r="P88">
        <v>2</v>
      </c>
      <c r="Q88">
        <v>4</v>
      </c>
      <c r="R88">
        <v>20</v>
      </c>
      <c r="S88">
        <v>5</v>
      </c>
      <c r="T88">
        <v>8</v>
      </c>
      <c r="U88" s="168">
        <v>44762</v>
      </c>
      <c r="V88">
        <v>3</v>
      </c>
      <c r="W88" s="169" t="s">
        <v>148</v>
      </c>
      <c r="Y88">
        <v>2</v>
      </c>
    </row>
    <row r="89" spans="1:26" x14ac:dyDescent="0.25">
      <c r="A89" s="169" t="s">
        <v>174</v>
      </c>
      <c r="C89" s="169" t="s">
        <v>331</v>
      </c>
      <c r="D89">
        <v>444830705</v>
      </c>
      <c r="F89" s="169" t="s">
        <v>171</v>
      </c>
      <c r="G89">
        <v>1</v>
      </c>
      <c r="J89" s="169" t="s">
        <v>172</v>
      </c>
      <c r="K89">
        <v>27</v>
      </c>
      <c r="L89">
        <v>75</v>
      </c>
      <c r="M89">
        <v>1350</v>
      </c>
      <c r="N89">
        <v>370</v>
      </c>
      <c r="O89">
        <v>161</v>
      </c>
      <c r="P89">
        <v>2</v>
      </c>
      <c r="Q89">
        <v>4</v>
      </c>
      <c r="R89">
        <v>20</v>
      </c>
      <c r="S89">
        <v>3</v>
      </c>
      <c r="T89">
        <v>7</v>
      </c>
      <c r="U89" s="168">
        <v>44762</v>
      </c>
      <c r="V89">
        <v>3</v>
      </c>
      <c r="W89" s="169" t="s">
        <v>148</v>
      </c>
      <c r="Y89">
        <v>8</v>
      </c>
    </row>
    <row r="90" spans="1:26" x14ac:dyDescent="0.25">
      <c r="A90" s="169" t="s">
        <v>174</v>
      </c>
      <c r="C90" s="169" t="s">
        <v>331</v>
      </c>
      <c r="D90">
        <v>444830705</v>
      </c>
      <c r="F90" s="169" t="s">
        <v>171</v>
      </c>
      <c r="G90">
        <v>1</v>
      </c>
      <c r="H90" s="169" t="s">
        <v>172</v>
      </c>
      <c r="J90" s="169" t="s">
        <v>172</v>
      </c>
      <c r="K90">
        <v>27</v>
      </c>
      <c r="L90">
        <v>79</v>
      </c>
      <c r="M90">
        <v>1350</v>
      </c>
      <c r="N90">
        <v>370</v>
      </c>
      <c r="O90">
        <v>162</v>
      </c>
      <c r="P90">
        <v>2</v>
      </c>
      <c r="Q90">
        <v>4</v>
      </c>
      <c r="R90">
        <v>20</v>
      </c>
      <c r="S90">
        <v>3</v>
      </c>
      <c r="T90">
        <v>7</v>
      </c>
      <c r="U90" s="168">
        <v>44762</v>
      </c>
      <c r="V90">
        <v>3</v>
      </c>
      <c r="W90" s="169" t="s">
        <v>148</v>
      </c>
      <c r="Y90">
        <v>9</v>
      </c>
    </row>
    <row r="91" spans="1:26" x14ac:dyDescent="0.25">
      <c r="A91" s="169" t="s">
        <v>174</v>
      </c>
      <c r="C91" s="169" t="s">
        <v>333</v>
      </c>
      <c r="D91">
        <v>470786338</v>
      </c>
      <c r="F91" s="169" t="s">
        <v>180</v>
      </c>
      <c r="G91">
        <v>1</v>
      </c>
      <c r="J91" s="169" t="s">
        <v>172</v>
      </c>
      <c r="K91">
        <v>17</v>
      </c>
      <c r="L91">
        <v>73</v>
      </c>
      <c r="M91">
        <v>940</v>
      </c>
      <c r="N91">
        <v>310</v>
      </c>
      <c r="O91">
        <v>1</v>
      </c>
      <c r="P91">
        <v>2</v>
      </c>
      <c r="Q91">
        <v>4</v>
      </c>
      <c r="R91">
        <v>20</v>
      </c>
      <c r="S91">
        <v>5</v>
      </c>
      <c r="T91">
        <v>5</v>
      </c>
      <c r="U91" s="168">
        <v>44765</v>
      </c>
      <c r="V91">
        <v>3</v>
      </c>
      <c r="W91" s="169" t="s">
        <v>146</v>
      </c>
      <c r="Y91">
        <v>1</v>
      </c>
    </row>
    <row r="92" spans="1:26" x14ac:dyDescent="0.25">
      <c r="A92" s="169" t="s">
        <v>174</v>
      </c>
      <c r="C92" s="169" t="s">
        <v>333</v>
      </c>
      <c r="D92">
        <v>470786338</v>
      </c>
      <c r="F92" s="169" t="s">
        <v>180</v>
      </c>
      <c r="G92">
        <v>1</v>
      </c>
      <c r="J92" s="169"/>
      <c r="K92">
        <v>17</v>
      </c>
      <c r="L92">
        <v>86</v>
      </c>
      <c r="M92">
        <v>930</v>
      </c>
      <c r="N92">
        <v>310</v>
      </c>
      <c r="O92">
        <v>3</v>
      </c>
      <c r="P92">
        <v>2</v>
      </c>
      <c r="Q92">
        <v>4</v>
      </c>
      <c r="R92">
        <v>20</v>
      </c>
      <c r="S92">
        <v>5</v>
      </c>
      <c r="T92">
        <v>6</v>
      </c>
      <c r="U92" s="168">
        <v>44765</v>
      </c>
      <c r="V92">
        <v>3</v>
      </c>
      <c r="W92" s="169" t="s">
        <v>146</v>
      </c>
      <c r="Y92">
        <v>2</v>
      </c>
    </row>
    <row r="93" spans="1:26" x14ac:dyDescent="0.25">
      <c r="A93" s="169" t="s">
        <v>174</v>
      </c>
      <c r="C93" s="169" t="s">
        <v>333</v>
      </c>
      <c r="D93">
        <v>470786338</v>
      </c>
      <c r="F93" s="169" t="s">
        <v>180</v>
      </c>
      <c r="G93">
        <v>1</v>
      </c>
      <c r="J93" s="169" t="s">
        <v>172</v>
      </c>
      <c r="K93">
        <v>18</v>
      </c>
      <c r="L93">
        <v>6</v>
      </c>
      <c r="M93">
        <v>640</v>
      </c>
      <c r="N93">
        <v>310</v>
      </c>
      <c r="O93">
        <v>8</v>
      </c>
      <c r="P93">
        <v>2</v>
      </c>
      <c r="Q93">
        <v>4</v>
      </c>
      <c r="R93">
        <v>20</v>
      </c>
      <c r="S93">
        <v>2</v>
      </c>
      <c r="T93">
        <v>7</v>
      </c>
      <c r="U93" s="168">
        <v>44765</v>
      </c>
      <c r="V93">
        <v>3</v>
      </c>
      <c r="W93" s="169" t="s">
        <v>146</v>
      </c>
      <c r="Y93">
        <v>8</v>
      </c>
    </row>
    <row r="94" spans="1:26" x14ac:dyDescent="0.25">
      <c r="A94" s="169" t="s">
        <v>174</v>
      </c>
      <c r="C94" s="169" t="s">
        <v>333</v>
      </c>
      <c r="D94">
        <v>470786338</v>
      </c>
      <c r="F94" s="169" t="s">
        <v>180</v>
      </c>
      <c r="G94">
        <v>1</v>
      </c>
      <c r="H94" s="169" t="s">
        <v>172</v>
      </c>
      <c r="J94" s="169" t="s">
        <v>172</v>
      </c>
      <c r="K94">
        <v>18</v>
      </c>
      <c r="L94">
        <v>10</v>
      </c>
      <c r="M94">
        <v>540</v>
      </c>
      <c r="N94">
        <v>310</v>
      </c>
      <c r="O94">
        <v>8</v>
      </c>
      <c r="P94">
        <v>2</v>
      </c>
      <c r="Q94">
        <v>4</v>
      </c>
      <c r="R94">
        <v>20</v>
      </c>
      <c r="S94">
        <v>2</v>
      </c>
      <c r="T94">
        <v>7</v>
      </c>
      <c r="U94" s="168">
        <v>44765</v>
      </c>
      <c r="V94">
        <v>3</v>
      </c>
      <c r="W94" s="169" t="s">
        <v>146</v>
      </c>
      <c r="Y94">
        <v>9</v>
      </c>
    </row>
    <row r="95" spans="1:26" x14ac:dyDescent="0.25">
      <c r="A95" s="169" t="s">
        <v>174</v>
      </c>
      <c r="C95" s="169" t="s">
        <v>339</v>
      </c>
      <c r="D95">
        <v>442335004</v>
      </c>
      <c r="F95" s="169" t="s">
        <v>176</v>
      </c>
      <c r="J95" s="169" t="s">
        <v>172</v>
      </c>
      <c r="K95">
        <v>28</v>
      </c>
      <c r="L95">
        <v>29</v>
      </c>
      <c r="M95">
        <v>73400</v>
      </c>
      <c r="N95">
        <v>35480</v>
      </c>
      <c r="O95">
        <v>114</v>
      </c>
      <c r="P95">
        <v>4</v>
      </c>
      <c r="Q95">
        <v>4</v>
      </c>
      <c r="R95">
        <v>20</v>
      </c>
      <c r="S95">
        <v>4</v>
      </c>
      <c r="T95">
        <v>9</v>
      </c>
      <c r="U95" s="168">
        <v>44765</v>
      </c>
      <c r="V95">
        <v>2.5</v>
      </c>
      <c r="W95" s="169" t="s">
        <v>146</v>
      </c>
      <c r="X95">
        <v>1</v>
      </c>
      <c r="Y95">
        <v>1</v>
      </c>
      <c r="Z95" t="s">
        <v>506</v>
      </c>
    </row>
    <row r="96" spans="1:26" x14ac:dyDescent="0.25">
      <c r="A96" s="169" t="s">
        <v>174</v>
      </c>
      <c r="C96" s="169" t="s">
        <v>339</v>
      </c>
      <c r="D96">
        <v>442335004</v>
      </c>
      <c r="F96" s="169" t="s">
        <v>176</v>
      </c>
      <c r="J96" s="169"/>
      <c r="K96">
        <v>28</v>
      </c>
      <c r="L96">
        <v>42</v>
      </c>
      <c r="M96">
        <v>74640</v>
      </c>
      <c r="N96">
        <v>35480</v>
      </c>
      <c r="O96">
        <v>116</v>
      </c>
      <c r="P96">
        <v>4</v>
      </c>
      <c r="Q96">
        <v>4</v>
      </c>
      <c r="R96">
        <v>20</v>
      </c>
      <c r="S96">
        <v>4</v>
      </c>
      <c r="T96">
        <v>8</v>
      </c>
      <c r="U96" s="168">
        <v>44765</v>
      </c>
      <c r="V96">
        <v>2.5</v>
      </c>
      <c r="W96" s="169" t="s">
        <v>146</v>
      </c>
      <c r="X96">
        <v>1</v>
      </c>
      <c r="Y96">
        <v>2</v>
      </c>
      <c r="Z96" t="s">
        <v>506</v>
      </c>
    </row>
    <row r="97" spans="1:26" x14ac:dyDescent="0.25">
      <c r="A97" s="169" t="s">
        <v>174</v>
      </c>
      <c r="C97" s="169" t="s">
        <v>339</v>
      </c>
      <c r="D97">
        <v>442335004</v>
      </c>
      <c r="F97" s="169" t="s">
        <v>176</v>
      </c>
      <c r="J97" s="169" t="s">
        <v>172</v>
      </c>
      <c r="K97">
        <v>28</v>
      </c>
      <c r="L97">
        <v>74</v>
      </c>
      <c r="M97">
        <v>79360</v>
      </c>
      <c r="N97">
        <v>35480</v>
      </c>
      <c r="O97">
        <v>120</v>
      </c>
      <c r="P97">
        <v>4</v>
      </c>
      <c r="Q97">
        <v>4</v>
      </c>
      <c r="R97">
        <v>20</v>
      </c>
      <c r="S97">
        <v>5</v>
      </c>
      <c r="T97">
        <v>8</v>
      </c>
      <c r="U97" s="168">
        <v>44765</v>
      </c>
      <c r="V97">
        <v>2.5</v>
      </c>
      <c r="W97" s="169" t="s">
        <v>146</v>
      </c>
      <c r="X97">
        <v>1</v>
      </c>
      <c r="Y97">
        <v>8</v>
      </c>
      <c r="Z97" t="s">
        <v>506</v>
      </c>
    </row>
    <row r="98" spans="1:26" x14ac:dyDescent="0.25">
      <c r="A98" s="169" t="s">
        <v>174</v>
      </c>
      <c r="C98" s="169" t="s">
        <v>323</v>
      </c>
      <c r="D98">
        <v>416592860</v>
      </c>
      <c r="F98" s="169" t="s">
        <v>183</v>
      </c>
      <c r="J98" s="169" t="s">
        <v>172</v>
      </c>
      <c r="K98">
        <v>39</v>
      </c>
      <c r="L98">
        <v>23</v>
      </c>
      <c r="M98">
        <v>1210</v>
      </c>
      <c r="N98">
        <v>570</v>
      </c>
      <c r="O98">
        <v>71</v>
      </c>
      <c r="P98">
        <v>11</v>
      </c>
      <c r="Q98">
        <v>6</v>
      </c>
      <c r="R98">
        <v>20</v>
      </c>
      <c r="S98">
        <v>6</v>
      </c>
      <c r="T98">
        <v>3</v>
      </c>
      <c r="U98" s="168">
        <v>44741</v>
      </c>
      <c r="V98">
        <v>1</v>
      </c>
      <c r="W98" s="169" t="s">
        <v>177</v>
      </c>
      <c r="Y98">
        <v>1</v>
      </c>
    </row>
    <row r="99" spans="1:26" x14ac:dyDescent="0.25">
      <c r="A99" s="169" t="s">
        <v>174</v>
      </c>
      <c r="C99" s="169" t="s">
        <v>323</v>
      </c>
      <c r="D99">
        <v>416592860</v>
      </c>
      <c r="F99" s="169" t="s">
        <v>183</v>
      </c>
      <c r="J99" s="169"/>
      <c r="K99">
        <v>39</v>
      </c>
      <c r="L99">
        <v>36</v>
      </c>
      <c r="M99">
        <v>1070</v>
      </c>
      <c r="N99">
        <v>570</v>
      </c>
      <c r="O99">
        <v>73</v>
      </c>
      <c r="P99">
        <v>11</v>
      </c>
      <c r="Q99">
        <v>6</v>
      </c>
      <c r="R99">
        <v>20</v>
      </c>
      <c r="S99">
        <v>7</v>
      </c>
      <c r="T99">
        <v>3</v>
      </c>
      <c r="U99" s="168">
        <v>44741</v>
      </c>
      <c r="V99">
        <v>1</v>
      </c>
      <c r="W99" s="169" t="s">
        <v>177</v>
      </c>
      <c r="Y99">
        <v>2</v>
      </c>
    </row>
    <row r="100" spans="1:26" x14ac:dyDescent="0.25">
      <c r="A100" s="169" t="s">
        <v>174</v>
      </c>
      <c r="C100" s="169" t="s">
        <v>323</v>
      </c>
      <c r="D100">
        <v>416592860</v>
      </c>
      <c r="F100" s="169" t="s">
        <v>183</v>
      </c>
      <c r="J100" s="169" t="s">
        <v>172</v>
      </c>
      <c r="K100">
        <v>39</v>
      </c>
      <c r="L100">
        <v>68</v>
      </c>
      <c r="M100">
        <v>480</v>
      </c>
      <c r="N100">
        <v>570</v>
      </c>
      <c r="O100">
        <v>78</v>
      </c>
      <c r="P100">
        <v>11</v>
      </c>
      <c r="Q100">
        <v>6</v>
      </c>
      <c r="R100">
        <v>20</v>
      </c>
      <c r="S100">
        <v>3</v>
      </c>
      <c r="T100">
        <v>3</v>
      </c>
      <c r="U100" s="168">
        <v>44741</v>
      </c>
      <c r="V100">
        <v>1</v>
      </c>
      <c r="W100" s="169" t="s">
        <v>177</v>
      </c>
      <c r="Y100">
        <v>8</v>
      </c>
    </row>
    <row r="101" spans="1:26" x14ac:dyDescent="0.25">
      <c r="A101" s="169" t="s">
        <v>174</v>
      </c>
      <c r="C101" s="169" t="s">
        <v>323</v>
      </c>
      <c r="D101">
        <v>416592860</v>
      </c>
      <c r="F101" s="169" t="s">
        <v>183</v>
      </c>
      <c r="H101" s="169" t="s">
        <v>172</v>
      </c>
      <c r="J101" s="169" t="s">
        <v>172</v>
      </c>
      <c r="K101">
        <v>39</v>
      </c>
      <c r="L101">
        <v>72</v>
      </c>
      <c r="M101">
        <v>440</v>
      </c>
      <c r="N101">
        <v>570</v>
      </c>
      <c r="O101">
        <v>78</v>
      </c>
      <c r="P101">
        <v>11</v>
      </c>
      <c r="Q101">
        <v>6</v>
      </c>
      <c r="R101">
        <v>20</v>
      </c>
      <c r="S101">
        <v>3</v>
      </c>
      <c r="T101">
        <v>3</v>
      </c>
      <c r="U101" s="168">
        <v>44741</v>
      </c>
      <c r="V101">
        <v>1</v>
      </c>
      <c r="W101" s="169" t="s">
        <v>177</v>
      </c>
      <c r="Y101">
        <v>9</v>
      </c>
    </row>
    <row r="102" spans="1:26" x14ac:dyDescent="0.25">
      <c r="A102" s="169" t="s">
        <v>174</v>
      </c>
      <c r="C102" s="169" t="s">
        <v>487</v>
      </c>
      <c r="D102">
        <v>471245580</v>
      </c>
      <c r="F102" s="169" t="s">
        <v>172</v>
      </c>
      <c r="G102">
        <v>1</v>
      </c>
      <c r="J102" s="169">
        <v>1</v>
      </c>
      <c r="K102">
        <v>17</v>
      </c>
      <c r="L102">
        <v>2</v>
      </c>
      <c r="M102">
        <v>2240</v>
      </c>
      <c r="N102">
        <v>430</v>
      </c>
      <c r="O102">
        <v>0</v>
      </c>
      <c r="P102">
        <v>2</v>
      </c>
      <c r="Q102">
        <v>4</v>
      </c>
      <c r="R102">
        <v>20</v>
      </c>
      <c r="S102">
        <v>6</v>
      </c>
      <c r="T102">
        <v>4</v>
      </c>
      <c r="U102" s="168"/>
      <c r="W102" s="169" t="s">
        <v>172</v>
      </c>
      <c r="Y102">
        <v>2</v>
      </c>
    </row>
    <row r="103" spans="1:26" x14ac:dyDescent="0.25">
      <c r="A103" s="169" t="s">
        <v>174</v>
      </c>
      <c r="C103" s="169" t="s">
        <v>498</v>
      </c>
      <c r="D103">
        <v>471429052</v>
      </c>
      <c r="F103" s="169" t="s">
        <v>172</v>
      </c>
      <c r="G103">
        <v>1</v>
      </c>
      <c r="J103" s="169" t="s">
        <v>172</v>
      </c>
      <c r="K103">
        <v>17</v>
      </c>
      <c r="L103">
        <v>111</v>
      </c>
      <c r="M103">
        <v>490</v>
      </c>
      <c r="N103">
        <v>270</v>
      </c>
      <c r="O103">
        <v>2</v>
      </c>
      <c r="P103">
        <v>1</v>
      </c>
      <c r="Q103">
        <v>4</v>
      </c>
      <c r="R103">
        <v>20</v>
      </c>
      <c r="S103">
        <v>6</v>
      </c>
      <c r="T103">
        <v>5</v>
      </c>
      <c r="U103" s="168"/>
      <c r="W103" s="169" t="s">
        <v>172</v>
      </c>
      <c r="Y103">
        <v>8</v>
      </c>
    </row>
    <row r="104" spans="1:26" x14ac:dyDescent="0.25">
      <c r="A104" s="169" t="s">
        <v>174</v>
      </c>
      <c r="C104" s="169" t="s">
        <v>498</v>
      </c>
      <c r="D104">
        <v>471429052</v>
      </c>
      <c r="F104" s="169" t="s">
        <v>172</v>
      </c>
      <c r="G104">
        <v>1</v>
      </c>
      <c r="H104" s="169" t="s">
        <v>172</v>
      </c>
      <c r="J104" s="169" t="s">
        <v>172</v>
      </c>
      <c r="K104">
        <v>18</v>
      </c>
      <c r="L104">
        <v>3</v>
      </c>
      <c r="M104">
        <v>460</v>
      </c>
      <c r="N104">
        <v>270</v>
      </c>
      <c r="O104">
        <v>3</v>
      </c>
      <c r="P104">
        <v>1</v>
      </c>
      <c r="Q104">
        <v>4</v>
      </c>
      <c r="R104">
        <v>20</v>
      </c>
      <c r="S104">
        <v>5</v>
      </c>
      <c r="T104">
        <v>6</v>
      </c>
      <c r="U104" s="168"/>
      <c r="W104" s="169" t="s">
        <v>172</v>
      </c>
      <c r="Y104">
        <v>9</v>
      </c>
    </row>
  </sheetData>
  <phoneticPr fontId="22" type="noConversion"/>
  <pageMargins left="0.7" right="0.7" top="0.75" bottom="0.75" header="0.3" footer="0.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39D-77FB-49BA-BEC4-05417726C068}">
  <sheetPr>
    <tabColor theme="9" tint="0.79998168889431442"/>
  </sheetPr>
  <dimension ref="A1:AH51"/>
  <sheetViews>
    <sheetView topLeftCell="N1" zoomScale="80" zoomScaleNormal="80" workbookViewId="0">
      <selection activeCell="AE34" sqref="AE34"/>
    </sheetView>
  </sheetViews>
  <sheetFormatPr baseColWidth="10" defaultRowHeight="15" x14ac:dyDescent="0.25"/>
  <cols>
    <col min="1" max="1" width="15.42578125" bestFit="1" customWidth="1"/>
    <col min="2" max="2" width="8.85546875" bestFit="1" customWidth="1"/>
    <col min="3" max="3" width="25.7109375" bestFit="1" customWidth="1"/>
    <col min="4" max="4" width="15.5703125" bestFit="1" customWidth="1"/>
    <col min="5" max="5" width="13.140625" bestFit="1" customWidth="1"/>
    <col min="6" max="6" width="14.28515625" bestFit="1" customWidth="1"/>
    <col min="7" max="10" width="6.140625" customWidth="1"/>
    <col min="11" max="11" width="7.5703125" bestFit="1" customWidth="1"/>
    <col min="12" max="12" width="7" bestFit="1" customWidth="1"/>
    <col min="13" max="13" width="7.7109375" bestFit="1" customWidth="1"/>
    <col min="14" max="14" width="9.28515625" bestFit="1" customWidth="1"/>
    <col min="15" max="20" width="6.7109375" customWidth="1"/>
    <col min="21" max="21" width="21.7109375" bestFit="1" customWidth="1"/>
    <col min="22" max="22" width="8.85546875" customWidth="1"/>
    <col min="23" max="23" width="8.7109375" customWidth="1"/>
    <col min="29" max="29" width="30.140625" bestFit="1" customWidth="1"/>
    <col min="30" max="30" width="15" bestFit="1" customWidth="1"/>
    <col min="31" max="31" width="23.140625" bestFit="1" customWidth="1"/>
    <col min="32" max="32" width="3.42578125" bestFit="1" customWidth="1"/>
    <col min="33" max="33" width="34.42578125" bestFit="1" customWidth="1"/>
    <col min="34" max="34" width="6.5703125" bestFit="1" customWidth="1"/>
    <col min="35" max="35" width="18.7109375" bestFit="1" customWidth="1"/>
    <col min="36" max="36" width="23.42578125" bestFit="1" customWidth="1"/>
    <col min="37" max="37" width="23.140625" bestFit="1" customWidth="1"/>
  </cols>
  <sheetData>
    <row r="1" spans="1:34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224</v>
      </c>
      <c r="AD1" s="172">
        <v>1</v>
      </c>
    </row>
    <row r="2" spans="1:34" x14ac:dyDescent="0.25">
      <c r="A2" s="169" t="s">
        <v>190</v>
      </c>
      <c r="B2" s="169" t="s">
        <v>172</v>
      </c>
      <c r="C2" s="169" t="s">
        <v>344</v>
      </c>
      <c r="D2">
        <v>400848125</v>
      </c>
      <c r="F2" s="169" t="s">
        <v>172</v>
      </c>
      <c r="J2" s="169" t="s">
        <v>172</v>
      </c>
      <c r="K2">
        <v>44</v>
      </c>
      <c r="L2">
        <v>56</v>
      </c>
      <c r="M2">
        <v>0</v>
      </c>
      <c r="N2">
        <v>300</v>
      </c>
      <c r="O2">
        <v>313</v>
      </c>
      <c r="P2">
        <v>5</v>
      </c>
      <c r="Q2">
        <v>3</v>
      </c>
      <c r="R2">
        <v>20</v>
      </c>
      <c r="S2">
        <v>2</v>
      </c>
      <c r="T2">
        <v>2</v>
      </c>
      <c r="U2" s="168">
        <v>44709</v>
      </c>
      <c r="V2">
        <v>0</v>
      </c>
      <c r="W2" s="169" t="s">
        <v>146</v>
      </c>
      <c r="X2">
        <v>0</v>
      </c>
      <c r="Y2">
        <v>1</v>
      </c>
    </row>
    <row r="3" spans="1:34" x14ac:dyDescent="0.25">
      <c r="A3" s="169" t="s">
        <v>190</v>
      </c>
      <c r="B3" s="169" t="s">
        <v>172</v>
      </c>
      <c r="C3" s="169" t="s">
        <v>344</v>
      </c>
      <c r="D3">
        <v>400848125</v>
      </c>
      <c r="F3" s="169" t="s">
        <v>172</v>
      </c>
      <c r="J3" s="169" t="s">
        <v>172</v>
      </c>
      <c r="K3">
        <v>44</v>
      </c>
      <c r="L3">
        <v>68</v>
      </c>
      <c r="M3">
        <v>0</v>
      </c>
      <c r="N3">
        <v>300</v>
      </c>
      <c r="O3">
        <v>315</v>
      </c>
      <c r="P3">
        <v>5</v>
      </c>
      <c r="Q3">
        <v>3</v>
      </c>
      <c r="R3">
        <v>20</v>
      </c>
      <c r="S3">
        <v>3</v>
      </c>
      <c r="T3">
        <v>2</v>
      </c>
      <c r="U3" s="168">
        <v>44709</v>
      </c>
      <c r="V3">
        <v>0</v>
      </c>
      <c r="W3" s="169" t="s">
        <v>146</v>
      </c>
      <c r="X3">
        <v>0</v>
      </c>
      <c r="Y3">
        <v>2</v>
      </c>
      <c r="AE3" s="171" t="s">
        <v>239</v>
      </c>
    </row>
    <row r="4" spans="1:34" x14ac:dyDescent="0.25">
      <c r="A4" s="169" t="s">
        <v>174</v>
      </c>
      <c r="B4" s="169" t="s">
        <v>172</v>
      </c>
      <c r="C4" s="169" t="s">
        <v>345</v>
      </c>
      <c r="D4">
        <v>462622778</v>
      </c>
      <c r="F4" s="169" t="s">
        <v>346</v>
      </c>
      <c r="G4">
        <v>1</v>
      </c>
      <c r="J4" s="169" t="s">
        <v>172</v>
      </c>
      <c r="K4">
        <v>22</v>
      </c>
      <c r="L4">
        <v>39</v>
      </c>
      <c r="M4">
        <v>3230</v>
      </c>
      <c r="N4">
        <v>370</v>
      </c>
      <c r="O4">
        <v>45</v>
      </c>
      <c r="P4">
        <v>3</v>
      </c>
      <c r="Q4">
        <v>4</v>
      </c>
      <c r="R4">
        <v>20</v>
      </c>
      <c r="S4">
        <v>7</v>
      </c>
      <c r="T4">
        <v>8</v>
      </c>
      <c r="U4" s="168">
        <v>44748</v>
      </c>
      <c r="V4">
        <v>4.5</v>
      </c>
      <c r="W4" s="169" t="s">
        <v>147</v>
      </c>
      <c r="X4">
        <v>1</v>
      </c>
      <c r="Y4">
        <v>1</v>
      </c>
      <c r="AE4" t="s">
        <v>462</v>
      </c>
      <c r="AG4" t="s">
        <v>481</v>
      </c>
    </row>
    <row r="5" spans="1:34" x14ac:dyDescent="0.25">
      <c r="A5" s="169" t="s">
        <v>174</v>
      </c>
      <c r="B5" s="169" t="s">
        <v>172</v>
      </c>
      <c r="C5" s="169" t="s">
        <v>345</v>
      </c>
      <c r="D5">
        <v>462622778</v>
      </c>
      <c r="F5" s="169" t="s">
        <v>346</v>
      </c>
      <c r="G5">
        <v>1</v>
      </c>
      <c r="J5" s="169" t="s">
        <v>172</v>
      </c>
      <c r="K5">
        <v>22</v>
      </c>
      <c r="L5">
        <v>51</v>
      </c>
      <c r="M5">
        <v>3090</v>
      </c>
      <c r="N5">
        <v>370</v>
      </c>
      <c r="O5">
        <v>47</v>
      </c>
      <c r="P5">
        <v>3</v>
      </c>
      <c r="Q5">
        <v>4</v>
      </c>
      <c r="R5">
        <v>20</v>
      </c>
      <c r="S5">
        <v>6</v>
      </c>
      <c r="T5">
        <v>8</v>
      </c>
      <c r="U5" s="168">
        <v>44748</v>
      </c>
      <c r="V5">
        <v>4.5</v>
      </c>
      <c r="W5" s="169" t="s">
        <v>147</v>
      </c>
      <c r="X5">
        <v>1</v>
      </c>
      <c r="Y5">
        <v>2</v>
      </c>
      <c r="AC5" s="171" t="s">
        <v>228</v>
      </c>
      <c r="AD5" s="171" t="s">
        <v>153</v>
      </c>
      <c r="AE5">
        <v>1</v>
      </c>
      <c r="AF5">
        <v>2</v>
      </c>
      <c r="AG5">
        <v>1</v>
      </c>
      <c r="AH5">
        <v>2</v>
      </c>
    </row>
    <row r="6" spans="1:34" x14ac:dyDescent="0.25">
      <c r="A6" s="169" t="s">
        <v>347</v>
      </c>
      <c r="B6" s="169" t="s">
        <v>172</v>
      </c>
      <c r="C6" s="169" t="s">
        <v>348</v>
      </c>
      <c r="D6">
        <v>424276729</v>
      </c>
      <c r="F6" s="169" t="s">
        <v>172</v>
      </c>
      <c r="J6" s="169" t="s">
        <v>172</v>
      </c>
      <c r="K6">
        <v>35</v>
      </c>
      <c r="L6">
        <v>26</v>
      </c>
      <c r="M6">
        <v>61190</v>
      </c>
      <c r="N6">
        <v>18408</v>
      </c>
      <c r="O6">
        <v>1</v>
      </c>
      <c r="P6">
        <v>15</v>
      </c>
      <c r="Q6">
        <v>4</v>
      </c>
      <c r="R6">
        <v>4</v>
      </c>
      <c r="S6">
        <v>7</v>
      </c>
      <c r="T6">
        <v>5</v>
      </c>
      <c r="U6" s="168">
        <v>44769</v>
      </c>
      <c r="V6">
        <v>9</v>
      </c>
      <c r="W6" s="169" t="s">
        <v>173</v>
      </c>
      <c r="X6">
        <v>1</v>
      </c>
      <c r="Y6">
        <v>1</v>
      </c>
      <c r="Z6" t="s">
        <v>173</v>
      </c>
      <c r="AC6" s="172" t="s">
        <v>482</v>
      </c>
      <c r="AE6" s="169">
        <v>61</v>
      </c>
      <c r="AF6" s="169">
        <v>58</v>
      </c>
      <c r="AG6" s="169">
        <v>58</v>
      </c>
      <c r="AH6" s="169">
        <v>59.5</v>
      </c>
    </row>
    <row r="7" spans="1:34" x14ac:dyDescent="0.25">
      <c r="A7" s="169" t="s">
        <v>347</v>
      </c>
      <c r="B7" s="169" t="s">
        <v>172</v>
      </c>
      <c r="C7" s="169" t="s">
        <v>348</v>
      </c>
      <c r="D7">
        <v>424276729</v>
      </c>
      <c r="F7" s="169" t="s">
        <v>172</v>
      </c>
      <c r="J7" s="169" t="s">
        <v>172</v>
      </c>
      <c r="K7">
        <v>35</v>
      </c>
      <c r="L7">
        <v>38</v>
      </c>
      <c r="M7">
        <v>61090</v>
      </c>
      <c r="N7">
        <v>18408</v>
      </c>
      <c r="O7">
        <v>3</v>
      </c>
      <c r="P7">
        <v>15</v>
      </c>
      <c r="Q7">
        <v>4</v>
      </c>
      <c r="R7">
        <v>5</v>
      </c>
      <c r="S7">
        <v>7</v>
      </c>
      <c r="T7">
        <v>5</v>
      </c>
      <c r="U7" s="168">
        <v>44779</v>
      </c>
      <c r="V7">
        <v>9.5</v>
      </c>
      <c r="W7" s="169" t="s">
        <v>173</v>
      </c>
      <c r="X7">
        <v>1</v>
      </c>
      <c r="Y7">
        <v>2</v>
      </c>
      <c r="Z7" t="s">
        <v>173</v>
      </c>
      <c r="AC7" s="181" t="s">
        <v>345</v>
      </c>
      <c r="AD7" s="172" t="s">
        <v>346</v>
      </c>
      <c r="AE7" s="169">
        <v>7</v>
      </c>
      <c r="AF7" s="169">
        <v>6</v>
      </c>
      <c r="AG7" s="169">
        <v>4.5</v>
      </c>
      <c r="AH7" s="169">
        <v>4.5</v>
      </c>
    </row>
    <row r="8" spans="1:34" x14ac:dyDescent="0.25">
      <c r="A8" s="169" t="s">
        <v>174</v>
      </c>
      <c r="B8" s="169" t="s">
        <v>172</v>
      </c>
      <c r="C8" s="169" t="s">
        <v>349</v>
      </c>
      <c r="D8">
        <v>428042425</v>
      </c>
      <c r="F8" s="169" t="s">
        <v>172</v>
      </c>
      <c r="J8" s="169" t="s">
        <v>172</v>
      </c>
      <c r="K8">
        <v>33</v>
      </c>
      <c r="L8">
        <v>91</v>
      </c>
      <c r="M8">
        <v>81540</v>
      </c>
      <c r="N8">
        <v>13270</v>
      </c>
      <c r="O8">
        <v>0</v>
      </c>
      <c r="P8">
        <v>14</v>
      </c>
      <c r="Q8">
        <v>5</v>
      </c>
      <c r="R8">
        <v>3</v>
      </c>
      <c r="S8">
        <v>6</v>
      </c>
      <c r="T8">
        <v>7</v>
      </c>
      <c r="U8" s="168">
        <v>44769</v>
      </c>
      <c r="V8">
        <v>7.5</v>
      </c>
      <c r="W8" s="169" t="s">
        <v>181</v>
      </c>
      <c r="X8">
        <v>1</v>
      </c>
      <c r="Y8">
        <v>1</v>
      </c>
      <c r="Z8" t="s">
        <v>242</v>
      </c>
      <c r="AC8" s="181" t="s">
        <v>350</v>
      </c>
      <c r="AD8" s="172"/>
      <c r="AE8" s="169">
        <v>8</v>
      </c>
      <c r="AF8" s="169">
        <v>8</v>
      </c>
      <c r="AG8" s="169">
        <v>6</v>
      </c>
      <c r="AH8" s="169">
        <v>6</v>
      </c>
    </row>
    <row r="9" spans="1:34" x14ac:dyDescent="0.25">
      <c r="A9" s="169" t="s">
        <v>174</v>
      </c>
      <c r="B9" s="169" t="s">
        <v>172</v>
      </c>
      <c r="C9" s="169" t="s">
        <v>349</v>
      </c>
      <c r="D9">
        <v>428042425</v>
      </c>
      <c r="F9" s="169" t="s">
        <v>172</v>
      </c>
      <c r="J9" s="169" t="s">
        <v>172</v>
      </c>
      <c r="K9">
        <v>33</v>
      </c>
      <c r="L9">
        <v>103</v>
      </c>
      <c r="M9">
        <v>76230</v>
      </c>
      <c r="N9">
        <v>13270</v>
      </c>
      <c r="O9">
        <v>2</v>
      </c>
      <c r="P9">
        <v>14</v>
      </c>
      <c r="Q9">
        <v>5</v>
      </c>
      <c r="R9">
        <v>5</v>
      </c>
      <c r="S9">
        <v>6</v>
      </c>
      <c r="T9">
        <v>7</v>
      </c>
      <c r="U9" s="168">
        <v>44779</v>
      </c>
      <c r="V9">
        <v>6.5</v>
      </c>
      <c r="W9" s="169" t="s">
        <v>146</v>
      </c>
      <c r="X9">
        <v>1</v>
      </c>
      <c r="Y9">
        <v>2</v>
      </c>
      <c r="Z9" t="s">
        <v>242</v>
      </c>
      <c r="AC9" s="181" t="s">
        <v>356</v>
      </c>
      <c r="AD9" s="172"/>
      <c r="AE9" s="169">
        <v>7</v>
      </c>
      <c r="AF9" s="169">
        <v>6</v>
      </c>
      <c r="AG9" s="169">
        <v>5</v>
      </c>
      <c r="AH9" s="169">
        <v>5</v>
      </c>
    </row>
    <row r="10" spans="1:34" x14ac:dyDescent="0.25">
      <c r="A10" s="169" t="s">
        <v>174</v>
      </c>
      <c r="B10" s="169" t="s">
        <v>172</v>
      </c>
      <c r="C10" s="169" t="s">
        <v>350</v>
      </c>
      <c r="D10">
        <v>435691290</v>
      </c>
      <c r="F10" s="169" t="s">
        <v>172</v>
      </c>
      <c r="G10">
        <v>1</v>
      </c>
      <c r="J10" s="169" t="s">
        <v>172</v>
      </c>
      <c r="K10">
        <v>30</v>
      </c>
      <c r="L10">
        <v>107</v>
      </c>
      <c r="M10">
        <v>18660</v>
      </c>
      <c r="N10">
        <v>1690</v>
      </c>
      <c r="O10">
        <v>222</v>
      </c>
      <c r="P10">
        <v>4</v>
      </c>
      <c r="Q10">
        <v>5</v>
      </c>
      <c r="R10">
        <v>20</v>
      </c>
      <c r="S10">
        <v>8</v>
      </c>
      <c r="T10">
        <v>8</v>
      </c>
      <c r="U10" s="168">
        <v>44765</v>
      </c>
      <c r="V10">
        <v>6</v>
      </c>
      <c r="W10" s="169" t="s">
        <v>201</v>
      </c>
      <c r="X10">
        <v>1</v>
      </c>
      <c r="Y10">
        <v>1</v>
      </c>
      <c r="AC10" s="181" t="s">
        <v>360</v>
      </c>
      <c r="AD10" s="172" t="s">
        <v>183</v>
      </c>
      <c r="AE10" s="169">
        <v>7</v>
      </c>
      <c r="AF10" s="169">
        <v>7</v>
      </c>
      <c r="AG10" s="169">
        <v>9</v>
      </c>
      <c r="AH10" s="169">
        <v>9.5</v>
      </c>
    </row>
    <row r="11" spans="1:34" x14ac:dyDescent="0.25">
      <c r="A11" s="169" t="s">
        <v>174</v>
      </c>
      <c r="B11" s="169" t="s">
        <v>172</v>
      </c>
      <c r="C11" s="169" t="s">
        <v>350</v>
      </c>
      <c r="D11">
        <v>435691290</v>
      </c>
      <c r="F11" s="169" t="s">
        <v>172</v>
      </c>
      <c r="G11">
        <v>1</v>
      </c>
      <c r="J11" s="169" t="s">
        <v>172</v>
      </c>
      <c r="K11">
        <v>31</v>
      </c>
      <c r="L11">
        <v>7</v>
      </c>
      <c r="M11">
        <v>15030</v>
      </c>
      <c r="N11">
        <v>1590</v>
      </c>
      <c r="O11">
        <v>224</v>
      </c>
      <c r="P11">
        <v>5</v>
      </c>
      <c r="Q11">
        <v>5</v>
      </c>
      <c r="R11">
        <v>20</v>
      </c>
      <c r="S11">
        <v>8</v>
      </c>
      <c r="T11">
        <v>8</v>
      </c>
      <c r="U11" s="168">
        <v>44779</v>
      </c>
      <c r="V11">
        <v>6</v>
      </c>
      <c r="W11" s="169" t="s">
        <v>181</v>
      </c>
      <c r="X11">
        <v>1</v>
      </c>
      <c r="Y11">
        <v>2</v>
      </c>
      <c r="AC11" s="181" t="s">
        <v>367</v>
      </c>
      <c r="AD11" s="172" t="s">
        <v>171</v>
      </c>
      <c r="AE11" s="169">
        <v>8</v>
      </c>
      <c r="AF11" s="169">
        <v>8</v>
      </c>
      <c r="AG11" s="169">
        <v>8.5</v>
      </c>
      <c r="AH11" s="169">
        <v>8.5</v>
      </c>
    </row>
    <row r="12" spans="1:34" x14ac:dyDescent="0.25">
      <c r="A12" s="169" t="s">
        <v>210</v>
      </c>
      <c r="B12" s="169" t="s">
        <v>172</v>
      </c>
      <c r="C12" s="169" t="s">
        <v>351</v>
      </c>
      <c r="D12">
        <v>412041029</v>
      </c>
      <c r="F12" s="169" t="s">
        <v>172</v>
      </c>
      <c r="J12" s="169" t="s">
        <v>172</v>
      </c>
      <c r="K12">
        <v>40</v>
      </c>
      <c r="L12">
        <v>20</v>
      </c>
      <c r="M12">
        <v>860</v>
      </c>
      <c r="N12">
        <v>588</v>
      </c>
      <c r="O12">
        <v>54</v>
      </c>
      <c r="P12">
        <v>11</v>
      </c>
      <c r="Q12">
        <v>5</v>
      </c>
      <c r="R12">
        <v>20</v>
      </c>
      <c r="S12">
        <v>7</v>
      </c>
      <c r="T12">
        <v>4</v>
      </c>
      <c r="U12" s="168">
        <v>44765</v>
      </c>
      <c r="V12">
        <v>4.5</v>
      </c>
      <c r="W12" s="169" t="s">
        <v>173</v>
      </c>
      <c r="X12">
        <v>0</v>
      </c>
      <c r="Y12">
        <v>1</v>
      </c>
      <c r="AC12" s="181" t="s">
        <v>368</v>
      </c>
      <c r="AD12" s="172" t="s">
        <v>183</v>
      </c>
      <c r="AE12" s="169">
        <v>8</v>
      </c>
      <c r="AF12" s="169">
        <v>8</v>
      </c>
      <c r="AG12" s="169">
        <v>8</v>
      </c>
      <c r="AH12" s="169">
        <v>8</v>
      </c>
    </row>
    <row r="13" spans="1:34" x14ac:dyDescent="0.25">
      <c r="A13" s="169" t="s">
        <v>210</v>
      </c>
      <c r="B13" s="169" t="s">
        <v>172</v>
      </c>
      <c r="C13" s="169" t="s">
        <v>351</v>
      </c>
      <c r="D13">
        <v>412041029</v>
      </c>
      <c r="F13" s="169" t="s">
        <v>172</v>
      </c>
      <c r="J13" s="169" t="s">
        <v>172</v>
      </c>
      <c r="K13">
        <v>40</v>
      </c>
      <c r="L13">
        <v>32</v>
      </c>
      <c r="M13">
        <v>840</v>
      </c>
      <c r="N13">
        <v>588</v>
      </c>
      <c r="O13">
        <v>55</v>
      </c>
      <c r="P13">
        <v>11</v>
      </c>
      <c r="Q13">
        <v>5</v>
      </c>
      <c r="R13">
        <v>20</v>
      </c>
      <c r="S13">
        <v>7</v>
      </c>
      <c r="T13">
        <v>4</v>
      </c>
      <c r="U13" s="168">
        <v>44776</v>
      </c>
      <c r="V13">
        <v>4</v>
      </c>
      <c r="W13" s="169" t="s">
        <v>173</v>
      </c>
      <c r="X13">
        <v>0</v>
      </c>
      <c r="Y13">
        <v>2</v>
      </c>
      <c r="AC13" s="181" t="s">
        <v>369</v>
      </c>
      <c r="AD13" s="172"/>
      <c r="AE13" s="169">
        <v>8</v>
      </c>
      <c r="AF13" s="169">
        <v>8</v>
      </c>
      <c r="AG13" s="169">
        <v>8</v>
      </c>
      <c r="AH13" s="169">
        <v>8.5</v>
      </c>
    </row>
    <row r="14" spans="1:34" x14ac:dyDescent="0.25">
      <c r="A14" s="169" t="s">
        <v>174</v>
      </c>
      <c r="B14" s="169" t="s">
        <v>172</v>
      </c>
      <c r="C14" s="169" t="s">
        <v>352</v>
      </c>
      <c r="D14">
        <v>438575162</v>
      </c>
      <c r="F14" s="169" t="s">
        <v>183</v>
      </c>
      <c r="G14">
        <v>1</v>
      </c>
      <c r="J14" s="169" t="s">
        <v>172</v>
      </c>
      <c r="K14">
        <v>31</v>
      </c>
      <c r="L14">
        <v>84</v>
      </c>
      <c r="M14">
        <v>2100</v>
      </c>
      <c r="N14">
        <v>490</v>
      </c>
      <c r="O14">
        <v>202</v>
      </c>
      <c r="P14">
        <v>3</v>
      </c>
      <c r="Q14">
        <v>4</v>
      </c>
      <c r="R14">
        <v>20</v>
      </c>
      <c r="S14">
        <v>6</v>
      </c>
      <c r="T14">
        <v>6</v>
      </c>
      <c r="U14" s="168">
        <v>44720</v>
      </c>
      <c r="V14">
        <v>2.5</v>
      </c>
      <c r="W14" s="169" t="s">
        <v>146</v>
      </c>
      <c r="X14">
        <v>0</v>
      </c>
      <c r="Y14">
        <v>2</v>
      </c>
      <c r="AC14" s="181" t="s">
        <v>372</v>
      </c>
      <c r="AD14" s="172" t="s">
        <v>171</v>
      </c>
      <c r="AE14" s="169">
        <v>8</v>
      </c>
      <c r="AF14" s="169">
        <v>7</v>
      </c>
      <c r="AG14" s="169">
        <v>9</v>
      </c>
      <c r="AH14" s="169">
        <v>9.5</v>
      </c>
    </row>
    <row r="15" spans="1:34" x14ac:dyDescent="0.25">
      <c r="A15" s="169" t="s">
        <v>174</v>
      </c>
      <c r="B15" s="169" t="s">
        <v>172</v>
      </c>
      <c r="C15" s="169" t="s">
        <v>352</v>
      </c>
      <c r="D15">
        <v>438575162</v>
      </c>
      <c r="F15" s="169" t="s">
        <v>183</v>
      </c>
      <c r="G15">
        <v>1</v>
      </c>
      <c r="J15" s="169" t="s">
        <v>172</v>
      </c>
      <c r="K15">
        <v>31</v>
      </c>
      <c r="L15">
        <v>72</v>
      </c>
      <c r="M15">
        <v>2070</v>
      </c>
      <c r="N15">
        <v>490</v>
      </c>
      <c r="O15">
        <v>200</v>
      </c>
      <c r="P15">
        <v>3</v>
      </c>
      <c r="Q15">
        <v>4</v>
      </c>
      <c r="R15">
        <v>20</v>
      </c>
      <c r="S15">
        <v>6</v>
      </c>
      <c r="T15">
        <v>6</v>
      </c>
      <c r="U15" s="168">
        <v>44720</v>
      </c>
      <c r="V15">
        <v>2.5</v>
      </c>
      <c r="W15" s="169" t="s">
        <v>146</v>
      </c>
      <c r="X15">
        <v>0</v>
      </c>
      <c r="Y15">
        <v>1</v>
      </c>
      <c r="AC15" s="172" t="s">
        <v>173</v>
      </c>
      <c r="AE15" s="169">
        <v>7</v>
      </c>
      <c r="AF15" s="169">
        <v>7</v>
      </c>
      <c r="AG15" s="169">
        <v>9</v>
      </c>
      <c r="AH15" s="169">
        <v>9.5</v>
      </c>
    </row>
    <row r="16" spans="1:34" x14ac:dyDescent="0.25">
      <c r="A16" s="169" t="s">
        <v>174</v>
      </c>
      <c r="B16" s="169" t="s">
        <v>172</v>
      </c>
      <c r="C16" s="169" t="s">
        <v>353</v>
      </c>
      <c r="D16">
        <v>465852705</v>
      </c>
      <c r="F16" s="169" t="s">
        <v>176</v>
      </c>
      <c r="G16">
        <v>1</v>
      </c>
      <c r="J16" s="169" t="s">
        <v>172</v>
      </c>
      <c r="K16">
        <v>20</v>
      </c>
      <c r="L16">
        <v>21</v>
      </c>
      <c r="M16">
        <v>1490</v>
      </c>
      <c r="N16">
        <v>310</v>
      </c>
      <c r="O16">
        <v>25</v>
      </c>
      <c r="P16">
        <v>2</v>
      </c>
      <c r="Q16">
        <v>3</v>
      </c>
      <c r="R16">
        <v>20</v>
      </c>
      <c r="S16">
        <v>6</v>
      </c>
      <c r="T16">
        <v>8</v>
      </c>
      <c r="U16" s="168">
        <v>44776</v>
      </c>
      <c r="V16">
        <v>4</v>
      </c>
      <c r="W16" s="169" t="s">
        <v>181</v>
      </c>
      <c r="X16">
        <v>0</v>
      </c>
      <c r="Y16">
        <v>2</v>
      </c>
      <c r="AC16" s="181" t="s">
        <v>348</v>
      </c>
      <c r="AD16" s="172"/>
      <c r="AE16" s="169">
        <v>7</v>
      </c>
      <c r="AF16" s="169">
        <v>7</v>
      </c>
      <c r="AG16" s="169">
        <v>9</v>
      </c>
      <c r="AH16" s="169">
        <v>9.5</v>
      </c>
    </row>
    <row r="17" spans="1:34" x14ac:dyDescent="0.25">
      <c r="A17" s="169" t="s">
        <v>174</v>
      </c>
      <c r="B17" s="169" t="s">
        <v>172</v>
      </c>
      <c r="C17" s="169" t="s">
        <v>353</v>
      </c>
      <c r="D17">
        <v>465852705</v>
      </c>
      <c r="F17" s="169" t="s">
        <v>176</v>
      </c>
      <c r="G17">
        <v>1</v>
      </c>
      <c r="J17" s="169" t="s">
        <v>172</v>
      </c>
      <c r="K17">
        <v>20</v>
      </c>
      <c r="L17">
        <v>9</v>
      </c>
      <c r="M17">
        <v>1410</v>
      </c>
      <c r="N17">
        <v>310</v>
      </c>
      <c r="O17">
        <v>23</v>
      </c>
      <c r="P17">
        <v>2</v>
      </c>
      <c r="Q17">
        <v>3</v>
      </c>
      <c r="R17">
        <v>20</v>
      </c>
      <c r="S17">
        <v>6</v>
      </c>
      <c r="T17">
        <v>8</v>
      </c>
      <c r="U17" s="168">
        <v>44762</v>
      </c>
      <c r="V17">
        <v>3.5</v>
      </c>
      <c r="W17" s="169" t="s">
        <v>146</v>
      </c>
      <c r="X17">
        <v>0</v>
      </c>
      <c r="Y17">
        <v>1</v>
      </c>
      <c r="AC17" s="172" t="s">
        <v>242</v>
      </c>
      <c r="AE17" s="169">
        <v>19</v>
      </c>
      <c r="AF17" s="169">
        <v>19</v>
      </c>
      <c r="AG17" s="169">
        <v>29</v>
      </c>
      <c r="AH17" s="169">
        <v>27.5</v>
      </c>
    </row>
    <row r="18" spans="1:34" x14ac:dyDescent="0.25">
      <c r="A18" s="169" t="s">
        <v>174</v>
      </c>
      <c r="B18" s="169" t="s">
        <v>172</v>
      </c>
      <c r="C18" s="169" t="s">
        <v>354</v>
      </c>
      <c r="D18">
        <v>469974779</v>
      </c>
      <c r="F18" s="169" t="s">
        <v>183</v>
      </c>
      <c r="G18">
        <v>1</v>
      </c>
      <c r="J18" s="169" t="s">
        <v>172</v>
      </c>
      <c r="K18">
        <v>19</v>
      </c>
      <c r="L18">
        <v>54</v>
      </c>
      <c r="M18">
        <v>920</v>
      </c>
      <c r="N18">
        <v>330</v>
      </c>
      <c r="O18">
        <v>7</v>
      </c>
      <c r="P18">
        <v>2</v>
      </c>
      <c r="Q18">
        <v>4</v>
      </c>
      <c r="R18">
        <v>20</v>
      </c>
      <c r="S18">
        <v>6</v>
      </c>
      <c r="T18">
        <v>7</v>
      </c>
      <c r="U18" s="168">
        <v>44762</v>
      </c>
      <c r="V18">
        <v>3</v>
      </c>
      <c r="W18" s="169" t="s">
        <v>146</v>
      </c>
      <c r="X18">
        <v>0</v>
      </c>
      <c r="Y18">
        <v>1</v>
      </c>
      <c r="AC18" s="181" t="s">
        <v>349</v>
      </c>
      <c r="AD18" s="172"/>
      <c r="AE18" s="169">
        <v>6</v>
      </c>
      <c r="AF18" s="169">
        <v>6</v>
      </c>
      <c r="AG18" s="169">
        <v>7.5</v>
      </c>
      <c r="AH18" s="169">
        <v>6.5</v>
      </c>
    </row>
    <row r="19" spans="1:34" x14ac:dyDescent="0.25">
      <c r="A19" s="169" t="s">
        <v>174</v>
      </c>
      <c r="B19" s="169" t="s">
        <v>172</v>
      </c>
      <c r="C19" s="169" t="s">
        <v>354</v>
      </c>
      <c r="D19">
        <v>469974779</v>
      </c>
      <c r="F19" s="169" t="s">
        <v>183</v>
      </c>
      <c r="G19">
        <v>1</v>
      </c>
      <c r="J19" s="169" t="s">
        <v>172</v>
      </c>
      <c r="K19">
        <v>19</v>
      </c>
      <c r="L19">
        <v>66</v>
      </c>
      <c r="M19">
        <v>840</v>
      </c>
      <c r="N19">
        <v>330</v>
      </c>
      <c r="O19">
        <v>9</v>
      </c>
      <c r="P19">
        <v>2</v>
      </c>
      <c r="Q19">
        <v>4</v>
      </c>
      <c r="R19">
        <v>20</v>
      </c>
      <c r="S19">
        <v>5</v>
      </c>
      <c r="T19">
        <v>7</v>
      </c>
      <c r="U19" s="168">
        <v>44776</v>
      </c>
      <c r="V19">
        <v>3.5</v>
      </c>
      <c r="W19" s="169" t="s">
        <v>146</v>
      </c>
      <c r="X19">
        <v>0</v>
      </c>
      <c r="Y19">
        <v>2</v>
      </c>
      <c r="AC19" s="181" t="s">
        <v>355</v>
      </c>
      <c r="AD19" s="172" t="s">
        <v>171</v>
      </c>
      <c r="AE19" s="169">
        <v>7</v>
      </c>
      <c r="AF19" s="169">
        <v>7</v>
      </c>
      <c r="AG19" s="169">
        <v>11</v>
      </c>
      <c r="AH19" s="169">
        <v>11</v>
      </c>
    </row>
    <row r="20" spans="1:34" x14ac:dyDescent="0.25">
      <c r="A20" s="169" t="s">
        <v>174</v>
      </c>
      <c r="B20" s="169" t="s">
        <v>172</v>
      </c>
      <c r="C20" s="169" t="s">
        <v>355</v>
      </c>
      <c r="D20">
        <v>435305632</v>
      </c>
      <c r="F20" s="169" t="s">
        <v>171</v>
      </c>
      <c r="I20">
        <v>1</v>
      </c>
      <c r="J20" s="169" t="s">
        <v>172</v>
      </c>
      <c r="K20">
        <v>31</v>
      </c>
      <c r="L20">
        <v>24</v>
      </c>
      <c r="M20">
        <v>297100</v>
      </c>
      <c r="N20">
        <v>59990</v>
      </c>
      <c r="O20">
        <v>148</v>
      </c>
      <c r="P20">
        <v>14</v>
      </c>
      <c r="Q20">
        <v>5</v>
      </c>
      <c r="R20">
        <v>20</v>
      </c>
      <c r="S20">
        <v>7</v>
      </c>
      <c r="T20">
        <v>8</v>
      </c>
      <c r="U20" s="168">
        <v>44779</v>
      </c>
      <c r="V20">
        <v>11</v>
      </c>
      <c r="W20" s="169" t="s">
        <v>147</v>
      </c>
      <c r="X20">
        <v>1</v>
      </c>
      <c r="Y20">
        <v>2</v>
      </c>
      <c r="Z20" t="s">
        <v>242</v>
      </c>
      <c r="AC20" s="181" t="s">
        <v>370</v>
      </c>
      <c r="AD20" s="172" t="s">
        <v>171</v>
      </c>
      <c r="AE20" s="169">
        <v>6</v>
      </c>
      <c r="AF20" s="169">
        <v>6</v>
      </c>
      <c r="AG20" s="169">
        <v>10.5</v>
      </c>
      <c r="AH20" s="169">
        <v>10</v>
      </c>
    </row>
    <row r="21" spans="1:34" x14ac:dyDescent="0.25">
      <c r="A21" s="169" t="s">
        <v>174</v>
      </c>
      <c r="B21" s="169" t="s">
        <v>172</v>
      </c>
      <c r="C21" s="169" t="s">
        <v>355</v>
      </c>
      <c r="D21">
        <v>435305632</v>
      </c>
      <c r="F21" s="169" t="s">
        <v>171</v>
      </c>
      <c r="J21" s="169" t="s">
        <v>172</v>
      </c>
      <c r="K21">
        <v>31</v>
      </c>
      <c r="L21">
        <v>12</v>
      </c>
      <c r="M21">
        <v>293510</v>
      </c>
      <c r="N21">
        <v>59990</v>
      </c>
      <c r="O21">
        <v>146</v>
      </c>
      <c r="P21">
        <v>14</v>
      </c>
      <c r="Q21">
        <v>5</v>
      </c>
      <c r="R21">
        <v>20</v>
      </c>
      <c r="S21">
        <v>7</v>
      </c>
      <c r="T21">
        <v>8</v>
      </c>
      <c r="U21" s="168">
        <v>44769</v>
      </c>
      <c r="V21">
        <v>11</v>
      </c>
      <c r="W21" s="169" t="s">
        <v>147</v>
      </c>
      <c r="X21">
        <v>1</v>
      </c>
      <c r="Y21">
        <v>1</v>
      </c>
      <c r="Z21" t="s">
        <v>242</v>
      </c>
      <c r="AC21" s="172" t="s">
        <v>478</v>
      </c>
      <c r="AE21" s="169">
        <v>7</v>
      </c>
      <c r="AF21" s="169">
        <v>7</v>
      </c>
      <c r="AG21" s="169">
        <v>8</v>
      </c>
      <c r="AH21" s="169">
        <v>7.5</v>
      </c>
    </row>
    <row r="22" spans="1:34" x14ac:dyDescent="0.25">
      <c r="A22" s="169" t="s">
        <v>174</v>
      </c>
      <c r="B22" s="169" t="s">
        <v>172</v>
      </c>
      <c r="C22" s="169" t="s">
        <v>356</v>
      </c>
      <c r="D22">
        <v>433873906</v>
      </c>
      <c r="F22" s="169" t="s">
        <v>172</v>
      </c>
      <c r="G22">
        <v>1</v>
      </c>
      <c r="J22" s="169" t="s">
        <v>172</v>
      </c>
      <c r="K22">
        <v>32</v>
      </c>
      <c r="L22">
        <v>17</v>
      </c>
      <c r="M22">
        <v>6710</v>
      </c>
      <c r="N22">
        <v>1150</v>
      </c>
      <c r="O22">
        <v>235</v>
      </c>
      <c r="P22">
        <v>4</v>
      </c>
      <c r="Q22">
        <v>3</v>
      </c>
      <c r="R22">
        <v>20</v>
      </c>
      <c r="S22">
        <v>7</v>
      </c>
      <c r="T22">
        <v>7</v>
      </c>
      <c r="U22" s="168">
        <v>44755</v>
      </c>
      <c r="V22">
        <v>5</v>
      </c>
      <c r="W22" s="169" t="s">
        <v>147</v>
      </c>
      <c r="X22">
        <v>1</v>
      </c>
      <c r="Y22">
        <v>1</v>
      </c>
      <c r="AC22" s="181" t="s">
        <v>359</v>
      </c>
      <c r="AD22" s="172" t="s">
        <v>180</v>
      </c>
      <c r="AE22" s="169">
        <v>7</v>
      </c>
      <c r="AF22" s="169">
        <v>7</v>
      </c>
      <c r="AG22" s="169">
        <v>8</v>
      </c>
      <c r="AH22" s="169">
        <v>7.5</v>
      </c>
    </row>
    <row r="23" spans="1:34" x14ac:dyDescent="0.25">
      <c r="A23" s="169" t="s">
        <v>174</v>
      </c>
      <c r="B23" s="169" t="s">
        <v>172</v>
      </c>
      <c r="C23" s="169" t="s">
        <v>356</v>
      </c>
      <c r="D23">
        <v>433873906</v>
      </c>
      <c r="F23" s="169" t="s">
        <v>172</v>
      </c>
      <c r="G23">
        <v>1</v>
      </c>
      <c r="J23" s="169" t="s">
        <v>172</v>
      </c>
      <c r="K23">
        <v>32</v>
      </c>
      <c r="L23">
        <v>29</v>
      </c>
      <c r="M23">
        <v>6150</v>
      </c>
      <c r="N23">
        <v>1150</v>
      </c>
      <c r="O23">
        <v>237</v>
      </c>
      <c r="P23">
        <v>4</v>
      </c>
      <c r="Q23">
        <v>3</v>
      </c>
      <c r="R23">
        <v>20</v>
      </c>
      <c r="S23">
        <v>6</v>
      </c>
      <c r="T23">
        <v>7</v>
      </c>
      <c r="U23" s="168">
        <v>44755</v>
      </c>
      <c r="V23">
        <v>5</v>
      </c>
      <c r="W23" s="169" t="s">
        <v>147</v>
      </c>
      <c r="X23">
        <v>1</v>
      </c>
      <c r="Y23">
        <v>2</v>
      </c>
      <c r="AC23" s="172" t="s">
        <v>243</v>
      </c>
      <c r="AE23" s="169">
        <v>8</v>
      </c>
      <c r="AF23" s="169">
        <v>8</v>
      </c>
      <c r="AG23" s="169">
        <v>8.5</v>
      </c>
      <c r="AH23" s="169">
        <v>8.5</v>
      </c>
    </row>
    <row r="24" spans="1:34" x14ac:dyDescent="0.25">
      <c r="A24" s="169" t="s">
        <v>174</v>
      </c>
      <c r="B24" s="169" t="s">
        <v>172</v>
      </c>
      <c r="C24" s="169" t="s">
        <v>357</v>
      </c>
      <c r="D24">
        <v>428002107</v>
      </c>
      <c r="F24" s="169" t="s">
        <v>346</v>
      </c>
      <c r="G24">
        <v>1</v>
      </c>
      <c r="J24" s="169" t="s">
        <v>172</v>
      </c>
      <c r="K24">
        <v>33</v>
      </c>
      <c r="L24">
        <v>108</v>
      </c>
      <c r="M24">
        <v>810</v>
      </c>
      <c r="N24">
        <v>350</v>
      </c>
      <c r="O24">
        <v>269</v>
      </c>
      <c r="P24">
        <v>4</v>
      </c>
      <c r="Q24">
        <v>6</v>
      </c>
      <c r="R24">
        <v>20</v>
      </c>
      <c r="S24">
        <v>7</v>
      </c>
      <c r="T24">
        <v>7</v>
      </c>
      <c r="U24" s="168">
        <v>44762</v>
      </c>
      <c r="V24">
        <v>3.5</v>
      </c>
      <c r="W24" s="169" t="s">
        <v>177</v>
      </c>
      <c r="X24">
        <v>0</v>
      </c>
      <c r="Y24">
        <v>1</v>
      </c>
      <c r="AC24" s="181" t="s">
        <v>363</v>
      </c>
      <c r="AD24" s="172" t="s">
        <v>183</v>
      </c>
      <c r="AE24" s="169">
        <v>8</v>
      </c>
      <c r="AF24" s="169">
        <v>8</v>
      </c>
      <c r="AG24" s="169">
        <v>8.5</v>
      </c>
      <c r="AH24" s="169">
        <v>8.5</v>
      </c>
    </row>
    <row r="25" spans="1:34" x14ac:dyDescent="0.25">
      <c r="A25" s="169" t="s">
        <v>174</v>
      </c>
      <c r="B25" s="169" t="s">
        <v>172</v>
      </c>
      <c r="C25" s="169" t="s">
        <v>357</v>
      </c>
      <c r="D25">
        <v>428002107</v>
      </c>
      <c r="F25" s="169" t="s">
        <v>346</v>
      </c>
      <c r="G25">
        <v>1</v>
      </c>
      <c r="J25" s="169" t="s">
        <v>172</v>
      </c>
      <c r="K25">
        <v>34</v>
      </c>
      <c r="L25">
        <v>8</v>
      </c>
      <c r="M25">
        <v>390</v>
      </c>
      <c r="N25">
        <v>310</v>
      </c>
      <c r="O25">
        <v>271</v>
      </c>
      <c r="P25">
        <v>4</v>
      </c>
      <c r="Q25">
        <v>6</v>
      </c>
      <c r="R25">
        <v>20</v>
      </c>
      <c r="S25">
        <v>7</v>
      </c>
      <c r="T25">
        <v>7</v>
      </c>
      <c r="U25" s="168">
        <v>44776</v>
      </c>
      <c r="V25">
        <v>3.5</v>
      </c>
      <c r="W25" s="169" t="s">
        <v>146</v>
      </c>
      <c r="X25">
        <v>0</v>
      </c>
      <c r="Y25">
        <v>2</v>
      </c>
      <c r="AC25" s="172" t="s">
        <v>229</v>
      </c>
      <c r="AE25" s="169">
        <v>102</v>
      </c>
      <c r="AF25" s="169">
        <v>99</v>
      </c>
      <c r="AG25" s="169">
        <v>112.5</v>
      </c>
      <c r="AH25" s="169">
        <v>112.5</v>
      </c>
    </row>
    <row r="26" spans="1:34" x14ac:dyDescent="0.25">
      <c r="A26" s="169" t="s">
        <v>174</v>
      </c>
      <c r="B26" s="169" t="s">
        <v>172</v>
      </c>
      <c r="C26" s="169" t="s">
        <v>358</v>
      </c>
      <c r="D26">
        <v>461499946</v>
      </c>
      <c r="F26" s="169" t="s">
        <v>180</v>
      </c>
      <c r="G26">
        <v>1</v>
      </c>
      <c r="J26" s="169" t="s">
        <v>172</v>
      </c>
      <c r="K26">
        <v>20</v>
      </c>
      <c r="L26">
        <v>68</v>
      </c>
      <c r="M26">
        <v>1450</v>
      </c>
      <c r="N26">
        <v>390</v>
      </c>
      <c r="O26">
        <v>55</v>
      </c>
      <c r="P26">
        <v>2</v>
      </c>
      <c r="Q26">
        <v>3</v>
      </c>
      <c r="R26">
        <v>20</v>
      </c>
      <c r="S26">
        <v>6</v>
      </c>
      <c r="T26">
        <v>9</v>
      </c>
      <c r="U26" s="168">
        <v>44776</v>
      </c>
      <c r="V26">
        <v>3.5</v>
      </c>
      <c r="W26" s="169" t="s">
        <v>146</v>
      </c>
      <c r="X26">
        <v>0</v>
      </c>
      <c r="Y26">
        <v>2</v>
      </c>
    </row>
    <row r="27" spans="1:34" x14ac:dyDescent="0.25">
      <c r="A27" s="169" t="s">
        <v>174</v>
      </c>
      <c r="B27" s="169" t="s">
        <v>172</v>
      </c>
      <c r="C27" s="169" t="s">
        <v>358</v>
      </c>
      <c r="D27">
        <v>461499946</v>
      </c>
      <c r="F27" s="169" t="s">
        <v>180</v>
      </c>
      <c r="G27">
        <v>1</v>
      </c>
      <c r="J27" s="169" t="s">
        <v>172</v>
      </c>
      <c r="K27">
        <v>20</v>
      </c>
      <c r="L27">
        <v>56</v>
      </c>
      <c r="M27">
        <v>1280</v>
      </c>
      <c r="N27">
        <v>390</v>
      </c>
      <c r="O27">
        <v>54</v>
      </c>
      <c r="P27">
        <v>2</v>
      </c>
      <c r="Q27">
        <v>3</v>
      </c>
      <c r="R27">
        <v>20</v>
      </c>
      <c r="S27">
        <v>5</v>
      </c>
      <c r="T27">
        <v>9</v>
      </c>
      <c r="U27" s="168">
        <v>44762</v>
      </c>
      <c r="V27">
        <v>2.5</v>
      </c>
      <c r="W27" s="169" t="s">
        <v>146</v>
      </c>
      <c r="X27">
        <v>0</v>
      </c>
      <c r="Y27">
        <v>1</v>
      </c>
    </row>
    <row r="28" spans="1:34" x14ac:dyDescent="0.25">
      <c r="A28" s="169" t="s">
        <v>303</v>
      </c>
      <c r="B28" s="169" t="s">
        <v>172</v>
      </c>
      <c r="C28" s="169" t="s">
        <v>359</v>
      </c>
      <c r="D28">
        <v>436903655</v>
      </c>
      <c r="F28" s="169" t="s">
        <v>180</v>
      </c>
      <c r="I28">
        <v>1</v>
      </c>
      <c r="J28" s="169" t="s">
        <v>172</v>
      </c>
      <c r="K28">
        <v>30</v>
      </c>
      <c r="L28">
        <v>40</v>
      </c>
      <c r="M28">
        <v>118700</v>
      </c>
      <c r="N28">
        <v>19344</v>
      </c>
      <c r="O28">
        <v>2</v>
      </c>
      <c r="P28">
        <v>8</v>
      </c>
      <c r="Q28">
        <v>2</v>
      </c>
      <c r="R28">
        <v>5</v>
      </c>
      <c r="S28">
        <v>7</v>
      </c>
      <c r="T28">
        <v>7</v>
      </c>
      <c r="U28" s="168">
        <v>44779</v>
      </c>
      <c r="V28">
        <v>7.5</v>
      </c>
      <c r="W28" s="169" t="s">
        <v>147</v>
      </c>
      <c r="X28">
        <v>1</v>
      </c>
      <c r="Y28">
        <v>2</v>
      </c>
      <c r="Z28" t="s">
        <v>478</v>
      </c>
    </row>
    <row r="29" spans="1:34" x14ac:dyDescent="0.25">
      <c r="A29" s="169" t="s">
        <v>303</v>
      </c>
      <c r="B29" s="169" t="s">
        <v>172</v>
      </c>
      <c r="C29" s="169" t="s">
        <v>359</v>
      </c>
      <c r="D29">
        <v>436903655</v>
      </c>
      <c r="F29" s="169" t="s">
        <v>180</v>
      </c>
      <c r="J29" s="169" t="s">
        <v>172</v>
      </c>
      <c r="K29">
        <v>30</v>
      </c>
      <c r="L29">
        <v>28</v>
      </c>
      <c r="M29">
        <v>116210</v>
      </c>
      <c r="N29">
        <v>19344</v>
      </c>
      <c r="O29">
        <v>1</v>
      </c>
      <c r="P29">
        <v>8</v>
      </c>
      <c r="Q29">
        <v>2</v>
      </c>
      <c r="R29">
        <v>3</v>
      </c>
      <c r="S29">
        <v>7</v>
      </c>
      <c r="T29">
        <v>7</v>
      </c>
      <c r="U29" s="168">
        <v>44769</v>
      </c>
      <c r="V29">
        <v>8</v>
      </c>
      <c r="W29" s="169" t="s">
        <v>147</v>
      </c>
      <c r="X29">
        <v>1</v>
      </c>
      <c r="Y29">
        <v>1</v>
      </c>
      <c r="Z29" t="s">
        <v>478</v>
      </c>
    </row>
    <row r="30" spans="1:34" x14ac:dyDescent="0.25">
      <c r="A30" s="169" t="s">
        <v>303</v>
      </c>
      <c r="B30" s="169" t="s">
        <v>172</v>
      </c>
      <c r="C30" s="169" t="s">
        <v>360</v>
      </c>
      <c r="D30">
        <v>429013734</v>
      </c>
      <c r="F30" s="169" t="s">
        <v>183</v>
      </c>
      <c r="J30" s="169" t="s">
        <v>172</v>
      </c>
      <c r="K30">
        <v>33</v>
      </c>
      <c r="L30">
        <v>68</v>
      </c>
      <c r="M30">
        <v>55090</v>
      </c>
      <c r="N30">
        <v>22104</v>
      </c>
      <c r="O30">
        <v>0</v>
      </c>
      <c r="P30">
        <v>13</v>
      </c>
      <c r="Q30">
        <v>4</v>
      </c>
      <c r="R30">
        <v>3</v>
      </c>
      <c r="S30">
        <v>7</v>
      </c>
      <c r="T30">
        <v>7</v>
      </c>
      <c r="U30" s="168">
        <v>44769</v>
      </c>
      <c r="V30">
        <v>9</v>
      </c>
      <c r="W30" s="169" t="s">
        <v>146</v>
      </c>
      <c r="X30">
        <v>1</v>
      </c>
      <c r="Y30">
        <v>1</v>
      </c>
    </row>
    <row r="31" spans="1:34" x14ac:dyDescent="0.25">
      <c r="A31" s="169" t="s">
        <v>303</v>
      </c>
      <c r="B31" s="169" t="s">
        <v>172</v>
      </c>
      <c r="C31" s="169" t="s">
        <v>360</v>
      </c>
      <c r="D31">
        <v>429013734</v>
      </c>
      <c r="F31" s="169" t="s">
        <v>183</v>
      </c>
      <c r="J31" s="169" t="s">
        <v>172</v>
      </c>
      <c r="K31">
        <v>33</v>
      </c>
      <c r="L31">
        <v>80</v>
      </c>
      <c r="M31">
        <v>54230</v>
      </c>
      <c r="N31">
        <v>22104</v>
      </c>
      <c r="O31">
        <v>2</v>
      </c>
      <c r="P31">
        <v>14</v>
      </c>
      <c r="Q31">
        <v>4</v>
      </c>
      <c r="R31">
        <v>5</v>
      </c>
      <c r="S31">
        <v>7</v>
      </c>
      <c r="T31">
        <v>7</v>
      </c>
      <c r="U31" s="168">
        <v>44779</v>
      </c>
      <c r="V31">
        <v>9.5</v>
      </c>
      <c r="W31" s="169" t="s">
        <v>146</v>
      </c>
      <c r="X31">
        <v>1</v>
      </c>
      <c r="Y31">
        <v>2</v>
      </c>
    </row>
    <row r="32" spans="1:34" x14ac:dyDescent="0.25">
      <c r="A32" s="169" t="s">
        <v>361</v>
      </c>
      <c r="B32" s="169" t="s">
        <v>172</v>
      </c>
      <c r="C32" s="169" t="s">
        <v>362</v>
      </c>
      <c r="D32">
        <v>391463093</v>
      </c>
      <c r="E32">
        <v>1</v>
      </c>
      <c r="F32" s="169" t="s">
        <v>183</v>
      </c>
      <c r="H32">
        <v>999</v>
      </c>
      <c r="J32" s="169" t="s">
        <v>172</v>
      </c>
      <c r="K32">
        <v>45</v>
      </c>
      <c r="L32">
        <v>6</v>
      </c>
      <c r="M32">
        <v>0</v>
      </c>
      <c r="N32">
        <v>300</v>
      </c>
      <c r="O32">
        <v>161</v>
      </c>
      <c r="P32">
        <v>16</v>
      </c>
      <c r="Q32">
        <v>4</v>
      </c>
      <c r="R32">
        <v>20</v>
      </c>
      <c r="S32">
        <v>4</v>
      </c>
      <c r="T32">
        <v>1</v>
      </c>
      <c r="U32" s="168">
        <v>44272</v>
      </c>
      <c r="V32">
        <v>3.5</v>
      </c>
      <c r="W32" s="169" t="s">
        <v>148</v>
      </c>
      <c r="X32">
        <v>0</v>
      </c>
      <c r="Y32">
        <v>1</v>
      </c>
    </row>
    <row r="33" spans="1:26" x14ac:dyDescent="0.25">
      <c r="A33" s="169" t="s">
        <v>361</v>
      </c>
      <c r="B33" s="169" t="s">
        <v>172</v>
      </c>
      <c r="C33" s="169" t="s">
        <v>362</v>
      </c>
      <c r="D33">
        <v>391463093</v>
      </c>
      <c r="E33">
        <v>1</v>
      </c>
      <c r="F33" s="169" t="s">
        <v>183</v>
      </c>
      <c r="H33">
        <v>999</v>
      </c>
      <c r="J33" s="169" t="s">
        <v>172</v>
      </c>
      <c r="K33">
        <v>45</v>
      </c>
      <c r="L33">
        <v>18</v>
      </c>
      <c r="M33">
        <v>0</v>
      </c>
      <c r="N33">
        <v>300</v>
      </c>
      <c r="O33">
        <v>163</v>
      </c>
      <c r="P33">
        <v>16</v>
      </c>
      <c r="Q33">
        <v>4</v>
      </c>
      <c r="R33">
        <v>20</v>
      </c>
      <c r="S33">
        <v>4</v>
      </c>
      <c r="T33">
        <v>1</v>
      </c>
      <c r="U33" s="168">
        <v>44272</v>
      </c>
      <c r="V33">
        <v>3.5</v>
      </c>
      <c r="W33" s="169" t="s">
        <v>148</v>
      </c>
      <c r="X33">
        <v>0</v>
      </c>
      <c r="Y33">
        <v>2</v>
      </c>
    </row>
    <row r="34" spans="1:26" x14ac:dyDescent="0.25">
      <c r="A34" s="169" t="s">
        <v>186</v>
      </c>
      <c r="B34" s="169" t="s">
        <v>172</v>
      </c>
      <c r="C34" s="169" t="s">
        <v>363</v>
      </c>
      <c r="D34">
        <v>433807278</v>
      </c>
      <c r="F34" s="169" t="s">
        <v>183</v>
      </c>
      <c r="J34" s="169" t="s">
        <v>172</v>
      </c>
      <c r="K34">
        <v>31</v>
      </c>
      <c r="L34">
        <v>100</v>
      </c>
      <c r="M34">
        <v>118040</v>
      </c>
      <c r="N34">
        <v>21780</v>
      </c>
      <c r="O34">
        <v>2</v>
      </c>
      <c r="P34">
        <v>13</v>
      </c>
      <c r="Q34">
        <v>4</v>
      </c>
      <c r="R34">
        <v>5</v>
      </c>
      <c r="S34">
        <v>8</v>
      </c>
      <c r="T34">
        <v>7</v>
      </c>
      <c r="U34" s="168">
        <v>44779</v>
      </c>
      <c r="V34">
        <v>8.5</v>
      </c>
      <c r="W34" s="169" t="s">
        <v>146</v>
      </c>
      <c r="X34">
        <v>1</v>
      </c>
      <c r="Y34">
        <v>2</v>
      </c>
      <c r="Z34" t="s">
        <v>243</v>
      </c>
    </row>
    <row r="35" spans="1:26" x14ac:dyDescent="0.25">
      <c r="A35" s="169" t="s">
        <v>186</v>
      </c>
      <c r="B35" s="169" t="s">
        <v>172</v>
      </c>
      <c r="C35" s="169" t="s">
        <v>363</v>
      </c>
      <c r="D35">
        <v>433807278</v>
      </c>
      <c r="F35" s="169" t="s">
        <v>183</v>
      </c>
      <c r="J35" s="169" t="s">
        <v>172</v>
      </c>
      <c r="K35">
        <v>31</v>
      </c>
      <c r="L35">
        <v>88</v>
      </c>
      <c r="M35">
        <v>117970</v>
      </c>
      <c r="N35">
        <v>21780</v>
      </c>
      <c r="O35">
        <v>0</v>
      </c>
      <c r="P35">
        <v>13</v>
      </c>
      <c r="Q35">
        <v>4</v>
      </c>
      <c r="R35">
        <v>3</v>
      </c>
      <c r="S35">
        <v>8</v>
      </c>
      <c r="T35">
        <v>7</v>
      </c>
      <c r="U35" s="168">
        <v>44769</v>
      </c>
      <c r="V35">
        <v>8.5</v>
      </c>
      <c r="W35" s="169" t="s">
        <v>146</v>
      </c>
      <c r="X35">
        <v>1</v>
      </c>
      <c r="Y35">
        <v>1</v>
      </c>
      <c r="Z35" t="s">
        <v>243</v>
      </c>
    </row>
    <row r="36" spans="1:26" x14ac:dyDescent="0.25">
      <c r="A36" s="169" t="s">
        <v>174</v>
      </c>
      <c r="B36" s="169" t="s">
        <v>172</v>
      </c>
      <c r="C36" s="169" t="s">
        <v>364</v>
      </c>
      <c r="D36">
        <v>459498680</v>
      </c>
      <c r="F36" s="169" t="s">
        <v>172</v>
      </c>
      <c r="G36">
        <v>1</v>
      </c>
      <c r="J36" s="169" t="s">
        <v>172</v>
      </c>
      <c r="K36">
        <v>23</v>
      </c>
      <c r="L36">
        <v>23</v>
      </c>
      <c r="M36">
        <v>130</v>
      </c>
      <c r="N36">
        <v>790</v>
      </c>
      <c r="O36">
        <v>69</v>
      </c>
      <c r="P36">
        <v>3</v>
      </c>
      <c r="Q36">
        <v>2</v>
      </c>
      <c r="R36">
        <v>20</v>
      </c>
      <c r="S36">
        <v>6</v>
      </c>
      <c r="T36">
        <v>8</v>
      </c>
      <c r="U36" s="168">
        <v>44755</v>
      </c>
      <c r="V36">
        <v>3</v>
      </c>
      <c r="W36" s="169" t="s">
        <v>207</v>
      </c>
      <c r="X36">
        <v>0</v>
      </c>
      <c r="Y36">
        <v>1</v>
      </c>
    </row>
    <row r="37" spans="1:26" x14ac:dyDescent="0.25">
      <c r="A37" s="169" t="s">
        <v>174</v>
      </c>
      <c r="B37" s="169" t="s">
        <v>172</v>
      </c>
      <c r="C37" s="169" t="s">
        <v>364</v>
      </c>
      <c r="D37">
        <v>459498680</v>
      </c>
      <c r="F37" s="169" t="s">
        <v>172</v>
      </c>
      <c r="G37">
        <v>1</v>
      </c>
      <c r="J37" s="169" t="s">
        <v>172</v>
      </c>
      <c r="K37">
        <v>23</v>
      </c>
      <c r="L37">
        <v>35</v>
      </c>
      <c r="M37">
        <v>130</v>
      </c>
      <c r="N37">
        <v>790</v>
      </c>
      <c r="O37">
        <v>71</v>
      </c>
      <c r="P37">
        <v>3</v>
      </c>
      <c r="Q37">
        <v>2</v>
      </c>
      <c r="R37">
        <v>20</v>
      </c>
      <c r="S37">
        <v>6</v>
      </c>
      <c r="T37">
        <v>8</v>
      </c>
      <c r="U37" s="168">
        <v>44755</v>
      </c>
      <c r="V37">
        <v>3</v>
      </c>
      <c r="W37" s="169" t="s">
        <v>207</v>
      </c>
      <c r="X37">
        <v>0</v>
      </c>
      <c r="Y37">
        <v>2</v>
      </c>
    </row>
    <row r="38" spans="1:26" x14ac:dyDescent="0.25">
      <c r="A38" s="169" t="s">
        <v>190</v>
      </c>
      <c r="B38" s="169" t="s">
        <v>172</v>
      </c>
      <c r="C38" s="169" t="s">
        <v>365</v>
      </c>
      <c r="D38">
        <v>412154044</v>
      </c>
      <c r="F38" s="169" t="s">
        <v>172</v>
      </c>
      <c r="J38" s="169" t="s">
        <v>172</v>
      </c>
      <c r="K38">
        <v>41</v>
      </c>
      <c r="L38">
        <v>53</v>
      </c>
      <c r="M38">
        <v>0</v>
      </c>
      <c r="N38">
        <v>300</v>
      </c>
      <c r="O38">
        <v>313</v>
      </c>
      <c r="P38">
        <v>5</v>
      </c>
      <c r="Q38">
        <v>4</v>
      </c>
      <c r="R38">
        <v>20</v>
      </c>
      <c r="S38">
        <v>3</v>
      </c>
      <c r="T38">
        <v>2</v>
      </c>
      <c r="U38" s="168">
        <v>44734</v>
      </c>
      <c r="V38">
        <v>5</v>
      </c>
      <c r="W38" s="169" t="s">
        <v>177</v>
      </c>
      <c r="X38">
        <v>0</v>
      </c>
      <c r="Y38">
        <v>1</v>
      </c>
    </row>
    <row r="39" spans="1:26" x14ac:dyDescent="0.25">
      <c r="A39" s="169" t="s">
        <v>190</v>
      </c>
      <c r="B39" s="169" t="s">
        <v>172</v>
      </c>
      <c r="C39" s="169" t="s">
        <v>365</v>
      </c>
      <c r="D39">
        <v>412154044</v>
      </c>
      <c r="F39" s="169" t="s">
        <v>172</v>
      </c>
      <c r="J39" s="169" t="s">
        <v>172</v>
      </c>
      <c r="K39">
        <v>41</v>
      </c>
      <c r="L39">
        <v>65</v>
      </c>
      <c r="M39">
        <v>0</v>
      </c>
      <c r="N39">
        <v>300</v>
      </c>
      <c r="O39">
        <v>315</v>
      </c>
      <c r="P39">
        <v>5</v>
      </c>
      <c r="Q39">
        <v>4</v>
      </c>
      <c r="R39">
        <v>20</v>
      </c>
      <c r="S39">
        <v>3</v>
      </c>
      <c r="T39">
        <v>2</v>
      </c>
      <c r="U39" s="168">
        <v>44734</v>
      </c>
      <c r="V39">
        <v>5</v>
      </c>
      <c r="W39" s="169" t="s">
        <v>177</v>
      </c>
      <c r="X39">
        <v>0</v>
      </c>
      <c r="Y39">
        <v>2</v>
      </c>
    </row>
    <row r="40" spans="1:26" x14ac:dyDescent="0.25">
      <c r="A40" s="169" t="s">
        <v>174</v>
      </c>
      <c r="B40" s="169" t="s">
        <v>172</v>
      </c>
      <c r="C40" s="169" t="s">
        <v>366</v>
      </c>
      <c r="D40">
        <v>433917884</v>
      </c>
      <c r="F40" s="169" t="s">
        <v>171</v>
      </c>
      <c r="G40">
        <v>1</v>
      </c>
      <c r="J40" s="169" t="s">
        <v>172</v>
      </c>
      <c r="K40">
        <v>32</v>
      </c>
      <c r="L40">
        <v>58</v>
      </c>
      <c r="M40">
        <v>2620</v>
      </c>
      <c r="N40">
        <v>950</v>
      </c>
      <c r="O40">
        <v>234</v>
      </c>
      <c r="P40">
        <v>3</v>
      </c>
      <c r="Q40">
        <v>5</v>
      </c>
      <c r="R40">
        <v>20</v>
      </c>
      <c r="S40">
        <v>6</v>
      </c>
      <c r="T40">
        <v>7</v>
      </c>
      <c r="U40" s="168">
        <v>44755</v>
      </c>
      <c r="V40">
        <v>5</v>
      </c>
      <c r="W40" s="169" t="s">
        <v>201</v>
      </c>
      <c r="X40">
        <v>0</v>
      </c>
      <c r="Y40">
        <v>1</v>
      </c>
    </row>
    <row r="41" spans="1:26" x14ac:dyDescent="0.25">
      <c r="A41" s="169" t="s">
        <v>174</v>
      </c>
      <c r="B41" s="169" t="s">
        <v>172</v>
      </c>
      <c r="C41" s="169" t="s">
        <v>366</v>
      </c>
      <c r="D41">
        <v>433917884</v>
      </c>
      <c r="F41" s="169" t="s">
        <v>171</v>
      </c>
      <c r="G41">
        <v>1</v>
      </c>
      <c r="J41" s="169" t="s">
        <v>172</v>
      </c>
      <c r="K41">
        <v>32</v>
      </c>
      <c r="L41">
        <v>70</v>
      </c>
      <c r="M41">
        <v>2300</v>
      </c>
      <c r="N41">
        <v>950</v>
      </c>
      <c r="O41">
        <v>236</v>
      </c>
      <c r="P41">
        <v>3</v>
      </c>
      <c r="Q41">
        <v>5</v>
      </c>
      <c r="R41">
        <v>20</v>
      </c>
      <c r="S41">
        <v>5</v>
      </c>
      <c r="T41">
        <v>6</v>
      </c>
      <c r="U41" s="168">
        <v>44755</v>
      </c>
      <c r="V41">
        <v>5</v>
      </c>
      <c r="W41" s="169" t="s">
        <v>201</v>
      </c>
      <c r="X41">
        <v>0</v>
      </c>
      <c r="Y41">
        <v>2</v>
      </c>
    </row>
    <row r="42" spans="1:26" x14ac:dyDescent="0.25">
      <c r="A42" s="169" t="s">
        <v>291</v>
      </c>
      <c r="B42" s="169" t="s">
        <v>172</v>
      </c>
      <c r="C42" s="169" t="s">
        <v>367</v>
      </c>
      <c r="D42">
        <v>426083825</v>
      </c>
      <c r="F42" s="169" t="s">
        <v>171</v>
      </c>
      <c r="J42" s="169" t="s">
        <v>172</v>
      </c>
      <c r="K42">
        <v>34</v>
      </c>
      <c r="L42">
        <v>89</v>
      </c>
      <c r="M42">
        <v>39920</v>
      </c>
      <c r="N42">
        <v>22476</v>
      </c>
      <c r="O42">
        <v>131</v>
      </c>
      <c r="P42">
        <v>13</v>
      </c>
      <c r="Q42">
        <v>3</v>
      </c>
      <c r="R42">
        <v>20</v>
      </c>
      <c r="S42">
        <v>8</v>
      </c>
      <c r="T42">
        <v>7</v>
      </c>
      <c r="U42" s="168">
        <v>44769</v>
      </c>
      <c r="V42">
        <v>8.5</v>
      </c>
      <c r="W42" s="169" t="s">
        <v>201</v>
      </c>
      <c r="X42">
        <v>1</v>
      </c>
      <c r="Y42">
        <v>1</v>
      </c>
    </row>
    <row r="43" spans="1:26" x14ac:dyDescent="0.25">
      <c r="A43" s="169" t="s">
        <v>291</v>
      </c>
      <c r="B43" s="169" t="s">
        <v>172</v>
      </c>
      <c r="C43" s="169" t="s">
        <v>367</v>
      </c>
      <c r="D43">
        <v>426083825</v>
      </c>
      <c r="F43" s="169" t="s">
        <v>171</v>
      </c>
      <c r="J43" s="169" t="s">
        <v>172</v>
      </c>
      <c r="K43">
        <v>34</v>
      </c>
      <c r="L43">
        <v>101</v>
      </c>
      <c r="M43">
        <v>39010</v>
      </c>
      <c r="N43">
        <v>22476</v>
      </c>
      <c r="O43">
        <v>133</v>
      </c>
      <c r="P43">
        <v>13</v>
      </c>
      <c r="Q43">
        <v>3</v>
      </c>
      <c r="R43">
        <v>20</v>
      </c>
      <c r="S43">
        <v>8</v>
      </c>
      <c r="T43">
        <v>7</v>
      </c>
      <c r="U43" s="168">
        <v>44779</v>
      </c>
      <c r="V43">
        <v>8.5</v>
      </c>
      <c r="W43" s="169" t="s">
        <v>201</v>
      </c>
      <c r="X43">
        <v>1</v>
      </c>
      <c r="Y43">
        <v>2</v>
      </c>
    </row>
    <row r="44" spans="1:26" x14ac:dyDescent="0.25">
      <c r="A44" s="169" t="s">
        <v>305</v>
      </c>
      <c r="B44" s="169" t="s">
        <v>172</v>
      </c>
      <c r="C44" s="169" t="s">
        <v>368</v>
      </c>
      <c r="D44">
        <v>433207304</v>
      </c>
      <c r="F44" s="169" t="s">
        <v>183</v>
      </c>
      <c r="J44" s="169" t="s">
        <v>172</v>
      </c>
      <c r="K44">
        <v>32</v>
      </c>
      <c r="L44">
        <v>21</v>
      </c>
      <c r="M44">
        <v>50950</v>
      </c>
      <c r="N44">
        <v>14052</v>
      </c>
      <c r="O44">
        <v>3</v>
      </c>
      <c r="P44">
        <v>10</v>
      </c>
      <c r="Q44">
        <v>5</v>
      </c>
      <c r="R44">
        <v>5</v>
      </c>
      <c r="S44">
        <v>8</v>
      </c>
      <c r="T44">
        <v>6</v>
      </c>
      <c r="U44" s="168">
        <v>44779</v>
      </c>
      <c r="V44">
        <v>8</v>
      </c>
      <c r="W44" s="169" t="s">
        <v>207</v>
      </c>
      <c r="X44">
        <v>1</v>
      </c>
      <c r="Y44">
        <v>2</v>
      </c>
    </row>
    <row r="45" spans="1:26" x14ac:dyDescent="0.25">
      <c r="A45" s="169" t="s">
        <v>305</v>
      </c>
      <c r="B45" s="169" t="s">
        <v>172</v>
      </c>
      <c r="C45" s="169" t="s">
        <v>368</v>
      </c>
      <c r="D45">
        <v>433207304</v>
      </c>
      <c r="F45" s="169" t="s">
        <v>183</v>
      </c>
      <c r="J45" s="169" t="s">
        <v>172</v>
      </c>
      <c r="K45">
        <v>32</v>
      </c>
      <c r="L45">
        <v>9</v>
      </c>
      <c r="M45">
        <v>50710</v>
      </c>
      <c r="N45">
        <v>14052</v>
      </c>
      <c r="O45">
        <v>1</v>
      </c>
      <c r="P45">
        <v>10</v>
      </c>
      <c r="Q45">
        <v>5</v>
      </c>
      <c r="R45">
        <v>4</v>
      </c>
      <c r="S45">
        <v>8</v>
      </c>
      <c r="T45">
        <v>6</v>
      </c>
      <c r="U45" s="168">
        <v>44769</v>
      </c>
      <c r="V45">
        <v>8</v>
      </c>
      <c r="W45" s="169" t="s">
        <v>177</v>
      </c>
      <c r="X45">
        <v>1</v>
      </c>
      <c r="Y45">
        <v>1</v>
      </c>
    </row>
    <row r="46" spans="1:26" x14ac:dyDescent="0.25">
      <c r="A46" s="169" t="s">
        <v>291</v>
      </c>
      <c r="B46" s="169" t="s">
        <v>172</v>
      </c>
      <c r="C46" s="169" t="s">
        <v>369</v>
      </c>
      <c r="D46">
        <v>427940588</v>
      </c>
      <c r="F46" s="169" t="s">
        <v>172</v>
      </c>
      <c r="J46" s="169" t="s">
        <v>172</v>
      </c>
      <c r="K46">
        <v>33</v>
      </c>
      <c r="L46">
        <v>100</v>
      </c>
      <c r="M46">
        <v>36950</v>
      </c>
      <c r="N46">
        <v>12060</v>
      </c>
      <c r="O46">
        <v>1</v>
      </c>
      <c r="P46">
        <v>14</v>
      </c>
      <c r="Q46">
        <v>4</v>
      </c>
      <c r="R46">
        <v>4</v>
      </c>
      <c r="S46">
        <v>8</v>
      </c>
      <c r="T46">
        <v>7</v>
      </c>
      <c r="U46" s="168">
        <v>44769</v>
      </c>
      <c r="V46">
        <v>8</v>
      </c>
      <c r="W46" s="169" t="s">
        <v>207</v>
      </c>
      <c r="X46">
        <v>1</v>
      </c>
      <c r="Y46">
        <v>1</v>
      </c>
    </row>
    <row r="47" spans="1:26" x14ac:dyDescent="0.25">
      <c r="A47" s="169" t="s">
        <v>291</v>
      </c>
      <c r="B47" s="169" t="s">
        <v>172</v>
      </c>
      <c r="C47" s="169" t="s">
        <v>369</v>
      </c>
      <c r="D47">
        <v>427940588</v>
      </c>
      <c r="F47" s="169" t="s">
        <v>172</v>
      </c>
      <c r="J47" s="169" t="s">
        <v>172</v>
      </c>
      <c r="K47">
        <v>34</v>
      </c>
      <c r="L47">
        <v>0</v>
      </c>
      <c r="M47">
        <v>36520</v>
      </c>
      <c r="N47">
        <v>9048</v>
      </c>
      <c r="O47">
        <v>3</v>
      </c>
      <c r="P47">
        <v>14</v>
      </c>
      <c r="Q47">
        <v>4</v>
      </c>
      <c r="R47">
        <v>5</v>
      </c>
      <c r="S47">
        <v>8</v>
      </c>
      <c r="T47">
        <v>7</v>
      </c>
      <c r="U47" s="168">
        <v>44779</v>
      </c>
      <c r="V47">
        <v>8.5</v>
      </c>
      <c r="W47" s="169" t="s">
        <v>177</v>
      </c>
      <c r="X47">
        <v>1</v>
      </c>
      <c r="Y47">
        <v>2</v>
      </c>
    </row>
    <row r="48" spans="1:26" x14ac:dyDescent="0.25">
      <c r="A48" s="169" t="s">
        <v>174</v>
      </c>
      <c r="B48" s="169" t="s">
        <v>172</v>
      </c>
      <c r="C48" s="169" t="s">
        <v>370</v>
      </c>
      <c r="D48">
        <v>435465952</v>
      </c>
      <c r="F48" s="169" t="s">
        <v>171</v>
      </c>
      <c r="I48">
        <v>1</v>
      </c>
      <c r="J48" s="169" t="s">
        <v>172</v>
      </c>
      <c r="K48">
        <v>31</v>
      </c>
      <c r="L48">
        <v>5</v>
      </c>
      <c r="M48">
        <v>311540</v>
      </c>
      <c r="N48">
        <v>58110</v>
      </c>
      <c r="O48">
        <v>222</v>
      </c>
      <c r="P48">
        <v>13</v>
      </c>
      <c r="Q48">
        <v>4</v>
      </c>
      <c r="R48">
        <v>20</v>
      </c>
      <c r="S48">
        <v>6</v>
      </c>
      <c r="T48">
        <v>8</v>
      </c>
      <c r="U48" s="168">
        <v>44769</v>
      </c>
      <c r="V48">
        <v>10.5</v>
      </c>
      <c r="W48" s="169" t="s">
        <v>147</v>
      </c>
      <c r="X48">
        <v>1</v>
      </c>
      <c r="Y48">
        <v>1</v>
      </c>
      <c r="Z48" t="s">
        <v>242</v>
      </c>
    </row>
    <row r="49" spans="1:26" x14ac:dyDescent="0.25">
      <c r="A49" s="169" t="s">
        <v>174</v>
      </c>
      <c r="B49" s="169" t="s">
        <v>172</v>
      </c>
      <c r="C49" s="169" t="s">
        <v>370</v>
      </c>
      <c r="D49">
        <v>435465952</v>
      </c>
      <c r="F49" s="169" t="s">
        <v>171</v>
      </c>
      <c r="I49">
        <v>1</v>
      </c>
      <c r="J49" s="169" t="s">
        <v>172</v>
      </c>
      <c r="K49">
        <v>31</v>
      </c>
      <c r="L49">
        <v>17</v>
      </c>
      <c r="M49">
        <v>304950</v>
      </c>
      <c r="N49">
        <v>58110</v>
      </c>
      <c r="O49">
        <v>224</v>
      </c>
      <c r="P49">
        <v>13</v>
      </c>
      <c r="Q49">
        <v>4</v>
      </c>
      <c r="R49">
        <v>20</v>
      </c>
      <c r="S49">
        <v>6</v>
      </c>
      <c r="T49">
        <v>8</v>
      </c>
      <c r="U49" s="168">
        <v>44779</v>
      </c>
      <c r="V49">
        <v>10</v>
      </c>
      <c r="W49" s="169" t="s">
        <v>147</v>
      </c>
      <c r="X49">
        <v>1</v>
      </c>
      <c r="Y49">
        <v>2</v>
      </c>
      <c r="Z49" t="s">
        <v>242</v>
      </c>
    </row>
    <row r="50" spans="1:26" x14ac:dyDescent="0.25">
      <c r="A50" s="169" t="s">
        <v>371</v>
      </c>
      <c r="B50" s="169" t="s">
        <v>172</v>
      </c>
      <c r="C50" s="169" t="s">
        <v>372</v>
      </c>
      <c r="D50">
        <v>430896706</v>
      </c>
      <c r="F50" s="169" t="s">
        <v>171</v>
      </c>
      <c r="J50" s="169" t="s">
        <v>172</v>
      </c>
      <c r="K50">
        <v>32</v>
      </c>
      <c r="L50">
        <v>96</v>
      </c>
      <c r="M50">
        <v>73510</v>
      </c>
      <c r="N50">
        <v>16920</v>
      </c>
      <c r="O50">
        <v>49</v>
      </c>
      <c r="P50">
        <v>10</v>
      </c>
      <c r="Q50">
        <v>6</v>
      </c>
      <c r="R50">
        <v>20</v>
      </c>
      <c r="S50">
        <v>8</v>
      </c>
      <c r="T50">
        <v>8</v>
      </c>
      <c r="U50" s="168">
        <v>44769</v>
      </c>
      <c r="V50">
        <v>9</v>
      </c>
      <c r="W50" s="169" t="s">
        <v>146</v>
      </c>
      <c r="X50">
        <v>1</v>
      </c>
      <c r="Y50">
        <v>1</v>
      </c>
    </row>
    <row r="51" spans="1:26" x14ac:dyDescent="0.25">
      <c r="A51" s="169" t="s">
        <v>371</v>
      </c>
      <c r="B51" s="169" t="s">
        <v>172</v>
      </c>
      <c r="C51" s="169" t="s">
        <v>372</v>
      </c>
      <c r="D51">
        <v>430896706</v>
      </c>
      <c r="F51" s="169" t="s">
        <v>171</v>
      </c>
      <c r="H51">
        <v>2</v>
      </c>
      <c r="J51" s="169" t="s">
        <v>172</v>
      </c>
      <c r="K51">
        <v>32</v>
      </c>
      <c r="L51">
        <v>108</v>
      </c>
      <c r="M51">
        <v>54260</v>
      </c>
      <c r="N51">
        <v>16920</v>
      </c>
      <c r="O51">
        <v>50</v>
      </c>
      <c r="P51">
        <v>10</v>
      </c>
      <c r="Q51">
        <v>6</v>
      </c>
      <c r="R51">
        <v>20</v>
      </c>
      <c r="S51">
        <v>7</v>
      </c>
      <c r="T51">
        <v>7</v>
      </c>
      <c r="U51" s="168">
        <v>44772</v>
      </c>
      <c r="V51">
        <v>9.5</v>
      </c>
      <c r="W51" s="169" t="s">
        <v>146</v>
      </c>
      <c r="X51">
        <v>1</v>
      </c>
      <c r="Y51">
        <v>2</v>
      </c>
    </row>
  </sheetData>
  <autoFilter ref="AC3:AH25" xr:uid="{6C41B39D-77FB-49BA-BEC4-05417726C068}"/>
  <phoneticPr fontId="2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7517-D1B5-456B-8A89-982039FB0634}">
  <sheetPr>
    <tabColor theme="5" tint="0.59999389629810485"/>
  </sheetPr>
  <dimension ref="A1:BS59"/>
  <sheetViews>
    <sheetView zoomScale="90" zoomScaleNormal="90" workbookViewId="0">
      <selection activeCell="C15" sqref="C15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142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2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245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0.58797156777868098</v>
      </c>
      <c r="U2" s="159">
        <f>SUM(U4:U16)</f>
        <v>1.058910964633653</v>
      </c>
      <c r="V2" s="4"/>
      <c r="W2" s="4"/>
      <c r="X2" s="158">
        <f>SUM(X4:X16)</f>
        <v>0.33994880974657476</v>
      </c>
      <c r="Y2" s="157">
        <f>SUM(Y4:Y16)</f>
        <v>0.59076014584023095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93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87</v>
      </c>
      <c r="G4" s="143" t="s">
        <v>131</v>
      </c>
      <c r="H4" s="143" t="s">
        <v>87</v>
      </c>
      <c r="I4" s="143" t="s">
        <v>131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2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1.1957555510739445E-2</v>
      </c>
      <c r="U4" s="124">
        <f t="shared" ref="U4:U9" si="4">IF(S4=0,0,S4*Q4^2.7/(P4^2.7+Q4^2.7)*Q4/L4)</f>
        <v>0.15540084989057321</v>
      </c>
      <c r="V4" s="123">
        <f>$G$17</f>
        <v>0.56999999999999995</v>
      </c>
      <c r="W4" s="117">
        <f>$H$17</f>
        <v>0.56999999999999995</v>
      </c>
      <c r="X4" s="122">
        <f t="shared" ref="X4:X16" si="5">V4*T4</f>
        <v>6.8158066411214829E-3</v>
      </c>
      <c r="Y4" s="121">
        <f t="shared" ref="Y4:Y16" si="6">W4*U4</f>
        <v>8.8578484437626726E-2</v>
      </c>
      <c r="Z4" s="146"/>
      <c r="AA4" s="120">
        <f t="shared" ref="AA4:AA16" si="7">X4</f>
        <v>6.8158066411214829E-3</v>
      </c>
      <c r="AB4" s="119">
        <f t="shared" ref="AB4:AB16" si="8">1-AA4</f>
        <v>0.99318419335887853</v>
      </c>
      <c r="AC4" s="119">
        <f>PRODUCT(AB5:AB16)*AA4</f>
        <v>4.8389665339976544E-3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9">Y4</f>
        <v>8.8578484437626726E-2</v>
      </c>
      <c r="AH4" s="117">
        <f t="shared" ref="AH4:AH16" si="10">(1-AG4)</f>
        <v>0.91142151556237327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1">$H$25*H40</f>
        <v>1.0537006528714466E-2</v>
      </c>
      <c r="BM4" s="1">
        <v>0</v>
      </c>
      <c r="BN4" s="1">
        <v>0</v>
      </c>
      <c r="BO4" s="2">
        <f>H25*H39</f>
        <v>4.4500480885198588E-3</v>
      </c>
      <c r="BQ4" s="1">
        <v>1</v>
      </c>
      <c r="BR4" s="1">
        <v>0</v>
      </c>
      <c r="BS4" s="2">
        <f>$H$26*H39</f>
        <v>1.6075287288904817E-2</v>
      </c>
    </row>
    <row r="5" spans="1:71" ht="15.75" x14ac:dyDescent="0.25">
      <c r="A5" s="65" t="s">
        <v>97</v>
      </c>
      <c r="B5" s="145">
        <v>352</v>
      </c>
      <c r="C5" s="145">
        <v>532</v>
      </c>
      <c r="E5" s="143" t="s">
        <v>93</v>
      </c>
      <c r="F5" s="143" t="s">
        <v>94</v>
      </c>
      <c r="G5" s="143" t="s">
        <v>87</v>
      </c>
      <c r="H5" s="143" t="s">
        <v>131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2</v>
      </c>
      <c r="Q5" s="126">
        <f>COUNTIF(E10:I11,"IMP")</f>
        <v>0</v>
      </c>
      <c r="R5" s="96">
        <f t="shared" si="1"/>
        <v>0.35</v>
      </c>
      <c r="S5" s="96">
        <f t="shared" si="2"/>
        <v>0.41840390879478823</v>
      </c>
      <c r="T5" s="125">
        <f t="shared" si="3"/>
        <v>0.10460097719869706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5.9622557003257318E-2</v>
      </c>
      <c r="Y5" s="121">
        <f t="shared" si="6"/>
        <v>0</v>
      </c>
      <c r="Z5" s="102"/>
      <c r="AA5" s="120">
        <f t="shared" si="7"/>
        <v>5.9622557003257318E-2</v>
      </c>
      <c r="AB5" s="119">
        <f t="shared" si="8"/>
        <v>0.94037744299674264</v>
      </c>
      <c r="AC5" s="119">
        <f>PRODUCT(AB6:AB16)*AA5*PRODUCT(AB4)</f>
        <v>4.4706796440019278E-2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1.2918492529318201E-2</v>
      </c>
      <c r="AF5" s="100"/>
      <c r="AG5" s="118">
        <f t="shared" si="9"/>
        <v>0</v>
      </c>
      <c r="AH5" s="117">
        <f t="shared" si="10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1"/>
        <v>1.1387673087999005E-2</v>
      </c>
      <c r="BM5" s="1">
        <v>1</v>
      </c>
      <c r="BN5" s="1">
        <v>1</v>
      </c>
      <c r="BO5" s="2">
        <f>$H$26*H40</f>
        <v>3.8063725097966399E-2</v>
      </c>
      <c r="BQ5" s="1">
        <f>BQ4+1</f>
        <v>2</v>
      </c>
      <c r="BR5" s="1">
        <v>0</v>
      </c>
      <c r="BS5" s="2">
        <f>$H$27*H39</f>
        <v>2.6623479538778319E-2</v>
      </c>
    </row>
    <row r="6" spans="1:71" ht="15.75" x14ac:dyDescent="0.25">
      <c r="A6" s="144" t="s">
        <v>95</v>
      </c>
      <c r="B6" s="135">
        <v>10.5</v>
      </c>
      <c r="C6" s="134">
        <v>4.25</v>
      </c>
      <c r="E6" s="142"/>
      <c r="F6" s="143" t="s">
        <v>94</v>
      </c>
      <c r="G6" s="143" t="s">
        <v>93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2</v>
      </c>
      <c r="R6" s="96">
        <f t="shared" si="1"/>
        <v>0.45</v>
      </c>
      <c r="S6" s="96">
        <f t="shared" si="2"/>
        <v>0.53794788273615635</v>
      </c>
      <c r="T6" s="125">
        <f t="shared" si="3"/>
        <v>4.1380606364319721E-2</v>
      </c>
      <c r="U6" s="124">
        <f t="shared" si="4"/>
        <v>4.1380606364319721E-2</v>
      </c>
      <c r="V6" s="123">
        <f>$G$18</f>
        <v>0.45</v>
      </c>
      <c r="W6" s="117">
        <f>$H$18</f>
        <v>0.45</v>
      </c>
      <c r="X6" s="122">
        <f t="shared" si="5"/>
        <v>1.8621272863943876E-2</v>
      </c>
      <c r="Y6" s="121">
        <f t="shared" si="6"/>
        <v>1.8621272863943876E-2</v>
      </c>
      <c r="Z6" s="102"/>
      <c r="AA6" s="120">
        <f t="shared" si="7"/>
        <v>1.8621272863943876E-2</v>
      </c>
      <c r="AB6" s="119">
        <f t="shared" si="8"/>
        <v>0.98137872713605612</v>
      </c>
      <c r="AC6" s="119">
        <f>PRODUCT(AB7:AB16)*AA6*PRODUCT(AB4:AB5)</f>
        <v>1.3379438282802639E-2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3.6122579179734011E-3</v>
      </c>
      <c r="AF6" s="100"/>
      <c r="AG6" s="118">
        <f t="shared" si="9"/>
        <v>1.8621272863943876E-2</v>
      </c>
      <c r="AH6" s="117">
        <f t="shared" si="10"/>
        <v>0.98137872713605612</v>
      </c>
      <c r="AI6" s="117">
        <f>AG6*PRODUCT(AH3:AH5)*PRODUCT(AH7:AH17)</f>
        <v>9.9850369191383688E-3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5.8357770577662903E-3</v>
      </c>
      <c r="AL6" s="98"/>
      <c r="AN6" s="97"/>
      <c r="AO6" s="96"/>
      <c r="BI6" s="1">
        <v>0</v>
      </c>
      <c r="BJ6" s="1">
        <v>3</v>
      </c>
      <c r="BK6" s="2">
        <f t="shared" si="11"/>
        <v>8.1937444497346672E-3</v>
      </c>
      <c r="BM6" s="1">
        <f>BI14+1</f>
        <v>2</v>
      </c>
      <c r="BN6" s="1">
        <v>2</v>
      </c>
      <c r="BO6" s="2">
        <f>$H$27*H41</f>
        <v>6.8129484316085065E-2</v>
      </c>
      <c r="BQ6" s="1">
        <f>BM5+1</f>
        <v>2</v>
      </c>
      <c r="BR6" s="1">
        <v>1</v>
      </c>
      <c r="BS6" s="2">
        <f>$H$27*H40</f>
        <v>6.3040167687381451E-2</v>
      </c>
    </row>
    <row r="7" spans="1:71" ht="15.75" x14ac:dyDescent="0.25">
      <c r="A7" s="141" t="s">
        <v>92</v>
      </c>
      <c r="B7" s="135">
        <v>14.5</v>
      </c>
      <c r="C7" s="134">
        <v>22.5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0</v>
      </c>
      <c r="R7" s="96">
        <f t="shared" si="1"/>
        <v>0.04</v>
      </c>
      <c r="S7" s="96">
        <f t="shared" si="2"/>
        <v>4.7817589576547234E-2</v>
      </c>
      <c r="T7" s="125">
        <f t="shared" si="3"/>
        <v>1.1954397394136809E-2</v>
      </c>
      <c r="U7" s="124">
        <f t="shared" si="4"/>
        <v>0</v>
      </c>
      <c r="V7" s="123">
        <f>$G$18</f>
        <v>0.45</v>
      </c>
      <c r="W7" s="117">
        <f>$H$18</f>
        <v>0.45</v>
      </c>
      <c r="X7" s="122">
        <f t="shared" si="5"/>
        <v>5.3794788273615638E-3</v>
      </c>
      <c r="Y7" s="121">
        <f t="shared" si="6"/>
        <v>0</v>
      </c>
      <c r="Z7" s="102"/>
      <c r="AA7" s="120">
        <f t="shared" si="7"/>
        <v>5.3794788273615638E-3</v>
      </c>
      <c r="AB7" s="119">
        <f t="shared" si="8"/>
        <v>0.99462052117263844</v>
      </c>
      <c r="AC7" s="119">
        <f>PRODUCT(AB8:AB$16)*AA7*PRODUCT(AB$4:AB6)</f>
        <v>3.8137124398357316E-3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1.0090213348984201E-3</v>
      </c>
      <c r="AF7" s="100"/>
      <c r="AG7" s="118">
        <f t="shared" si="9"/>
        <v>0</v>
      </c>
      <c r="AH7" s="117">
        <f t="shared" si="10"/>
        <v>1</v>
      </c>
      <c r="AI7" s="117">
        <f>AG7*PRODUCT(AH3:AH6)*PRODUCT(AH8:AH17)</f>
        <v>0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L7" s="98"/>
      <c r="AN7" s="97"/>
      <c r="AO7" s="96"/>
      <c r="BI7" s="1">
        <v>0</v>
      </c>
      <c r="BJ7" s="1">
        <v>4</v>
      </c>
      <c r="BK7" s="2">
        <f t="shared" si="11"/>
        <v>4.6116231226427783E-3</v>
      </c>
      <c r="BM7" s="1">
        <f>BI23+1</f>
        <v>3</v>
      </c>
      <c r="BN7" s="1">
        <v>3</v>
      </c>
      <c r="BO7" s="2">
        <f>$H$28*H42</f>
        <v>4.9307250141635013E-2</v>
      </c>
      <c r="BQ7" s="1">
        <f>BQ5+1</f>
        <v>3</v>
      </c>
      <c r="BR7" s="1">
        <v>0</v>
      </c>
      <c r="BS7" s="2">
        <f>$H$28*H39</f>
        <v>2.677892086932962E-2</v>
      </c>
    </row>
    <row r="8" spans="1:71" ht="15.75" x14ac:dyDescent="0.25">
      <c r="A8" s="141" t="s">
        <v>90</v>
      </c>
      <c r="B8" s="135">
        <v>13.25</v>
      </c>
      <c r="C8" s="134">
        <v>21.25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2</v>
      </c>
      <c r="Q8" s="126">
        <f>COUNTIF(E10:I11,"RAP")</f>
        <v>5</v>
      </c>
      <c r="R8" s="96">
        <f t="shared" si="1"/>
        <v>0.5</v>
      </c>
      <c r="S8" s="96">
        <f t="shared" si="2"/>
        <v>0.59771986970684043</v>
      </c>
      <c r="T8" s="125">
        <f t="shared" si="3"/>
        <v>1.161103312245922E-2</v>
      </c>
      <c r="U8" s="124">
        <f t="shared" si="4"/>
        <v>0.34454733576062718</v>
      </c>
      <c r="V8" s="123">
        <f>$G$17</f>
        <v>0.56999999999999995</v>
      </c>
      <c r="W8" s="117">
        <f>$H$17</f>
        <v>0.56999999999999995</v>
      </c>
      <c r="X8" s="122">
        <f t="shared" si="5"/>
        <v>6.6182888798017548E-3</v>
      </c>
      <c r="Y8" s="121">
        <f t="shared" si="6"/>
        <v>0.19639198138355748</v>
      </c>
      <c r="Z8" s="102"/>
      <c r="AA8" s="120">
        <f t="shared" si="7"/>
        <v>6.6182888798017548E-3</v>
      </c>
      <c r="AB8" s="119">
        <f t="shared" si="8"/>
        <v>0.99338171112019824</v>
      </c>
      <c r="AC8" s="119">
        <f>PRODUCT(AB9:AB$16)*AA8*PRODUCT(AB$4:AB7)</f>
        <v>4.6978020802954327E-3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1.2116327368073354E-3</v>
      </c>
      <c r="AF8" s="100"/>
      <c r="AG8" s="118">
        <f t="shared" si="9"/>
        <v>0.19639198138355748</v>
      </c>
      <c r="AH8" s="117">
        <f t="shared" si="10"/>
        <v>0.80360801861644249</v>
      </c>
      <c r="AI8" s="117">
        <f>AG8*PRODUCT(AH3:AH7)*PRODUCT(AH9:AH17)</f>
        <v>0.12860458160960334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4.3733845569728071E-2</v>
      </c>
      <c r="AL8" s="98"/>
      <c r="AN8" s="97"/>
      <c r="AO8" s="96"/>
      <c r="BI8" s="1">
        <v>0</v>
      </c>
      <c r="BJ8" s="1">
        <v>5</v>
      </c>
      <c r="BK8" s="2">
        <f t="shared" si="11"/>
        <v>2.0702923073096934E-3</v>
      </c>
      <c r="BM8" s="1">
        <f>BI31+1</f>
        <v>4</v>
      </c>
      <c r="BN8" s="1">
        <v>4</v>
      </c>
      <c r="BO8" s="2">
        <f>$H$29*H43</f>
        <v>1.8934566501897412E-2</v>
      </c>
      <c r="BQ8" s="1">
        <f>BQ6+1</f>
        <v>3</v>
      </c>
      <c r="BR8" s="1">
        <v>1</v>
      </c>
      <c r="BS8" s="2">
        <f>$H$28*H40</f>
        <v>6.3408228050386622E-2</v>
      </c>
    </row>
    <row r="9" spans="1:71" ht="15.75" x14ac:dyDescent="0.25">
      <c r="A9" s="141" t="s">
        <v>88</v>
      </c>
      <c r="B9" s="135">
        <v>14.75</v>
      </c>
      <c r="C9" s="134">
        <v>22.75</v>
      </c>
      <c r="E9" s="140" t="s">
        <v>93</v>
      </c>
      <c r="F9" s="140" t="s">
        <v>87</v>
      </c>
      <c r="G9" s="140" t="s">
        <v>87</v>
      </c>
      <c r="H9" s="140" t="s">
        <v>87</v>
      </c>
      <c r="I9" s="140" t="s">
        <v>93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2</v>
      </c>
      <c r="Q9" s="126">
        <f>COUNTIF(E10:I11,"RAP")</f>
        <v>5</v>
      </c>
      <c r="R9" s="96">
        <f t="shared" si="1"/>
        <v>0.5</v>
      </c>
      <c r="S9" s="96">
        <f t="shared" si="2"/>
        <v>0.59771986970684043</v>
      </c>
      <c r="T9" s="125">
        <f t="shared" si="3"/>
        <v>1.161103312245922E-2</v>
      </c>
      <c r="U9" s="124">
        <f t="shared" si="4"/>
        <v>0.34454733576062718</v>
      </c>
      <c r="V9" s="123">
        <f>$G$17</f>
        <v>0.56999999999999995</v>
      </c>
      <c r="W9" s="117">
        <f>$H$17</f>
        <v>0.56999999999999995</v>
      </c>
      <c r="X9" s="122">
        <f t="shared" si="5"/>
        <v>6.6182888798017548E-3</v>
      </c>
      <c r="Y9" s="121">
        <f t="shared" si="6"/>
        <v>0.19639198138355748</v>
      </c>
      <c r="Z9" s="102"/>
      <c r="AA9" s="120">
        <f t="shared" si="7"/>
        <v>6.6182888798017548E-3</v>
      </c>
      <c r="AB9" s="119">
        <f t="shared" si="8"/>
        <v>0.99338171112019824</v>
      </c>
      <c r="AC9" s="119">
        <f>PRODUCT(AB10:AB$16)*AA9*PRODUCT(AB$4:AB8)</f>
        <v>4.6978020802954327E-3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1.1803341826669858E-3</v>
      </c>
      <c r="AF9" s="100"/>
      <c r="AG9" s="118">
        <f t="shared" si="9"/>
        <v>0.19639198138355748</v>
      </c>
      <c r="AH9" s="117">
        <f t="shared" si="10"/>
        <v>0.80360801861644249</v>
      </c>
      <c r="AI9" s="117">
        <f>AG9*PRODUCT(AH3:AH8)*PRODUCT(AH10:AH17)</f>
        <v>0.12860458160960334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1.2304457096479909E-2</v>
      </c>
      <c r="AL9" s="98"/>
      <c r="AN9" s="97"/>
      <c r="AO9" s="96"/>
      <c r="BI9" s="1">
        <v>0</v>
      </c>
      <c r="BJ9" s="1">
        <v>6</v>
      </c>
      <c r="BK9" s="2">
        <f t="shared" si="11"/>
        <v>7.1029963528330172E-4</v>
      </c>
      <c r="BM9" s="1">
        <f>BI38+1</f>
        <v>5</v>
      </c>
      <c r="BN9" s="1">
        <v>5</v>
      </c>
      <c r="BO9" s="2">
        <f>$H$30*H44</f>
        <v>4.1631995553985468E-3</v>
      </c>
      <c r="BQ9" s="1">
        <f>BM6+1</f>
        <v>3</v>
      </c>
      <c r="BR9" s="1">
        <v>2</v>
      </c>
      <c r="BS9" s="2">
        <f>$H$28*H41</f>
        <v>6.8527258681995482E-2</v>
      </c>
    </row>
    <row r="10" spans="1:71" ht="15.75" x14ac:dyDescent="0.25">
      <c r="A10" s="138" t="s">
        <v>85</v>
      </c>
      <c r="B10" s="135">
        <v>18.75</v>
      </c>
      <c r="C10" s="134">
        <v>16.75</v>
      </c>
      <c r="E10" s="140" t="s">
        <v>3</v>
      </c>
      <c r="F10" s="140" t="s">
        <v>87</v>
      </c>
      <c r="G10" s="140" t="s">
        <v>3</v>
      </c>
      <c r="H10" s="140" t="s">
        <v>87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0.16168829017832495</v>
      </c>
      <c r="U10" s="124">
        <f>S10*G14</f>
        <v>6.5445260310274395E-2</v>
      </c>
      <c r="V10" s="123">
        <f>$G$18</f>
        <v>0.45</v>
      </c>
      <c r="W10" s="117">
        <f>$H$18</f>
        <v>0.45</v>
      </c>
      <c r="X10" s="122">
        <f t="shared" si="5"/>
        <v>7.2759730580246235E-2</v>
      </c>
      <c r="Y10" s="121">
        <f t="shared" si="6"/>
        <v>2.9450367139623478E-2</v>
      </c>
      <c r="Z10" s="102"/>
      <c r="AA10" s="120">
        <f t="shared" si="7"/>
        <v>7.2759730580246235E-2</v>
      </c>
      <c r="AB10" s="119">
        <f t="shared" si="8"/>
        <v>0.92724026941975379</v>
      </c>
      <c r="AC10" s="119">
        <f>PRODUCT(AB11:AB$16)*AA10*PRODUCT(AB$4:AB9)</f>
        <v>5.5330418372681274E-2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9.5601726076162789E-3</v>
      </c>
      <c r="AF10" s="100"/>
      <c r="AG10" s="118">
        <f t="shared" si="9"/>
        <v>2.9450367139623478E-2</v>
      </c>
      <c r="AH10" s="117">
        <f t="shared" si="10"/>
        <v>0.97054963286037654</v>
      </c>
      <c r="AI10" s="117">
        <f>AG10*PRODUCT(AH3:AH9)*PRODUCT(AH11:AH17)</f>
        <v>1.5967977585823145E-2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1.0432303343098914E-3</v>
      </c>
      <c r="AL10" s="98"/>
      <c r="AN10" s="97"/>
      <c r="AO10" s="96"/>
      <c r="BI10" s="1">
        <v>0</v>
      </c>
      <c r="BJ10" s="1">
        <v>7</v>
      </c>
      <c r="BK10" s="2">
        <f t="shared" si="11"/>
        <v>1.7985742659761304E-4</v>
      </c>
      <c r="BM10" s="1">
        <f>BI44+1</f>
        <v>6</v>
      </c>
      <c r="BN10" s="1">
        <v>6</v>
      </c>
      <c r="BO10" s="2">
        <f>$H$31*H45</f>
        <v>5.185088169587321E-4</v>
      </c>
      <c r="BQ10" s="1">
        <f>BQ7+1</f>
        <v>4</v>
      </c>
      <c r="BR10" s="1">
        <v>0</v>
      </c>
      <c r="BS10" s="2">
        <f>$H$29*H39</f>
        <v>1.8271165970829392E-2</v>
      </c>
    </row>
    <row r="11" spans="1:71" ht="15.75" x14ac:dyDescent="0.25">
      <c r="A11" s="138" t="s">
        <v>82</v>
      </c>
      <c r="B11" s="135">
        <v>11</v>
      </c>
      <c r="C11" s="134">
        <v>6.75</v>
      </c>
      <c r="E11" s="139"/>
      <c r="F11" s="140" t="s">
        <v>3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3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7.5711183496199777E-2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0.83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6.284028230184581E-2</v>
      </c>
      <c r="Y11" s="121">
        <f t="shared" si="6"/>
        <v>0</v>
      </c>
      <c r="Z11" s="102"/>
      <c r="AA11" s="120">
        <f t="shared" si="7"/>
        <v>6.284028230184581E-2</v>
      </c>
      <c r="AB11" s="119">
        <f t="shared" si="8"/>
        <v>0.9371597176981542</v>
      </c>
      <c r="AC11" s="119">
        <f>PRODUCT(AB12:AB$16)*AA11*PRODUCT(AB$4:AB10)</f>
        <v>4.7281328506237598E-2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4.9990233306274213E-3</v>
      </c>
      <c r="AF11" s="100"/>
      <c r="AG11" s="118">
        <f t="shared" si="9"/>
        <v>0</v>
      </c>
      <c r="AH11" s="117">
        <f t="shared" si="10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1"/>
        <v>3.3144027057530912E-5</v>
      </c>
      <c r="BM11" s="1">
        <f>BI50+1</f>
        <v>7</v>
      </c>
      <c r="BN11" s="1">
        <v>7</v>
      </c>
      <c r="BO11" s="2">
        <f>$H$32*H46</f>
        <v>3.597247391761823E-5</v>
      </c>
      <c r="BQ11" s="1">
        <f>BQ8+1</f>
        <v>4</v>
      </c>
      <c r="BR11" s="1">
        <v>1</v>
      </c>
      <c r="BS11" s="2">
        <f>$H$29*H40</f>
        <v>4.3263216777032758E-2</v>
      </c>
    </row>
    <row r="12" spans="1:71" ht="15.75" x14ac:dyDescent="0.25">
      <c r="A12" s="138" t="s">
        <v>80</v>
      </c>
      <c r="B12" s="135">
        <v>19</v>
      </c>
      <c r="C12" s="134">
        <v>16.75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2</v>
      </c>
      <c r="Q12" s="126">
        <f>COUNTIF(F11:H11,"IMP")+COUNTIF(E10,"IMP")+COUNTIF(I10,"IMP")</f>
        <v>0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1.9127035830618894E-2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8.6071661237785025E-3</v>
      </c>
      <c r="Y12" s="121">
        <f t="shared" si="6"/>
        <v>0</v>
      </c>
      <c r="Z12" s="102"/>
      <c r="AA12" s="120">
        <f t="shared" si="7"/>
        <v>8.6071661237785025E-3</v>
      </c>
      <c r="AB12" s="119">
        <f t="shared" si="8"/>
        <v>0.99139283387622146</v>
      </c>
      <c r="AC12" s="119">
        <f>PRODUCT(AB13:AB$16)*AA12*PRODUCT(AB$4:AB11)</f>
        <v>6.1218060488592695E-3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5.9410560812827467E-4</v>
      </c>
      <c r="AF12" s="100"/>
      <c r="AG12" s="118">
        <f t="shared" si="9"/>
        <v>0</v>
      </c>
      <c r="AH12" s="117">
        <f t="shared" si="10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1"/>
        <v>4.4376683432192485E-6</v>
      </c>
      <c r="BM12" s="1">
        <f>BI54+1</f>
        <v>8</v>
      </c>
      <c r="BN12" s="1">
        <v>8</v>
      </c>
      <c r="BO12" s="2">
        <f>$H$33*H47</f>
        <v>1.3822736826826178E-6</v>
      </c>
      <c r="BQ12" s="1">
        <f>BQ9+1</f>
        <v>4</v>
      </c>
      <c r="BR12" s="1">
        <v>2</v>
      </c>
      <c r="BS12" s="2">
        <f>$H$29*H41</f>
        <v>4.6755913840378853E-2</v>
      </c>
    </row>
    <row r="13" spans="1:71" ht="15.75" x14ac:dyDescent="0.25">
      <c r="A13" s="136" t="s">
        <v>78</v>
      </c>
      <c r="B13" s="135">
        <v>8.5</v>
      </c>
      <c r="C13" s="134">
        <v>12</v>
      </c>
      <c r="E13" s="4"/>
      <c r="F13" s="4" t="s">
        <v>77</v>
      </c>
      <c r="G13" s="137">
        <f>B22</f>
        <v>0.71186440677966101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6"/>
        <v>0</v>
      </c>
      <c r="Z13" s="102"/>
      <c r="AA13" s="120">
        <f t="shared" si="7"/>
        <v>3.0739879013494648E-2</v>
      </c>
      <c r="AB13" s="119">
        <f t="shared" si="8"/>
        <v>0.96926012098650538</v>
      </c>
      <c r="AC13" s="119">
        <f>PRODUCT(AB14:AB$16)*AA13*PRODUCT(AB$4:AB12)</f>
        <v>2.2362840464635197E-2</v>
      </c>
      <c r="AD13" s="119">
        <f>AA13*AA14*PRODUCT(AB3:AB12)*PRODUCT(AB15:AB17)+AA13*AA15*PRODUCT(AB3:AB12)*AB14*PRODUCT(AB16:AB17)+AA13*AA16*PRODUCT(AB3:AB12)*AB14*AB15*AB17+AA13*AA17*PRODUCT(AB3:AB12)*AB14*AB15*AB16</f>
        <v>1.4610236899851904E-3</v>
      </c>
      <c r="AF13" s="100"/>
      <c r="AG13" s="118">
        <f t="shared" si="9"/>
        <v>0</v>
      </c>
      <c r="AH13" s="117">
        <f t="shared" si="10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1"/>
        <v>4.3306001843771963E-7</v>
      </c>
      <c r="BM13" s="1">
        <f>BI57+1</f>
        <v>9</v>
      </c>
      <c r="BN13" s="1">
        <v>9</v>
      </c>
      <c r="BO13" s="2">
        <f>$H$34*H48</f>
        <v>2.9321370779001399E-8</v>
      </c>
      <c r="BQ13" s="1">
        <f>BM7+1</f>
        <v>4</v>
      </c>
      <c r="BR13" s="1">
        <v>3</v>
      </c>
      <c r="BS13" s="2">
        <f>$H$29*H42</f>
        <v>3.3642167856540943E-2</v>
      </c>
    </row>
    <row r="14" spans="1:71" ht="15.75" x14ac:dyDescent="0.25">
      <c r="A14" s="136" t="s">
        <v>75</v>
      </c>
      <c r="B14" s="135">
        <v>5.75</v>
      </c>
      <c r="C14" s="134">
        <v>10</v>
      </c>
      <c r="E14" s="4"/>
      <c r="F14" s="4" t="s">
        <v>74</v>
      </c>
      <c r="G14" s="133">
        <f>C22</f>
        <v>0.28813559322033899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6"/>
        <v>6.1326058631921816E-2</v>
      </c>
      <c r="Z14" s="102"/>
      <c r="AA14" s="120">
        <f t="shared" si="7"/>
        <v>6.1326058631921816E-2</v>
      </c>
      <c r="AB14" s="119">
        <f t="shared" si="8"/>
        <v>0.93867394136807814</v>
      </c>
      <c r="AC14" s="119">
        <f>PRODUCT(AB15:AB$16)*AA14*PRODUCT(AB$4:AB13)</f>
        <v>4.6067585298482483E-2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9"/>
        <v>6.1326058631921816E-2</v>
      </c>
      <c r="AH14" s="117">
        <f t="shared" si="10"/>
        <v>0.93867394136807814</v>
      </c>
      <c r="AI14" s="117">
        <f>AG14*PRODUCT(AH3:AH13)*PRODUCT(AH15:AH17)</f>
        <v>3.4380108511143606E-2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2">$H$26*H41</f>
        <v>4.1136660278788574E-2</v>
      </c>
      <c r="BM14" s="1">
        <f>BQ39+1</f>
        <v>10</v>
      </c>
      <c r="BN14" s="1">
        <v>10</v>
      </c>
      <c r="BO14" s="2">
        <f>$H$35*H49</f>
        <v>3.3874218851541371E-10</v>
      </c>
      <c r="BQ14" s="1">
        <f>BQ10+1</f>
        <v>5</v>
      </c>
      <c r="BR14" s="1">
        <v>0</v>
      </c>
      <c r="BS14" s="2">
        <f>$H$30*H39</f>
        <v>8.9487064982156049E-3</v>
      </c>
    </row>
    <row r="15" spans="1:71" ht="15.75" x14ac:dyDescent="0.25">
      <c r="A15" s="70" t="s">
        <v>72</v>
      </c>
      <c r="B15" s="132">
        <v>8.4</v>
      </c>
      <c r="C15" s="131">
        <v>8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6"/>
        <v>0</v>
      </c>
      <c r="Z15" s="102"/>
      <c r="AA15" s="120">
        <f t="shared" si="7"/>
        <v>0</v>
      </c>
      <c r="AB15" s="119">
        <f t="shared" si="8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9"/>
        <v>0</v>
      </c>
      <c r="AH15" s="117">
        <f t="shared" si="10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2"/>
        <v>2.9598960141836293E-2</v>
      </c>
      <c r="BQ15" s="1">
        <f>BQ11+1</f>
        <v>5</v>
      </c>
      <c r="BR15" s="1">
        <v>1</v>
      </c>
      <c r="BS15" s="2">
        <f>$H$30*H40</f>
        <v>2.1189114571256305E-2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6"/>
        <v>0</v>
      </c>
      <c r="Z16" s="102"/>
      <c r="AA16" s="120">
        <f t="shared" si="7"/>
        <v>0</v>
      </c>
      <c r="AB16" s="119">
        <f t="shared" si="8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9"/>
        <v>0</v>
      </c>
      <c r="AH16" s="117">
        <f t="shared" si="10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2"/>
        <v>1.6658958530332786E-2</v>
      </c>
      <c r="BQ16" s="1">
        <f>BQ12+1</f>
        <v>5</v>
      </c>
      <c r="BR16" s="1">
        <v>2</v>
      </c>
      <c r="BS16" s="2">
        <f>$H$30*H41</f>
        <v>2.2899739988209097E-2</v>
      </c>
    </row>
    <row r="17" spans="1:71" x14ac:dyDescent="0.25">
      <c r="A17" s="116" t="s">
        <v>67</v>
      </c>
      <c r="B17" s="115" t="s">
        <v>66</v>
      </c>
      <c r="C17" s="114" t="s">
        <v>246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2"/>
        <v>7.4786930275808463E-3</v>
      </c>
      <c r="BQ17" s="1">
        <f>BQ13+1</f>
        <v>5</v>
      </c>
      <c r="BR17" s="1">
        <v>3</v>
      </c>
      <c r="BS17" s="2">
        <f>$H$30*H42</f>
        <v>1.6476993673667676E-2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0.70512344712999153</v>
      </c>
      <c r="AC18" s="107">
        <f>SUM(AC4:AC16)</f>
        <v>0.25329849654814196</v>
      </c>
      <c r="AD18" s="107">
        <f>SUM(AD3:AD17)</f>
        <v>3.6546063938021511E-2</v>
      </c>
      <c r="AE18" s="107">
        <f>IF((1-AB18-AC18-AD18)&lt;0,(1-AB18-AC18-AD18)-1,1-AB18-AC18-AD18)</f>
        <v>5.0319923838449965E-3</v>
      </c>
      <c r="AF18" s="100"/>
      <c r="AG18" s="4"/>
      <c r="AH18" s="108">
        <f>PRODUCT(AH3:AH17)</f>
        <v>0.52623163269812856</v>
      </c>
      <c r="AI18" s="107">
        <f>SUM(AI3:AI17)</f>
        <v>0.31754228623531178</v>
      </c>
      <c r="AJ18" s="107">
        <f>SUM(AJ3:AJ17)</f>
        <v>6.2917310058284159E-2</v>
      </c>
      <c r="AK18" s="107">
        <f>IF((1-AH18-AI18-AJ18)&lt;0,(1-AH18-AI18-AJ18)-1,(1-AH18-AI18-AJ18))</f>
        <v>9.3308771008275504E-2</v>
      </c>
      <c r="AL18" s="98"/>
      <c r="AN18" s="97"/>
      <c r="AO18" s="96"/>
      <c r="BI18" s="1">
        <v>1</v>
      </c>
      <c r="BJ18" s="1">
        <v>6</v>
      </c>
      <c r="BK18" s="2">
        <f t="shared" si="12"/>
        <v>2.5658757998233785E-3</v>
      </c>
      <c r="BQ18" s="1">
        <f>BM8+1</f>
        <v>5</v>
      </c>
      <c r="BR18" s="1">
        <v>4</v>
      </c>
      <c r="BS18" s="2">
        <f>$H$30*H43</f>
        <v>9.2736215393665646E-3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2"/>
        <v>6.497142831014685E-4</v>
      </c>
      <c r="BQ19" s="1">
        <f>BQ15+1</f>
        <v>6</v>
      </c>
      <c r="BR19" s="1">
        <v>1</v>
      </c>
      <c r="BS19" s="2">
        <f>$H$31*H40</f>
        <v>7.6918676542907915E-3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2"/>
        <v>1.1972898860026924E-4</v>
      </c>
      <c r="BQ20" s="1">
        <f>BQ16+1</f>
        <v>6</v>
      </c>
      <c r="BR20" s="1">
        <v>2</v>
      </c>
      <c r="BS20" s="2">
        <f>$H$31*H41</f>
        <v>8.3128423660475542E-3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2"/>
        <v>1.6030566881773901E-5</v>
      </c>
      <c r="BQ21" s="1">
        <f>BQ17+1</f>
        <v>6</v>
      </c>
      <c r="BR21" s="1">
        <v>3</v>
      </c>
      <c r="BS21" s="2">
        <f>$H$31*H42</f>
        <v>5.9813190519231807E-3</v>
      </c>
    </row>
    <row r="22" spans="1:71" x14ac:dyDescent="0.25">
      <c r="A22" s="67" t="s">
        <v>60</v>
      </c>
      <c r="B22" s="74">
        <f>(B6)/((B6)+(C6))</f>
        <v>0.71186440677966101</v>
      </c>
      <c r="C22" s="73">
        <f>1-B22</f>
        <v>0.28813559322033899</v>
      </c>
      <c r="V22" s="52">
        <f>SUM(V25:V35)</f>
        <v>1</v>
      </c>
      <c r="AS22" s="56">
        <f>Y23+AA23+AC23+AE23+AG23+AI23+AK23+AM23+AO23+AQ23+AS23</f>
        <v>1.0000000000000007</v>
      </c>
      <c r="BI22" s="1">
        <v>1</v>
      </c>
      <c r="BJ22" s="1">
        <v>10</v>
      </c>
      <c r="BK22" s="2">
        <f t="shared" si="12"/>
        <v>1.5643795462984005E-6</v>
      </c>
      <c r="BQ22" s="1">
        <f>BQ18+1</f>
        <v>6</v>
      </c>
      <c r="BR22" s="1">
        <v>4</v>
      </c>
      <c r="BS22" s="2">
        <f>$H$31*H43</f>
        <v>3.3664204946794439E-3</v>
      </c>
    </row>
    <row r="23" spans="1:71" ht="15.75" thickBot="1" x14ac:dyDescent="0.3">
      <c r="A23" s="65" t="s">
        <v>59</v>
      </c>
      <c r="B23" s="64">
        <f>((B22^2.8)/((B22^2.8)+(C22^2.8)))*B21</f>
        <v>4.6319374326486757</v>
      </c>
      <c r="C23" s="63">
        <f>B21-B23</f>
        <v>0.36806256735132425</v>
      </c>
      <c r="D23" s="88">
        <f>SUM(D25:D30)</f>
        <v>1</v>
      </c>
      <c r="E23" s="88">
        <f>SUM(E25:E30)</f>
        <v>1</v>
      </c>
      <c r="H23" s="50">
        <f>SUM(H25:H35)</f>
        <v>0.99999705385356485</v>
      </c>
      <c r="I23" s="51"/>
      <c r="J23" s="50">
        <f>SUM(J25:J35)</f>
        <v>1.0000000000000007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1.0050760126517704</v>
      </c>
      <c r="V23" s="52">
        <f>SUM(V25:V34)</f>
        <v>0.53532109871270794</v>
      </c>
      <c r="Y23" s="50">
        <f>SUM(Y25:Y35)</f>
        <v>4.6721466712215473E-12</v>
      </c>
      <c r="Z23" s="51"/>
      <c r="AA23" s="50">
        <f>SUM(AA25:AA35)</f>
        <v>5.8799663749715026E-10</v>
      </c>
      <c r="AB23" s="51"/>
      <c r="AC23" s="50">
        <f>SUM(AC25:AC35)</f>
        <v>3.3300410458426254E-8</v>
      </c>
      <c r="AD23" s="51"/>
      <c r="AE23" s="50">
        <f>SUM(AE25:AE35)</f>
        <v>1.1175986065750417E-6</v>
      </c>
      <c r="AF23" s="51"/>
      <c r="AG23" s="50">
        <f>SUM(AG25:AG35)</f>
        <v>2.4614952905993646E-5</v>
      </c>
      <c r="AH23" s="51"/>
      <c r="AI23" s="50">
        <f>SUM(AI25:AI35)</f>
        <v>3.7176348496146709E-4</v>
      </c>
      <c r="AJ23" s="51"/>
      <c r="AK23" s="50">
        <f>SUM(AK25:AK35)</f>
        <v>3.8993314323293076E-3</v>
      </c>
      <c r="AL23" s="51"/>
      <c r="AM23" s="50">
        <f>SUM(AM25:AM35)</f>
        <v>2.8047141808789183E-2</v>
      </c>
      <c r="AN23" s="51"/>
      <c r="AO23" s="50">
        <f>SUM(AO25:AO35)</f>
        <v>0.13240978842521442</v>
      </c>
      <c r="AP23" s="51"/>
      <c r="AQ23" s="50">
        <f>SUM(AQ25:AQ35)</f>
        <v>0.37056730711682201</v>
      </c>
      <c r="AR23" s="51"/>
      <c r="AS23" s="50">
        <f>SUM(AS25:AS35)</f>
        <v>0.46467890128729245</v>
      </c>
      <c r="BI23" s="1">
        <f t="shared" ref="BI23:BI30" si="13">BI15+1</f>
        <v>2</v>
      </c>
      <c r="BJ23" s="1">
        <v>3</v>
      </c>
      <c r="BK23" s="2">
        <f t="shared" ref="BK23:BK30" si="14">$H$27*H42</f>
        <v>4.9021040529035581E-2</v>
      </c>
      <c r="BQ23" s="1">
        <f>BM9+1</f>
        <v>6</v>
      </c>
      <c r="BR23" s="1">
        <v>5</v>
      </c>
      <c r="BS23" s="2">
        <f>$H$31*H44</f>
        <v>1.511284480096577E-3</v>
      </c>
    </row>
    <row r="24" spans="1:71" ht="15.75" thickBot="1" x14ac:dyDescent="0.3">
      <c r="A24" s="67" t="s">
        <v>58</v>
      </c>
      <c r="B24" s="87">
        <f>B23/B21</f>
        <v>0.92638748652973513</v>
      </c>
      <c r="C24" s="86">
        <f>C23/B21</f>
        <v>7.3612513470264845E-2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3"/>
        <v>2</v>
      </c>
      <c r="BJ24" s="1">
        <v>4</v>
      </c>
      <c r="BK24" s="2">
        <f t="shared" si="14"/>
        <v>2.7590140916224189E-2</v>
      </c>
      <c r="BQ24" s="1">
        <f>BI49+1</f>
        <v>7</v>
      </c>
      <c r="BR24" s="1">
        <v>0</v>
      </c>
      <c r="BS24" s="2">
        <f t="shared" ref="BS24:BS30" si="15">$H$32*H39</f>
        <v>8.900340776840178E-4</v>
      </c>
    </row>
    <row r="25" spans="1:71" x14ac:dyDescent="0.25">
      <c r="A25" s="67" t="s">
        <v>32</v>
      </c>
      <c r="B25" s="77">
        <f>1/(1+EXP(-3.1416*4*((B11/(B11+C8))-(3.1416/6))))</f>
        <v>9.1658300897409548E-2</v>
      </c>
      <c r="C25" s="73">
        <f>1/(1+EXP(-3.1416*4*((C11/(C11+B8))-(3.1416/6))))</f>
        <v>8.7975616111261368E-2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4.2178591719282267E-2</v>
      </c>
      <c r="I25" s="36">
        <v>0</v>
      </c>
      <c r="J25" s="34">
        <f t="shared" ref="J25:J35" si="16">Y25+AA25+AC25+AE25+AG25+AI25+AK25+AM25+AO25+AQ25+AS25</f>
        <v>5.9817315522492503E-2</v>
      </c>
      <c r="K25" s="36">
        <v>0</v>
      </c>
      <c r="L25" s="34">
        <f>AB18</f>
        <v>0.70512344712999153</v>
      </c>
      <c r="M25" s="17">
        <v>0</v>
      </c>
      <c r="N25" s="32">
        <f>(1-$B$24)^$B$21</f>
        <v>2.1615149019198428E-6</v>
      </c>
      <c r="O25" s="16">
        <v>0</v>
      </c>
      <c r="P25" s="32">
        <f t="shared" ref="P25:P30" si="17">N25</f>
        <v>2.1615149019198428E-6</v>
      </c>
      <c r="Q25" s="10">
        <v>0</v>
      </c>
      <c r="R25" s="11">
        <f>P25*N25</f>
        <v>4.6721466712215473E-12</v>
      </c>
      <c r="S25" s="16">
        <v>0</v>
      </c>
      <c r="T25" s="15">
        <f>(1-$B$33)^(INT(C23*2*(1-C31)))</f>
        <v>1</v>
      </c>
      <c r="U25" s="24">
        <v>0</v>
      </c>
      <c r="V25" s="23">
        <f>R25*T25</f>
        <v>4.6721466712215473E-12</v>
      </c>
      <c r="W25" s="33">
        <f>B31</f>
        <v>0.26498867518545427</v>
      </c>
      <c r="X25" s="10">
        <v>0</v>
      </c>
      <c r="Y25" s="9">
        <f>V25</f>
        <v>4.6721466712215473E-12</v>
      </c>
      <c r="Z25" s="10">
        <v>0</v>
      </c>
      <c r="AA25" s="9">
        <f>((1-W25)^Z26)*V26</f>
        <v>4.3218418751327862E-10</v>
      </c>
      <c r="AB25" s="10">
        <v>0</v>
      </c>
      <c r="AC25" s="9">
        <f>(((1-$W$25)^AB27))*V27</f>
        <v>1.7990268612004072E-8</v>
      </c>
      <c r="AD25" s="10">
        <v>0</v>
      </c>
      <c r="AE25" s="9">
        <f>(((1-$W$25)^AB28))*V28</f>
        <v>4.4378022236552037E-7</v>
      </c>
      <c r="AF25" s="10">
        <v>0</v>
      </c>
      <c r="AG25" s="9">
        <f>(((1-$W$25)^AB29))*V29</f>
        <v>7.1841457007297288E-6</v>
      </c>
      <c r="AH25" s="10">
        <v>0</v>
      </c>
      <c r="AI25" s="9">
        <f>(((1-$W$25)^AB30))*V30</f>
        <v>7.9751137036268552E-5</v>
      </c>
      <c r="AJ25" s="10">
        <v>0</v>
      </c>
      <c r="AK25" s="9">
        <f>(((1-$W$25)^AB31))*V31</f>
        <v>6.1482898622097434E-4</v>
      </c>
      <c r="AL25" s="10">
        <v>0</v>
      </c>
      <c r="AM25" s="9">
        <f>(((1-$W$25)^AB32))*V32</f>
        <v>3.2504749581641953E-3</v>
      </c>
      <c r="AN25" s="10">
        <v>0</v>
      </c>
      <c r="AO25" s="9">
        <f>(((1-$W$25)^AB33))*V33</f>
        <v>1.1279045183764384E-2</v>
      </c>
      <c r="AP25" s="10">
        <v>0</v>
      </c>
      <c r="AQ25" s="9">
        <f>(((1-$W$25)^AB34))*V34</f>
        <v>2.3201356483418929E-2</v>
      </c>
      <c r="AR25" s="10">
        <v>0</v>
      </c>
      <c r="AS25" s="9">
        <f>(((1-$W$25)^AB35))*V35</f>
        <v>2.1384212420839706E-2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3"/>
        <v>2</v>
      </c>
      <c r="BJ25" s="1">
        <v>5</v>
      </c>
      <c r="BK25" s="2">
        <f t="shared" si="14"/>
        <v>1.2386020057882753E-2</v>
      </c>
      <c r="BQ25" s="1">
        <f>BQ19+1</f>
        <v>7</v>
      </c>
      <c r="BR25" s="1">
        <v>1</v>
      </c>
      <c r="BS25" s="2">
        <f t="shared" si="15"/>
        <v>2.107459223087675E-3</v>
      </c>
    </row>
    <row r="26" spans="1:71" x14ac:dyDescent="0.25">
      <c r="A26" s="65" t="s">
        <v>31</v>
      </c>
      <c r="B26" s="74">
        <f>1/(1+EXP(-3.1416*4*((B10/(B10+C9))-(3.1416/6))))</f>
        <v>0.28860339473543511</v>
      </c>
      <c r="C26" s="73">
        <f>1/(1+EXP(-3.1416*4*((C10/(C10+B9))-(3.1416/6))))</f>
        <v>0.52556924918759429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0.15236531512503418</v>
      </c>
      <c r="I26" s="24">
        <v>1</v>
      </c>
      <c r="J26" s="23">
        <f t="shared" si="16"/>
        <v>0.19459525788587945</v>
      </c>
      <c r="K26" s="24">
        <v>1</v>
      </c>
      <c r="L26" s="23">
        <f>AC18</f>
        <v>0.25329849654814196</v>
      </c>
      <c r="M26" s="17">
        <v>1</v>
      </c>
      <c r="N26" s="32">
        <f>(($B$24)^M26)*((1-($B$24))^($B$21-M26))*HLOOKUP($B$21,$AV$24:$BF$34,M26+1)</f>
        <v>1.3600950862076883E-4</v>
      </c>
      <c r="O26" s="16">
        <v>1</v>
      </c>
      <c r="P26" s="32">
        <f t="shared" si="17"/>
        <v>1.3600950862076883E-4</v>
      </c>
      <c r="Q26" s="10">
        <v>1</v>
      </c>
      <c r="R26" s="11">
        <f>N26*P25+P26*N25</f>
        <v>5.8797315937317432E-10</v>
      </c>
      <c r="S26" s="16">
        <v>1</v>
      </c>
      <c r="T26" s="15">
        <f t="shared" ref="T26:T35" si="18">(($B$33)^S26)*((1-($B$33))^(INT($C$23*2*(1-$C$31))-S26))*HLOOKUP(INT($C$23*2*(1-$C$31)),$AV$24:$BF$34,S26+1)</f>
        <v>5.0251256281407036E-3</v>
      </c>
      <c r="U26" s="24">
        <v>1</v>
      </c>
      <c r="V26" s="23">
        <f>R26*T25+T26*R25</f>
        <v>5.8799663749715026E-10</v>
      </c>
      <c r="W26" s="12"/>
      <c r="X26" s="10">
        <v>1</v>
      </c>
      <c r="Y26" s="11"/>
      <c r="Z26" s="10">
        <v>1</v>
      </c>
      <c r="AA26" s="9">
        <f>(1-((1-W25)^Z26))*V26</f>
        <v>1.5581244998387161E-10</v>
      </c>
      <c r="AB26" s="10">
        <v>1</v>
      </c>
      <c r="AC26" s="9">
        <f>((($W$25)^M26)*((1-($W$25))^($U$27-M26))*HLOOKUP($U$27,$AV$24:$BF$34,M26+1))*V27</f>
        <v>1.2971820391823921E-8</v>
      </c>
      <c r="AD26" s="10">
        <v>1</v>
      </c>
      <c r="AE26" s="9">
        <f>((($W$25)^M26)*((1-($W$25))^($U$28-M26))*HLOOKUP($U$28,$AV$24:$BF$34,M26+1))*V28</f>
        <v>4.7997927063702154E-7</v>
      </c>
      <c r="AF26" s="10">
        <v>1</v>
      </c>
      <c r="AG26" s="9">
        <f>((($W$25)^M26)*((1-($W$25))^($U$29-M26))*HLOOKUP($U$29,$AV$24:$BF$34,M26+1))*V29</f>
        <v>1.0360206365832438E-5</v>
      </c>
      <c r="AH26" s="10">
        <v>1</v>
      </c>
      <c r="AI26" s="9">
        <f>((($W$25)^M26)*((1-($W$25))^($U$30-M26))*HLOOKUP($U$30,$AV$24:$BF$34,M26+1))*V30</f>
        <v>1.4376069751786903E-4</v>
      </c>
      <c r="AJ26" s="10">
        <v>1</v>
      </c>
      <c r="AK26" s="9">
        <f>((($W$25)^M26)*((1-($W$25))^($U$31-M26))*HLOOKUP($U$31,$AV$24:$BF$34,M26+1))*V31</f>
        <v>1.3299608837898085E-3</v>
      </c>
      <c r="AL26" s="10">
        <v>1</v>
      </c>
      <c r="AM26" s="9">
        <f>((($W$25)^Q26)*((1-($W$25))^($U$32-Q26))*HLOOKUP($U$32,$AV$24:$BF$34,Q26+1))*V32</f>
        <v>8.2031026824427155E-3</v>
      </c>
      <c r="AN26" s="10">
        <v>1</v>
      </c>
      <c r="AO26" s="9">
        <f>((($W$25)^Q26)*((1-($W$25))^($U$33-Q26))*HLOOKUP($U$33,$AV$24:$BF$34,Q26+1))*V33</f>
        <v>3.2530864651444384E-2</v>
      </c>
      <c r="AP26" s="10">
        <v>1</v>
      </c>
      <c r="AQ26" s="9">
        <f>((($W$25)^Q26)*((1-($W$25))^($U$34-Q26))*HLOOKUP($U$34,$AV$24:$BF$34,Q26+1))*V34</f>
        <v>7.5281657010361019E-2</v>
      </c>
      <c r="AR26" s="10">
        <v>1</v>
      </c>
      <c r="AS26" s="9">
        <f>((($W$25)^Q26)*((1-($W$25))^($U$35-Q26))*HLOOKUP($U$35,$AV$24:$BF$34,Q26+1))*V35</f>
        <v>7.7095058647054321E-2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3"/>
        <v>2</v>
      </c>
      <c r="BJ26" s="1">
        <v>6</v>
      </c>
      <c r="BK26" s="2">
        <f t="shared" si="14"/>
        <v>4.2495378544676809E-3</v>
      </c>
      <c r="BQ26" s="1">
        <f>BQ20+1</f>
        <v>7</v>
      </c>
      <c r="BR26" s="1">
        <v>2</v>
      </c>
      <c r="BS26" s="2">
        <f t="shared" si="15"/>
        <v>2.2775972106889013E-3</v>
      </c>
    </row>
    <row r="27" spans="1:71" x14ac:dyDescent="0.25">
      <c r="A27" s="67" t="s">
        <v>30</v>
      </c>
      <c r="B27" s="74">
        <f>1/(1+EXP(-3.1416*4*((B12/(B12+C7))-(3.1416/6))))</f>
        <v>0.30439082805709733</v>
      </c>
      <c r="C27" s="73">
        <f>1/(1+EXP(-3.1416*4*((C12/(C12+B7))-(3.1416/6))))</f>
        <v>0.53887720728727806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0.25234353680575622</v>
      </c>
      <c r="I27" s="24">
        <v>2</v>
      </c>
      <c r="J27" s="23">
        <f t="shared" si="16"/>
        <v>0.28486751352227946</v>
      </c>
      <c r="K27" s="24">
        <v>2</v>
      </c>
      <c r="L27" s="23">
        <f>AD18</f>
        <v>3.6546063938021511E-2</v>
      </c>
      <c r="M27" s="17">
        <v>2</v>
      </c>
      <c r="N27" s="32">
        <f>(($B$24)^M27)*((1-($B$24))^($B$21-M27))*HLOOKUP($B$21,$AV$24:$BF$34,M27+1)</f>
        <v>3.4232632712978602E-3</v>
      </c>
      <c r="O27" s="16">
        <v>2</v>
      </c>
      <c r="P27" s="32">
        <f t="shared" si="17"/>
        <v>3.4232632712978602E-3</v>
      </c>
      <c r="Q27" s="10">
        <v>2</v>
      </c>
      <c r="R27" s="11">
        <f>P25*N27+P26*N26+P27*N25</f>
        <v>3.3297455583473378E-8</v>
      </c>
      <c r="S27" s="16">
        <v>2</v>
      </c>
      <c r="T27" s="15">
        <f t="shared" si="18"/>
        <v>5.0503775157192999E-5</v>
      </c>
      <c r="U27" s="24">
        <v>2</v>
      </c>
      <c r="V27" s="23">
        <f>R27*T25+T26*R26+R25*T27</f>
        <v>3.3300410458426247E-8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2.3383214545982568E-9</v>
      </c>
      <c r="AD27" s="10">
        <v>2</v>
      </c>
      <c r="AE27" s="9">
        <f>((($W$25)^M27)*((1-($W$25))^($U$28-M27))*HLOOKUP($U$28,$AV$24:$BF$34,M27+1))*V28</f>
        <v>1.7304368891823078E-7</v>
      </c>
      <c r="AF27" s="10">
        <v>2</v>
      </c>
      <c r="AG27" s="9">
        <f>((($W$25)^M27)*((1-($W$25))^($U$29-M27))*HLOOKUP($U$29,$AV$24:$BF$34,M27+1))*V29</f>
        <v>5.6026429801388499E-6</v>
      </c>
      <c r="AH27" s="10">
        <v>2</v>
      </c>
      <c r="AI27" s="9">
        <f>((($W$25)^M27)*((1-($W$25))^($U$30-M27))*HLOOKUP($U$30,$AV$24:$BF$34,M27+1))*V30</f>
        <v>1.0365814918187512E-4</v>
      </c>
      <c r="AJ27" s="10">
        <v>2</v>
      </c>
      <c r="AK27" s="9">
        <f>((($W$25)^M27)*((1-($W$25))^($U$31-M27))*HLOOKUP($U$31,$AV$24:$BF$34,M27+1))*V31</f>
        <v>1.1987045666706536E-3</v>
      </c>
      <c r="AL27" s="10">
        <v>2</v>
      </c>
      <c r="AM27" s="9">
        <f>((($W$25)^Q27)*((1-($W$25))^($U$32-Q27))*HLOOKUP($U$32,$AV$24:$BF$34,Q27+1))*V32</f>
        <v>8.8722278372208984E-3</v>
      </c>
      <c r="AN27" s="10">
        <v>2</v>
      </c>
      <c r="AO27" s="9">
        <f>((($W$25)^Q27)*((1-($W$25))^($U$33-Q27))*HLOOKUP($U$33,$AV$24:$BF$34,Q27+1))*V33</f>
        <v>4.1048466227095362E-2</v>
      </c>
      <c r="AP27" s="10">
        <v>2</v>
      </c>
      <c r="AQ27" s="9">
        <f>((($W$25)^Q27)*((1-($W$25))^($U$34-Q27))*HLOOKUP($U$34,$AV$24:$BF$34,Q27+1))*V34</f>
        <v>0.10856315206830155</v>
      </c>
      <c r="AR27" s="10">
        <v>2</v>
      </c>
      <c r="AS27" s="9">
        <f>((($W$25)^Q27)*((1-($W$25))^($U$35-Q27))*HLOOKUP($U$35,$AV$24:$BF$34,Q27+1))*V35</f>
        <v>0.12507552664881863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3"/>
        <v>2</v>
      </c>
      <c r="BJ27" s="1">
        <v>7</v>
      </c>
      <c r="BK27" s="2">
        <f t="shared" si="14"/>
        <v>1.076040173424635E-3</v>
      </c>
      <c r="BQ27" s="1">
        <f>BQ21+1</f>
        <v>7</v>
      </c>
      <c r="BR27" s="1">
        <v>3</v>
      </c>
      <c r="BS27" s="2">
        <f t="shared" si="15"/>
        <v>1.6387939273986094E-3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0.25381684592224402</v>
      </c>
      <c r="I28" s="24">
        <v>3</v>
      </c>
      <c r="J28" s="23">
        <f t="shared" si="16"/>
        <v>0.24711650524174911</v>
      </c>
      <c r="K28" s="24">
        <v>3</v>
      </c>
      <c r="L28" s="23">
        <f>AE18</f>
        <v>5.0319923838449965E-3</v>
      </c>
      <c r="M28" s="17">
        <v>3</v>
      </c>
      <c r="N28" s="32">
        <f>(($B$24)^M28)*((1-($B$24))^($B$21-M28))*HLOOKUP($B$21,$AV$24:$BF$34,M28+1)</f>
        <v>4.3080559379461883E-2</v>
      </c>
      <c r="O28" s="16">
        <v>3</v>
      </c>
      <c r="P28" s="32">
        <f t="shared" si="17"/>
        <v>4.3080559379461883E-2</v>
      </c>
      <c r="Q28" s="10">
        <v>3</v>
      </c>
      <c r="R28" s="11">
        <f>P25*N28+P26*N27+P27*N26+P28*N25</f>
        <v>1.1174312529809941E-6</v>
      </c>
      <c r="S28" s="16">
        <v>3</v>
      </c>
      <c r="T28" s="15">
        <f t="shared" si="18"/>
        <v>3.8068172229039952E-7</v>
      </c>
      <c r="U28" s="24">
        <v>3</v>
      </c>
      <c r="V28" s="23">
        <f>R28*T25+R27*T26+R26*T27+R25*T28</f>
        <v>1.1175986065750415E-6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2.0795424654268943E-8</v>
      </c>
      <c r="AF28" s="10">
        <v>3</v>
      </c>
      <c r="AG28" s="9">
        <f>((($W$25)^M28)*((1-($W$25))^($U$29-M28))*HLOOKUP($U$29,$AV$24:$BF$34,M28+1))*V29</f>
        <v>1.3465887220342488E-6</v>
      </c>
      <c r="AH28" s="10">
        <v>3</v>
      </c>
      <c r="AI28" s="9">
        <f>((($W$25)^M28)*((1-($W$25))^($U$30-M28))*HLOOKUP($U$30,$AV$24:$BF$34,M28+1))*V30</f>
        <v>3.7371173336427045E-5</v>
      </c>
      <c r="AJ28" s="10">
        <v>3</v>
      </c>
      <c r="AK28" s="9">
        <f>((($W$25)^M28)*((1-($W$25))^($U$31-M28))*HLOOKUP($U$31,$AV$24:$BF$34,M28+1))*V31</f>
        <v>5.7621449599833325E-4</v>
      </c>
      <c r="AL28" s="10">
        <v>3</v>
      </c>
      <c r="AM28" s="9">
        <f>((($W$25)^Q28)*((1-($W$25))^($U$32-Q28))*HLOOKUP($U$32,$AV$24:$BF$34,Q28+1))*V32</f>
        <v>5.3310740963115454E-3</v>
      </c>
      <c r="AN28" s="10">
        <v>3</v>
      </c>
      <c r="AO28" s="9">
        <f>((($W$25)^Q28)*((1-($W$25))^($U$33-Q28))*HLOOKUP($U$33,$AV$24:$BF$34,Q28+1))*V33</f>
        <v>2.9597853302892677E-2</v>
      </c>
      <c r="AP28" s="10">
        <v>3</v>
      </c>
      <c r="AQ28" s="9">
        <f>((($W$25)^Q28)*((1-($W$25))^($U$34-Q28))*HLOOKUP($U$34,$AV$24:$BF$34,Q28+1))*V34</f>
        <v>9.1325595531725895E-2</v>
      </c>
      <c r="AR28" s="10">
        <v>3</v>
      </c>
      <c r="AS28" s="9">
        <f>((($W$25)^Q28)*((1-($W$25))^($U$35-Q28))*HLOOKUP($U$35,$AV$24:$BF$34,Q28+1))*V35</f>
        <v>0.12024702925733756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9">BE27+BE28</f>
        <v>210</v>
      </c>
      <c r="BI28" s="1">
        <f t="shared" si="13"/>
        <v>2</v>
      </c>
      <c r="BJ28" s="1">
        <v>8</v>
      </c>
      <c r="BK28" s="2">
        <f t="shared" si="14"/>
        <v>1.9829208778109848E-4</v>
      </c>
      <c r="BQ28" s="1">
        <f>BQ22+1</f>
        <v>7</v>
      </c>
      <c r="BR28" s="1">
        <v>4</v>
      </c>
      <c r="BS28" s="2">
        <f t="shared" si="15"/>
        <v>9.2234997261633289E-4</v>
      </c>
    </row>
    <row r="29" spans="1:71" x14ac:dyDescent="0.25">
      <c r="A29" s="67" t="s">
        <v>28</v>
      </c>
      <c r="B29" s="74">
        <f>1/(1+EXP(-3.1416*4*((B14/(B14+C13))-(3.1416/6))))</f>
        <v>7.523233510804074E-2</v>
      </c>
      <c r="C29" s="73">
        <f>1/(1+EXP(-3.1416*4*((C14/(C14+B13))-(3.1416/6))))</f>
        <v>0.55302031944174657</v>
      </c>
      <c r="D29" s="8">
        <v>0.04</v>
      </c>
      <c r="E29" s="8">
        <v>0.04</v>
      </c>
      <c r="G29" s="62">
        <v>4</v>
      </c>
      <c r="H29" s="61">
        <f>J29*L25+J28*L26+J27*L27+J26*L28</f>
        <v>0.17317836445564908</v>
      </c>
      <c r="I29" s="24">
        <v>4</v>
      </c>
      <c r="J29" s="23">
        <f t="shared" si="16"/>
        <v>0.14067627078742106</v>
      </c>
      <c r="K29" s="24">
        <v>4</v>
      </c>
      <c r="L29" s="23"/>
      <c r="M29" s="17">
        <v>4</v>
      </c>
      <c r="N29" s="32">
        <f>(($B$24)^M29)*((1-($B$24))^($B$21-M29))*HLOOKUP($B$21,$AV$24:$BF$34,M29+1)</f>
        <v>0.27107681316951437</v>
      </c>
      <c r="O29" s="16">
        <v>4</v>
      </c>
      <c r="P29" s="32">
        <f t="shared" si="17"/>
        <v>0.27107681316951437</v>
      </c>
      <c r="Q29" s="10">
        <v>4</v>
      </c>
      <c r="R29" s="11">
        <f>P25*N29+P26*N28+P27*N27+P28*N26+P29*N25</f>
        <v>2.460933599169555E-5</v>
      </c>
      <c r="S29" s="16">
        <v>4</v>
      </c>
      <c r="T29" s="15">
        <f t="shared" si="18"/>
        <v>2.5506313051283046E-9</v>
      </c>
      <c r="U29" s="24">
        <v>4</v>
      </c>
      <c r="V29" s="23">
        <f>T29*R25+T28*R26+T27*R27+T26*R28+T25*R29</f>
        <v>2.4614952905993643E-5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1.213691372583828E-7</v>
      </c>
      <c r="AH29" s="10">
        <v>4</v>
      </c>
      <c r="AI29" s="9">
        <f>((($W$25)^M29)*((1-($W$25))^($U$30-M29))*HLOOKUP($U$30,$AV$24:$BF$34,M29+1))*V30</f>
        <v>6.7365885247036374E-6</v>
      </c>
      <c r="AJ29" s="10">
        <v>4</v>
      </c>
      <c r="AK29" s="9">
        <f>((($W$25)^M29)*((1-($W$25))^($U$31-M29))*HLOOKUP($U$31,$AV$24:$BF$34,M29+1))*V31</f>
        <v>1.5580404419868489E-4</v>
      </c>
      <c r="AL29" s="10">
        <v>4</v>
      </c>
      <c r="AM29" s="9">
        <f>((($W$25)^Q29)*((1-($W$25))^($U$32-Q29))*HLOOKUP($U$32,$AV$24:$BF$34,Q29+1))*V32</f>
        <v>1.9219761851336473E-3</v>
      </c>
      <c r="AN29" s="10">
        <v>4</v>
      </c>
      <c r="AO29" s="9">
        <f>((($W$25)^Q29)*((1-($W$25))^($U$33-Q29))*HLOOKUP($U$33,$AV$24:$BF$34,Q29+1))*V33</f>
        <v>1.3338393012253723E-2</v>
      </c>
      <c r="AP29" s="10">
        <v>4</v>
      </c>
      <c r="AQ29" s="9">
        <f>((($W$25)^Q29)*((1-($W$25))^($U$34-Q29))*HLOOKUP($U$34,$AV$24:$BF$34,Q29+1))*V34</f>
        <v>4.9387501430499935E-2</v>
      </c>
      <c r="AR29" s="10">
        <v>4</v>
      </c>
      <c r="AS29" s="9">
        <f>((($W$25)^Q29)*((1-($W$25))^($U$35-Q29))*HLOOKUP($U$35,$AV$24:$BF$34,Q29+1))*V35</f>
        <v>7.5865738157673127E-2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9"/>
        <v>252</v>
      </c>
      <c r="BI29" s="1">
        <f t="shared" si="13"/>
        <v>2</v>
      </c>
      <c r="BJ29" s="1">
        <v>9</v>
      </c>
      <c r="BK29" s="2">
        <f t="shared" si="14"/>
        <v>2.6549414744612083E-5</v>
      </c>
      <c r="BQ29" s="1">
        <f>BQ23+1</f>
        <v>7</v>
      </c>
      <c r="BR29" s="1">
        <v>5</v>
      </c>
      <c r="BS29" s="2">
        <f t="shared" si="15"/>
        <v>4.1406984095886074E-4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8.4817923378771087E-2</v>
      </c>
      <c r="I30" s="24">
        <v>5</v>
      </c>
      <c r="J30" s="23">
        <f t="shared" si="16"/>
        <v>5.4912723278120495E-2</v>
      </c>
      <c r="K30" s="24">
        <v>5</v>
      </c>
      <c r="L30" s="23"/>
      <c r="M30" s="17">
        <v>5</v>
      </c>
      <c r="N30" s="32">
        <f>(($B$24)^M30)*((1-($B$24))^($B$21-M30))*HLOOKUP($B$21,$AV$24:$BF$34,M30+1)</f>
        <v>0.68228119315620317</v>
      </c>
      <c r="O30" s="16">
        <v>5</v>
      </c>
      <c r="P30" s="32">
        <f t="shared" si="17"/>
        <v>0.68228119315620317</v>
      </c>
      <c r="Q30" s="10">
        <v>5</v>
      </c>
      <c r="R30" s="11">
        <f>P25*N30+P26*N29+P27*N28+P28*N27+P29*N26+P30*N25</f>
        <v>3.7163976350930959E-4</v>
      </c>
      <c r="S30" s="16">
        <v>5</v>
      </c>
      <c r="T30" s="15">
        <f t="shared" si="18"/>
        <v>1.6021553424172769E-11</v>
      </c>
      <c r="U30" s="24">
        <v>5</v>
      </c>
      <c r="V30" s="23">
        <f>T30*R25+T29*R26+T28*R27+T27*R28+T26*R29+T25*R30</f>
        <v>3.7176348496146698E-4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4.8573936432371643E-7</v>
      </c>
      <c r="AJ30" s="10">
        <v>5</v>
      </c>
      <c r="AK30" s="9">
        <f>((($W$25)^M30)*((1-($W$25))^($U$31-M30))*HLOOKUP($U$31,$AV$24:$BF$34,M30+1))*V31</f>
        <v>2.2468392454313604E-5</v>
      </c>
      <c r="AL30" s="10">
        <v>5</v>
      </c>
      <c r="AM30" s="9">
        <f>((($W$25)^Q30)*((1-($W$25))^($U$32-Q30))*HLOOKUP($U$32,$AV$24:$BF$34,Q30+1))*V32</f>
        <v>4.1575026602350357E-4</v>
      </c>
      <c r="AN30" s="10">
        <v>5</v>
      </c>
      <c r="AO30" s="9">
        <f>((($W$25)^Q30)*((1-($W$25))^($U$33-Q30))*HLOOKUP($U$33,$AV$24:$BF$34,Q30+1))*V33</f>
        <v>3.8470406907668772E-3</v>
      </c>
      <c r="AP30" s="10">
        <v>5</v>
      </c>
      <c r="AQ30" s="9">
        <f>((($W$25)^Q30)*((1-($W$25))^($U$34-Q30))*HLOOKUP($U$34,$AV$24:$BF$34,Q30+1))*V34</f>
        <v>1.7805342765419268E-2</v>
      </c>
      <c r="AR30" s="10">
        <v>5</v>
      </c>
      <c r="AS30" s="9">
        <f>((($W$25)^Q30)*((1-($W$25))^($U$35-Q30))*HLOOKUP($U$35,$AV$24:$BF$34,Q30+1))*V35</f>
        <v>3.2821635424092208E-2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9"/>
        <v>210</v>
      </c>
      <c r="BI30" s="1">
        <f t="shared" si="13"/>
        <v>2</v>
      </c>
      <c r="BJ30" s="1">
        <v>10</v>
      </c>
      <c r="BK30" s="2">
        <f t="shared" si="14"/>
        <v>2.5908853815947114E-6</v>
      </c>
      <c r="BQ30" s="1">
        <f>BM10+1</f>
        <v>7</v>
      </c>
      <c r="BR30" s="1">
        <v>6</v>
      </c>
      <c r="BS30" s="2">
        <f t="shared" si="15"/>
        <v>1.4206383126501049E-4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0.26498867518545427</v>
      </c>
      <c r="C31" s="68">
        <f>(C25*E25)+(C26*E26)+(C27*E27)+(C28*E28)+(C29*E29)+(C30*E30)/(C25+C26+C27+C28+C29+C30)</f>
        <v>0.40390921161125326</v>
      </c>
      <c r="G31" s="62">
        <v>6</v>
      </c>
      <c r="H31" s="61">
        <f>J31*L25+J30*L26+J29*L27+J28*L28</f>
        <v>3.0789783081653456E-2</v>
      </c>
      <c r="I31" s="24">
        <v>6</v>
      </c>
      <c r="J31" s="23">
        <f t="shared" si="16"/>
        <v>1.4885082204546306E-2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3.8974626525394166E-3</v>
      </c>
      <c r="S31" s="16">
        <v>6</v>
      </c>
      <c r="T31" s="15">
        <f t="shared" si="18"/>
        <v>9.6612382457323207E-14</v>
      </c>
      <c r="U31" s="24">
        <v>6</v>
      </c>
      <c r="V31" s="23">
        <f>T31*R25+T30*R26+T29*R27+T28*R28+T27*R29+T26*R30+T25*R31</f>
        <v>3.8993314323293058E-3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1.3500629965390143E-6</v>
      </c>
      <c r="AL31" s="10">
        <v>6</v>
      </c>
      <c r="AM31" s="9">
        <f>((($W$25)^Q31)*((1-($W$25))^($U$32-Q31))*HLOOKUP($U$32,$AV$24:$BF$34,Q31+1))*V32</f>
        <v>4.9962546372722287E-5</v>
      </c>
      <c r="AN31" s="10">
        <v>6</v>
      </c>
      <c r="AO31" s="9">
        <f>((($W$25)^Q31)*((1-($W$25))^($U$33-Q31))*HLOOKUP($U$33,$AV$24:$BF$34,Q31+1))*V33</f>
        <v>6.9347381571846175E-4</v>
      </c>
      <c r="AP31" s="10">
        <v>6</v>
      </c>
      <c r="AQ31" s="9">
        <f>((($W$25)^Q31)*((1-($W$25))^($U$34-Q31))*HLOOKUP($U$34,$AV$24:$BF$34,Q31+1))*V34</f>
        <v>4.2794934185282456E-3</v>
      </c>
      <c r="AR31" s="10">
        <v>6</v>
      </c>
      <c r="AS31" s="9">
        <f>((($W$25)^Q31)*((1-($W$25))^($U$35-Q31))*HLOOKUP($U$35,$AV$24:$BF$34,Q31+1))*V35</f>
        <v>9.8608023609303378E-3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9"/>
        <v>120</v>
      </c>
      <c r="BI31" s="1">
        <f t="shared" ref="BI31:BI37" si="20">BI24+1</f>
        <v>3</v>
      </c>
      <c r="BJ31" s="1">
        <v>4</v>
      </c>
      <c r="BK31" s="2">
        <f t="shared" ref="BK31:BK37" si="21">$H$28*H43</f>
        <v>2.775122610450205E-2</v>
      </c>
      <c r="BQ31" s="1">
        <f t="shared" ref="BQ31:BQ37" si="22">BQ24+1</f>
        <v>8</v>
      </c>
      <c r="BR31" s="1">
        <v>0</v>
      </c>
      <c r="BS31" s="2">
        <f t="shared" ref="BS31:BS38" si="23">$H$33*H39</f>
        <v>1.855895286579375E-4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8.4359501812414223E-3</v>
      </c>
      <c r="I32" s="24">
        <v>7</v>
      </c>
      <c r="J32" s="23">
        <f t="shared" si="16"/>
        <v>2.7666863535054202E-3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2.8027537790746942E-2</v>
      </c>
      <c r="S32" s="16">
        <v>7</v>
      </c>
      <c r="T32" s="15">
        <f t="shared" si="18"/>
        <v>5.6640425226236405E-16</v>
      </c>
      <c r="U32" s="24">
        <v>7</v>
      </c>
      <c r="V32" s="23">
        <f>T32*R25+T31*R26+T30*R27+T29*R28+T28*R29+T27*R30+T26*R31+T25*R32</f>
        <v>2.8047141808789169E-2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2.5732371199547805E-6</v>
      </c>
      <c r="AN32" s="10">
        <v>7</v>
      </c>
      <c r="AO32" s="9">
        <f>((($W$25)^Q32)*((1-($W$25))^($U$33-Q32))*HLOOKUP($U$33,$AV$24:$BF$34,Q32+1))*V33</f>
        <v>7.1432410630603186E-5</v>
      </c>
      <c r="AP32" s="10">
        <v>7</v>
      </c>
      <c r="AQ32" s="9">
        <f>((($W$25)^Q32)*((1-($W$25))^($U$34-Q32))*HLOOKUP($U$34,$AV$24:$BF$34,Q32+1))*V34</f>
        <v>6.6122438418218549E-4</v>
      </c>
      <c r="AR32" s="10">
        <v>7</v>
      </c>
      <c r="AS32" s="9">
        <f>((($W$25)^Q32)*((1-($W$25))^($U$35-Q32))*HLOOKUP($U$35,$AV$24:$BF$34,Q32+1))*V35</f>
        <v>2.0314563215726765E-3</v>
      </c>
      <c r="AV32" s="22">
        <v>8</v>
      </c>
      <c r="BD32" s="1">
        <v>1</v>
      </c>
      <c r="BE32" s="1">
        <v>9</v>
      </c>
      <c r="BF32" s="1">
        <f t="shared" si="19"/>
        <v>45</v>
      </c>
      <c r="BI32" s="1">
        <f t="shared" si="20"/>
        <v>3</v>
      </c>
      <c r="BJ32" s="1">
        <v>5</v>
      </c>
      <c r="BK32" s="2">
        <f t="shared" si="21"/>
        <v>1.2458335903571824E-2</v>
      </c>
      <c r="BQ32" s="1">
        <f t="shared" si="22"/>
        <v>8</v>
      </c>
      <c r="BR32" s="1">
        <v>1</v>
      </c>
      <c r="BS32" s="2">
        <f t="shared" si="23"/>
        <v>4.3944650399950421E-4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0.48399999999999999</v>
      </c>
      <c r="G33" s="62">
        <v>8</v>
      </c>
      <c r="H33" s="61">
        <f>J33*L25+J32*L26+J31*L27+J30*L28</f>
        <v>1.7590607564065314E-3</v>
      </c>
      <c r="I33" s="24">
        <v>8</v>
      </c>
      <c r="J33" s="23">
        <f t="shared" si="16"/>
        <v>3.3746103938270353E-4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0.13226874954865164</v>
      </c>
      <c r="S33" s="16">
        <v>8</v>
      </c>
      <c r="T33" s="15">
        <f t="shared" si="18"/>
        <v>3.2528600273502595E-18</v>
      </c>
      <c r="U33" s="24">
        <v>8</v>
      </c>
      <c r="V33" s="23">
        <f>T33*R25+T32*R26+T31*R27+T30*R28+T29*R29+T28*R30+T27*R31+T26*R32+T25*R33</f>
        <v>0.13240978842521434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3.2191306479330285E-6</v>
      </c>
      <c r="AP33" s="10">
        <v>8</v>
      </c>
      <c r="AQ33" s="9">
        <f>((($W$25)^Q33)*((1-($W$25))^($U$34-Q33))*HLOOKUP($U$34,$AV$24:$BF$34,Q33+1))*V34</f>
        <v>5.9596691795519263E-5</v>
      </c>
      <c r="AR33" s="10">
        <v>8</v>
      </c>
      <c r="AS33" s="9">
        <f>((($W$25)^Q33)*((1-($W$25))^($U$35-Q33))*HLOOKUP($U$35,$AV$24:$BF$34,Q33+1))*V35</f>
        <v>2.7464521693925124E-4</v>
      </c>
      <c r="AV33" s="29">
        <v>9</v>
      </c>
      <c r="BE33" s="1">
        <v>1</v>
      </c>
      <c r="BF33" s="1">
        <f t="shared" si="19"/>
        <v>10</v>
      </c>
      <c r="BI33" s="1">
        <f t="shared" si="20"/>
        <v>3</v>
      </c>
      <c r="BJ33" s="1">
        <v>6</v>
      </c>
      <c r="BK33" s="2">
        <f t="shared" si="21"/>
        <v>4.2743488044174978E-3</v>
      </c>
      <c r="BQ33" s="1">
        <f t="shared" si="22"/>
        <v>8</v>
      </c>
      <c r="BR33" s="1">
        <v>2</v>
      </c>
      <c r="BS33" s="2">
        <f t="shared" si="23"/>
        <v>4.7492360506498914E-4</v>
      </c>
    </row>
    <row r="34" spans="1:71" x14ac:dyDescent="0.25">
      <c r="A34" s="65" t="s">
        <v>23</v>
      </c>
      <c r="B34" s="64">
        <f>B23*2</f>
        <v>9.2638748652973515</v>
      </c>
      <c r="C34" s="63">
        <f>C23*2</f>
        <v>0.73612513470264851</v>
      </c>
      <c r="G34" s="62">
        <v>9</v>
      </c>
      <c r="H34" s="61">
        <f>J34*L25+J33*L26+J32*L27+J31*L28</f>
        <v>2.7869007575271405E-4</v>
      </c>
      <c r="I34" s="24">
        <v>9</v>
      </c>
      <c r="J34" s="23">
        <f t="shared" si="16"/>
        <v>2.4390885377106078E-5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0.36990122305255485</v>
      </c>
      <c r="S34" s="16">
        <v>9</v>
      </c>
      <c r="T34" s="15">
        <f t="shared" si="18"/>
        <v>1.8389284074216291E-20</v>
      </c>
      <c r="U34" s="24">
        <v>9</v>
      </c>
      <c r="V34" s="23">
        <f>T34*R25+T33*R26+T32*R27+T31*R28+T30*R29+T29*R30+T28*R31+T27*R32+T26*R33+T25*R34</f>
        <v>0.37056730711682179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2.387332589484651E-6</v>
      </c>
      <c r="AR34" s="10">
        <v>9</v>
      </c>
      <c r="AS34" s="9">
        <f>((($W$25)^Q34)*((1-($W$25))^($U$35-Q34))*HLOOKUP($U$35,$AV$24:$BF$34,Q34+1))*V35</f>
        <v>2.2003552787621425E-5</v>
      </c>
      <c r="AV34" s="22">
        <v>10</v>
      </c>
      <c r="BF34" s="1">
        <f t="shared" si="19"/>
        <v>1</v>
      </c>
      <c r="BI34" s="1">
        <f t="shared" si="20"/>
        <v>3</v>
      </c>
      <c r="BJ34" s="1">
        <v>7</v>
      </c>
      <c r="BK34" s="2">
        <f t="shared" si="21"/>
        <v>1.0823226398483101E-3</v>
      </c>
      <c r="BQ34" s="1">
        <f t="shared" si="22"/>
        <v>8</v>
      </c>
      <c r="BR34" s="1">
        <v>3</v>
      </c>
      <c r="BS34" s="2">
        <f t="shared" si="23"/>
        <v>3.4172061517556387E-4</v>
      </c>
    </row>
    <row r="35" spans="1:71" ht="15.75" thickBot="1" x14ac:dyDescent="0.3">
      <c r="G35" s="60">
        <v>10</v>
      </c>
      <c r="H35" s="59">
        <f>J35*L25+J34*L26+J33*L27+J32*L28</f>
        <v>3.2992351773851312E-5</v>
      </c>
      <c r="I35" s="14">
        <v>10</v>
      </c>
      <c r="J35" s="13">
        <f t="shared" si="16"/>
        <v>7.9327924696074308E-7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0.46550762653465222</v>
      </c>
      <c r="S35" s="16">
        <v>10</v>
      </c>
      <c r="T35" s="15">
        <f t="shared" si="18"/>
        <v>1.0267606964944888E-22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0.46467890128729206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7.9327924696074308E-7</v>
      </c>
      <c r="BI35" s="1">
        <f t="shared" si="20"/>
        <v>3</v>
      </c>
      <c r="BJ35" s="1">
        <v>8</v>
      </c>
      <c r="BK35" s="2">
        <f t="shared" si="21"/>
        <v>1.9944981721753801E-4</v>
      </c>
      <c r="BQ35" s="1">
        <f t="shared" si="22"/>
        <v>8</v>
      </c>
      <c r="BR35" s="1">
        <v>4</v>
      </c>
      <c r="BS35" s="2">
        <f t="shared" si="23"/>
        <v>1.9232802537286556E-4</v>
      </c>
    </row>
    <row r="36" spans="1:71" ht="15.75" x14ac:dyDescent="0.25">
      <c r="A36" s="58" t="s">
        <v>22</v>
      </c>
      <c r="B36" s="48">
        <f>SUM(BO4:BO14)</f>
        <v>0.18360416692617426</v>
      </c>
      <c r="C36" s="57"/>
      <c r="D36" s="174"/>
      <c r="E36" s="174">
        <v>20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20"/>
        <v>3</v>
      </c>
      <c r="BJ36" s="1">
        <v>9</v>
      </c>
      <c r="BK36" s="2">
        <f t="shared" si="21"/>
        <v>2.6704423647458532E-5</v>
      </c>
      <c r="BQ36" s="1">
        <f t="shared" si="22"/>
        <v>8</v>
      </c>
      <c r="BR36" s="1">
        <v>5</v>
      </c>
      <c r="BS36" s="2">
        <f t="shared" si="23"/>
        <v>8.6341667742641798E-5</v>
      </c>
    </row>
    <row r="37" spans="1:71" ht="16.5" thickBot="1" x14ac:dyDescent="0.3">
      <c r="A37" s="55" t="s">
        <v>21</v>
      </c>
      <c r="B37" s="48">
        <f>SUM(BK4:BK59)</f>
        <v>0.29389291210266866</v>
      </c>
      <c r="D37" s="174" t="s">
        <v>247</v>
      </c>
      <c r="E37" s="174">
        <v>35</v>
      </c>
      <c r="G37" s="4"/>
      <c r="H37" s="50">
        <f>SUM(H39:H49)</f>
        <v>0.99999923380415567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0.99999999999999989</v>
      </c>
      <c r="O37" s="53"/>
      <c r="P37" s="54">
        <f>SUM(P39:P49)</f>
        <v>0.99999999999999989</v>
      </c>
      <c r="Q37" s="53"/>
      <c r="R37" s="50">
        <f>SUM(R39:R49)</f>
        <v>0.99999999999999967</v>
      </c>
      <c r="S37" s="53"/>
      <c r="T37" s="50">
        <f>SUM(T39:T49)</f>
        <v>0.99999999999999978</v>
      </c>
      <c r="U37" s="53"/>
      <c r="V37" s="52">
        <f>SUM(V39:V48)</f>
        <v>0.99990609844237699</v>
      </c>
      <c r="W37" s="4"/>
      <c r="X37" s="4"/>
      <c r="Y37" s="50">
        <f>SUM(Y39:Y49)</f>
        <v>8.7866840479965229E-3</v>
      </c>
      <c r="Z37" s="51"/>
      <c r="AA37" s="50">
        <f>SUM(AA39:AA49)</f>
        <v>5.6432706894316113E-2</v>
      </c>
      <c r="AB37" s="51"/>
      <c r="AC37" s="50">
        <f>SUM(AC39:AC49)</f>
        <v>0.15775089291447275</v>
      </c>
      <c r="AD37" s="51"/>
      <c r="AE37" s="50">
        <f>SUM(AE39:AE49)</f>
        <v>0.25174847232412878</v>
      </c>
      <c r="AF37" s="51"/>
      <c r="AG37" s="50">
        <f>SUM(AG39:AG49)</f>
        <v>0.2532621820117173</v>
      </c>
      <c r="AH37" s="51"/>
      <c r="AI37" s="50">
        <f>SUM(AI39:AI49)</f>
        <v>0.16795799015309043</v>
      </c>
      <c r="AJ37" s="51"/>
      <c r="AK37" s="50">
        <f>SUM(AK39:AK49)</f>
        <v>7.5132187330068767E-2</v>
      </c>
      <c r="AL37" s="51"/>
      <c r="AM37" s="50">
        <f>SUM(AM39:AM49)</f>
        <v>2.3083576931691701E-2</v>
      </c>
      <c r="AN37" s="51"/>
      <c r="AO37" s="50">
        <f>SUM(AO39:AO49)</f>
        <v>4.9812259550623267E-3</v>
      </c>
      <c r="AP37" s="51"/>
      <c r="AQ37" s="50">
        <f>SUM(AQ39:AQ49)</f>
        <v>7.7017987983226722E-4</v>
      </c>
      <c r="AR37" s="51"/>
      <c r="AS37" s="50">
        <f>SUM(AS39:AS49)</f>
        <v>9.3901557623010708E-5</v>
      </c>
      <c r="BI37" s="1">
        <f t="shared" si="20"/>
        <v>3</v>
      </c>
      <c r="BJ37" s="1">
        <v>10</v>
      </c>
      <c r="BK37" s="2">
        <f t="shared" si="21"/>
        <v>2.6060122800316496E-6</v>
      </c>
      <c r="BQ37" s="1">
        <f t="shared" si="22"/>
        <v>8</v>
      </c>
      <c r="BR37" s="1">
        <v>6</v>
      </c>
      <c r="BS37" s="2">
        <f t="shared" si="23"/>
        <v>2.962308988485094E-5</v>
      </c>
    </row>
    <row r="38" spans="1:71" ht="16.5" thickBot="1" x14ac:dyDescent="0.3">
      <c r="A38" s="49" t="s">
        <v>20</v>
      </c>
      <c r="B38" s="48">
        <f>SUM(BS4:BS47)</f>
        <v>0.52246621664338178</v>
      </c>
      <c r="D38" s="174"/>
      <c r="E38" s="174">
        <v>45</v>
      </c>
      <c r="G38" s="46" t="str">
        <f t="shared" ref="G38:AS38" si="24">G24</f>
        <v>G</v>
      </c>
      <c r="H38" s="47" t="str">
        <f t="shared" si="24"/>
        <v>p</v>
      </c>
      <c r="I38" s="46" t="str">
        <f t="shared" si="24"/>
        <v>GT</v>
      </c>
      <c r="J38" s="44" t="str">
        <f t="shared" si="24"/>
        <v>p(x)</v>
      </c>
      <c r="K38" s="45" t="str">
        <f t="shared" si="24"/>
        <v>EE(x)</v>
      </c>
      <c r="L38" s="44" t="str">
        <f t="shared" si="24"/>
        <v>p</v>
      </c>
      <c r="M38" s="40" t="str">
        <f t="shared" si="24"/>
        <v>OcaS</v>
      </c>
      <c r="N38" s="39" t="str">
        <f t="shared" si="24"/>
        <v>P</v>
      </c>
      <c r="O38" s="39" t="str">
        <f t="shared" si="24"/>
        <v>O_CA</v>
      </c>
      <c r="P38" s="39" t="str">
        <f t="shared" si="24"/>
        <v>p</v>
      </c>
      <c r="Q38" s="39" t="str">
        <f t="shared" si="24"/>
        <v>TotalN</v>
      </c>
      <c r="R38" s="39" t="str">
        <f t="shared" si="24"/>
        <v>p</v>
      </c>
      <c r="S38" s="39" t="str">
        <f t="shared" si="24"/>
        <v>OcaCA</v>
      </c>
      <c r="T38" s="43" t="str">
        <f t="shared" si="24"/>
        <v>p</v>
      </c>
      <c r="U38" s="42" t="str">
        <f t="shared" si="24"/>
        <v>Total</v>
      </c>
      <c r="V38" s="41" t="str">
        <f t="shared" si="24"/>
        <v>P</v>
      </c>
      <c r="W38" s="40" t="str">
        <f t="shared" si="24"/>
        <v>E(x)</v>
      </c>
      <c r="X38" s="39" t="str">
        <f t="shared" si="24"/>
        <v>G0</v>
      </c>
      <c r="Y38" s="39" t="str">
        <f t="shared" si="24"/>
        <v>p</v>
      </c>
      <c r="Z38" s="39" t="str">
        <f t="shared" si="24"/>
        <v>G1</v>
      </c>
      <c r="AA38" s="39" t="str">
        <f t="shared" si="24"/>
        <v>p</v>
      </c>
      <c r="AB38" s="39" t="str">
        <f t="shared" si="24"/>
        <v>G2</v>
      </c>
      <c r="AC38" s="39" t="str">
        <f t="shared" si="24"/>
        <v>p</v>
      </c>
      <c r="AD38" s="39" t="str">
        <f t="shared" si="24"/>
        <v>G3</v>
      </c>
      <c r="AE38" s="39" t="str">
        <f t="shared" si="24"/>
        <v>p</v>
      </c>
      <c r="AF38" s="39" t="str">
        <f t="shared" si="24"/>
        <v>G4</v>
      </c>
      <c r="AG38" s="39" t="str">
        <f t="shared" si="24"/>
        <v>p</v>
      </c>
      <c r="AH38" s="39" t="str">
        <f t="shared" si="24"/>
        <v>G5</v>
      </c>
      <c r="AI38" s="39" t="str">
        <f t="shared" si="24"/>
        <v>p</v>
      </c>
      <c r="AJ38" s="39" t="str">
        <f t="shared" si="24"/>
        <v>G6</v>
      </c>
      <c r="AK38" s="39" t="str">
        <f t="shared" si="24"/>
        <v>p</v>
      </c>
      <c r="AL38" s="39" t="str">
        <f t="shared" si="24"/>
        <v>G7</v>
      </c>
      <c r="AM38" s="39" t="str">
        <f t="shared" si="24"/>
        <v>p</v>
      </c>
      <c r="AN38" s="39" t="str">
        <f t="shared" si="24"/>
        <v>G8</v>
      </c>
      <c r="AO38" s="39" t="str">
        <f t="shared" si="24"/>
        <v>p</v>
      </c>
      <c r="AP38" s="39" t="str">
        <f t="shared" si="24"/>
        <v>G9</v>
      </c>
      <c r="AQ38" s="39" t="str">
        <f t="shared" si="24"/>
        <v>p</v>
      </c>
      <c r="AR38" s="39" t="str">
        <f t="shared" si="24"/>
        <v>G10</v>
      </c>
      <c r="AS38" s="39" t="str">
        <f t="shared" si="24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5">BI32+1</f>
        <v>4</v>
      </c>
      <c r="BJ38" s="1">
        <v>5</v>
      </c>
      <c r="BK38" s="2">
        <f t="shared" ref="BK38:BK43" si="26">$H$29*H44</f>
        <v>8.500279907664627E-3</v>
      </c>
      <c r="BQ38" s="1">
        <f>BM11+1</f>
        <v>8</v>
      </c>
      <c r="BR38" s="1">
        <v>7</v>
      </c>
      <c r="BS38" s="2">
        <f t="shared" si="23"/>
        <v>7.5009650151855067E-6</v>
      </c>
    </row>
    <row r="39" spans="1:71" x14ac:dyDescent="0.25">
      <c r="G39" s="38">
        <v>0</v>
      </c>
      <c r="H39" s="37">
        <f>L39*J39</f>
        <v>0.10550489969264396</v>
      </c>
      <c r="I39" s="36">
        <v>0</v>
      </c>
      <c r="J39" s="34">
        <f t="shared" ref="J39:J49" si="27">Y39+AA39+AC39+AE39+AG39+AI39+AK39+AM39+AO39+AQ39+AS39</f>
        <v>0.20049136755936253</v>
      </c>
      <c r="K39" s="35">
        <v>0</v>
      </c>
      <c r="L39" s="34">
        <f>AH18</f>
        <v>0.52623163269812856</v>
      </c>
      <c r="M39" s="17">
        <v>0</v>
      </c>
      <c r="N39" s="32">
        <f>(1-$C$24)^$B$21</f>
        <v>0.68228119315620317</v>
      </c>
      <c r="O39" s="16">
        <v>0</v>
      </c>
      <c r="P39" s="32">
        <f t="shared" ref="P39:P44" si="28">N39</f>
        <v>0.68228119315620317</v>
      </c>
      <c r="Q39" s="10">
        <v>0</v>
      </c>
      <c r="R39" s="11">
        <f>P39*N39</f>
        <v>0.46550762653465222</v>
      </c>
      <c r="S39" s="16">
        <v>0</v>
      </c>
      <c r="T39" s="15">
        <f>(1-$C$33)^(INT(B23*2*(1-B31)))</f>
        <v>1.8875488922505214E-2</v>
      </c>
      <c r="U39" s="24">
        <v>0</v>
      </c>
      <c r="V39" s="23">
        <f>R39*T39</f>
        <v>8.7866840479965229E-3</v>
      </c>
      <c r="W39" s="33">
        <f>C31</f>
        <v>0.40390921161125326</v>
      </c>
      <c r="X39" s="10">
        <v>0</v>
      </c>
      <c r="Y39" s="9">
        <f>V39</f>
        <v>8.7866840479965229E-3</v>
      </c>
      <c r="Z39" s="10">
        <v>0</v>
      </c>
      <c r="AA39" s="9">
        <f>((1-W39)^Z40)*V40</f>
        <v>3.3639016743543956E-2</v>
      </c>
      <c r="AB39" s="10">
        <v>0</v>
      </c>
      <c r="AC39" s="9">
        <f>(((1-$W$39)^AB41))*V41</f>
        <v>5.6052714241448212E-2</v>
      </c>
      <c r="AD39" s="10">
        <v>0</v>
      </c>
      <c r="AE39" s="9">
        <f>(((1-$W$39)^AB42))*V42</f>
        <v>5.3321710854276699E-2</v>
      </c>
      <c r="AF39" s="10">
        <v>0</v>
      </c>
      <c r="AG39" s="9">
        <f>(((1-$W$39)^AB43))*V43</f>
        <v>3.197569454268577E-2</v>
      </c>
      <c r="AH39" s="10">
        <v>0</v>
      </c>
      <c r="AI39" s="9">
        <f>(((1-$W$39)^AB44))*V44</f>
        <v>1.2640455437137333E-2</v>
      </c>
      <c r="AJ39" s="10">
        <v>0</v>
      </c>
      <c r="AK39" s="9">
        <f>(((1-$W$39)^AB45))*V45</f>
        <v>3.3705478430504274E-3</v>
      </c>
      <c r="AL39" s="10">
        <v>0</v>
      </c>
      <c r="AM39" s="9">
        <f>(((1-$W$39)^AB46))*V46</f>
        <v>6.1729104975712969E-4</v>
      </c>
      <c r="AN39" s="10">
        <v>0</v>
      </c>
      <c r="AO39" s="9">
        <f>(((1-$W$39)^AB47))*V47</f>
        <v>7.9402746901093081E-5</v>
      </c>
      <c r="AP39" s="10">
        <v>0</v>
      </c>
      <c r="AQ39" s="9">
        <f>(((1-$W$39)^AB48))*V48</f>
        <v>7.3181930885775418E-6</v>
      </c>
      <c r="AR39" s="10">
        <v>0</v>
      </c>
      <c r="AS39" s="9">
        <f>(((1-$W$39)^AB49))*V49</f>
        <v>5.3185947680115553E-7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5"/>
        <v>4</v>
      </c>
      <c r="BJ39" s="1">
        <v>6</v>
      </c>
      <c r="BK39" s="2">
        <f t="shared" si="26"/>
        <v>2.9163735463356389E-3</v>
      </c>
      <c r="BQ39" s="1">
        <f t="shared" ref="BQ39:BQ46" si="29">BQ31+1</f>
        <v>9</v>
      </c>
      <c r="BR39" s="1">
        <v>0</v>
      </c>
      <c r="BS39" s="2">
        <f t="shared" ref="BS39:BS47" si="30">$H$34*H39</f>
        <v>2.9403168487625442E-5</v>
      </c>
    </row>
    <row r="40" spans="1:71" x14ac:dyDescent="0.25">
      <c r="G40" s="27">
        <v>1</v>
      </c>
      <c r="H40" s="26">
        <f>L39*J40+L40*J39</f>
        <v>0.24981883223705151</v>
      </c>
      <c r="I40" s="24">
        <v>1</v>
      </c>
      <c r="J40" s="23">
        <f t="shared" si="27"/>
        <v>0.35374981936632127</v>
      </c>
      <c r="K40" s="25">
        <v>1</v>
      </c>
      <c r="L40" s="23">
        <f>AI18</f>
        <v>0.31754228623531178</v>
      </c>
      <c r="M40" s="17">
        <v>1</v>
      </c>
      <c r="N40" s="32">
        <f>(($C$24)^M26)*((1-($C$24))^($B$21-M26))*HLOOKUP($B$21,$AV$24:$BF$34,M26+1)</f>
        <v>0.27107681316951426</v>
      </c>
      <c r="O40" s="16">
        <v>1</v>
      </c>
      <c r="P40" s="32">
        <f t="shared" si="28"/>
        <v>0.27107681316951426</v>
      </c>
      <c r="Q40" s="10">
        <v>1</v>
      </c>
      <c r="R40" s="11">
        <f>P40*N39+P39*N40</f>
        <v>0.36990122305255474</v>
      </c>
      <c r="S40" s="16">
        <v>1</v>
      </c>
      <c r="T40" s="15">
        <f t="shared" ref="T40:T49" si="31">(($C$33)^S40)*((1-($C$33))^(INT($B$23*2*(1-$B$31))-S40))*HLOOKUP(INT($B$23*2*(1-$B$31)),$AV$24:$BF$34,S40+1)</f>
        <v>0.10622949579642471</v>
      </c>
      <c r="U40" s="24">
        <v>1</v>
      </c>
      <c r="V40" s="23">
        <f>R40*T39+T40*R39</f>
        <v>5.6432706894316113E-2</v>
      </c>
      <c r="W40" s="12"/>
      <c r="X40" s="10">
        <v>1</v>
      </c>
      <c r="Y40" s="11"/>
      <c r="Z40" s="10">
        <v>1</v>
      </c>
      <c r="AA40" s="9">
        <f>(1-((1-W39)^Z40))*V40</f>
        <v>2.2793690150772157E-2</v>
      </c>
      <c r="AB40" s="10">
        <v>1</v>
      </c>
      <c r="AC40" s="9">
        <f>((($W$39)^M40)*((1-($W$39))^($U$27-M40))*HLOOKUP($U$27,$AV$24:$BF$34,M40+1))*V41</f>
        <v>7.5962279769937219E-2</v>
      </c>
      <c r="AD40" s="10">
        <v>1</v>
      </c>
      <c r="AE40" s="9">
        <f>((($W$39)^M40)*((1-($W$39))^($U$28-M40))*HLOOKUP($U$28,$AV$24:$BF$34,M40+1))*V42</f>
        <v>0.10839186217486947</v>
      </c>
      <c r="AF40" s="10">
        <v>1</v>
      </c>
      <c r="AG40" s="9">
        <f>((($W$39)^M40)*((1-($W$39))^($U$29-M40))*HLOOKUP($U$29,$AV$24:$BF$34,M40+1))*V43</f>
        <v>8.6666513390477887E-2</v>
      </c>
      <c r="AH40" s="10">
        <v>1</v>
      </c>
      <c r="AI40" s="9">
        <f>((($W$39)^M40)*((1-($W$39))^($U$30-M40))*HLOOKUP($U$30,$AV$24:$BF$34,M40+1))*V44</f>
        <v>4.2825660868052638E-2</v>
      </c>
      <c r="AJ40" s="10">
        <v>1</v>
      </c>
      <c r="AK40" s="9">
        <f>((($W$39)^M40)*((1-($W$39))^($U$31-M40))*HLOOKUP($U$31,$AV$24:$BF$34,M40+1))*V45</f>
        <v>1.3703234626366951E-2</v>
      </c>
      <c r="AL40" s="10">
        <v>1</v>
      </c>
      <c r="AM40" s="9">
        <f>((($W$39)^Q40)*((1-($W$39))^($U$32-Q40))*HLOOKUP($U$32,$AV$24:$BF$34,Q40+1))*V46</f>
        <v>2.927921086336896E-3</v>
      </c>
      <c r="AN40" s="10">
        <v>1</v>
      </c>
      <c r="AO40" s="9">
        <f>((($W$39)^Q40)*((1-($W$39))^($U$33-Q40))*HLOOKUP($U$33,$AV$24:$BF$34,Q40+1))*V47</f>
        <v>4.3042437863908243E-4</v>
      </c>
      <c r="AP40" s="10">
        <v>1</v>
      </c>
      <c r="AQ40" s="9">
        <f>((($W$39)^Q40)*((1-($W$39))^($U$34-Q40))*HLOOKUP($U$34,$AV$24:$BF$34,Q40+1))*V48</f>
        <v>4.4629058065710439E-5</v>
      </c>
      <c r="AR40" s="10">
        <v>1</v>
      </c>
      <c r="AS40" s="9">
        <f>((($W$39)^Q40)*((1-($W$39))^($U$35-Q40))*HLOOKUP($U$35,$AV$24:$BF$34,Q40+1))*V49</f>
        <v>3.6038628032384446E-6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5"/>
        <v>4</v>
      </c>
      <c r="BJ40" s="1">
        <v>7</v>
      </c>
      <c r="BK40" s="2">
        <f t="shared" si="26"/>
        <v>7.3846502938449939E-4</v>
      </c>
      <c r="BQ40" s="1">
        <f t="shared" si="29"/>
        <v>9</v>
      </c>
      <c r="BR40" s="1">
        <v>1</v>
      </c>
      <c r="BS40" s="2">
        <f t="shared" si="30"/>
        <v>6.9622029280598445E-5</v>
      </c>
    </row>
    <row r="41" spans="1:71" x14ac:dyDescent="0.25">
      <c r="G41" s="27">
        <v>2</v>
      </c>
      <c r="H41" s="26">
        <f>L39*J41+J40*L40+J39*L41</f>
        <v>0.26998703901233012</v>
      </c>
      <c r="I41" s="24">
        <v>2</v>
      </c>
      <c r="J41" s="23">
        <f t="shared" si="27"/>
        <v>0.27562412836151395</v>
      </c>
      <c r="K41" s="25">
        <v>2</v>
      </c>
      <c r="L41" s="23">
        <f>AJ18</f>
        <v>6.2917310058284159E-2</v>
      </c>
      <c r="M41" s="17">
        <v>2</v>
      </c>
      <c r="N41" s="32">
        <f>(($C$24)^M27)*((1-($C$24))^($B$21-M27))*HLOOKUP($B$21,$AV$24:$BF$34,M27+1)</f>
        <v>4.3080559379461848E-2</v>
      </c>
      <c r="O41" s="16">
        <v>2</v>
      </c>
      <c r="P41" s="32">
        <f t="shared" si="28"/>
        <v>4.3080559379461848E-2</v>
      </c>
      <c r="Q41" s="10">
        <v>2</v>
      </c>
      <c r="R41" s="11">
        <f>P41*N39+P40*N40+P39*N41</f>
        <v>0.13226874954865153</v>
      </c>
      <c r="S41" s="16">
        <v>2</v>
      </c>
      <c r="T41" s="15">
        <f t="shared" si="31"/>
        <v>0.24910405022029819</v>
      </c>
      <c r="U41" s="24">
        <v>2</v>
      </c>
      <c r="V41" s="23">
        <f>R41*T39+T40*R40+R39*T41</f>
        <v>0.15775089291447275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2.5735898903087313E-2</v>
      </c>
      <c r="AD41" s="10">
        <v>2</v>
      </c>
      <c r="AE41" s="9">
        <f>((($W$39)^M41)*((1-($W$39))^($U$28-M41))*HLOOKUP($U$28,$AV$24:$BF$34,M41+1))*V42</f>
        <v>7.3445979117488513E-2</v>
      </c>
      <c r="AF41" s="10">
        <v>2</v>
      </c>
      <c r="AG41" s="9">
        <f>((($W$39)^M41)*((1-($W$39))^($U$29-M41))*HLOOKUP($U$29,$AV$24:$BF$34,M41+1))*V43</f>
        <v>8.8087428404819382E-2</v>
      </c>
      <c r="AH41" s="10">
        <v>2</v>
      </c>
      <c r="AI41" s="9">
        <f>((($W$39)^M41)*((1-($W$39))^($U$30-M41))*HLOOKUP($U$30,$AV$24:$BF$34,M41+1))*V44</f>
        <v>5.803706165197501E-2</v>
      </c>
      <c r="AJ41" s="10">
        <v>2</v>
      </c>
      <c r="AK41" s="9">
        <f>((($W$39)^M41)*((1-($W$39))^($U$31-M41))*HLOOKUP($U$31,$AV$24:$BF$34,M41+1))*V45</f>
        <v>2.3213169882312812E-2</v>
      </c>
      <c r="AL41" s="10">
        <v>2</v>
      </c>
      <c r="AM41" s="9">
        <f>((($W$39)^Q41)*((1-($W$39))^($U$32-Q41))*HLOOKUP($U$32,$AV$24:$BF$34,Q41+1))*V46</f>
        <v>5.9518498893714432E-3</v>
      </c>
      <c r="AN41" s="10">
        <v>2</v>
      </c>
      <c r="AO41" s="9">
        <f>((($W$39)^Q41)*((1-($W$39))^($U$33-Q41))*HLOOKUP($U$33,$AV$24:$BF$34,Q41+1))*V47</f>
        <v>1.0207896378755734E-3</v>
      </c>
      <c r="AP41" s="10">
        <v>2</v>
      </c>
      <c r="AQ41" s="9">
        <f>((($W$39)^Q41)*((1-($W$39))^($U$34-Q41))*HLOOKUP($U$34,$AV$24:$BF$34,Q41+1))*V48</f>
        <v>1.2096202799576262E-4</v>
      </c>
      <c r="AR41" s="10">
        <v>2</v>
      </c>
      <c r="AS41" s="9">
        <f>((($W$39)^Q41)*((1-($W$39))^($U$35-Q41))*HLOOKUP($U$35,$AV$24:$BF$34,Q41+1))*V49</f>
        <v>1.098884658821191E-5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5"/>
        <v>4</v>
      </c>
      <c r="BJ41" s="1">
        <v>8</v>
      </c>
      <c r="BK41" s="2">
        <f t="shared" si="26"/>
        <v>1.3608392701914171E-4</v>
      </c>
      <c r="BQ41" s="1">
        <f t="shared" si="29"/>
        <v>9</v>
      </c>
      <c r="BR41" s="1">
        <v>2</v>
      </c>
      <c r="BS41" s="2">
        <f t="shared" si="30"/>
        <v>7.5242708354597251E-5</v>
      </c>
    </row>
    <row r="42" spans="1:71" ht="15" customHeight="1" x14ac:dyDescent="0.25">
      <c r="G42" s="27">
        <v>3</v>
      </c>
      <c r="H42" s="26">
        <f>J42*L39+J41*L40+L42*J39+L41*J40</f>
        <v>0.19426311111257025</v>
      </c>
      <c r="I42" s="24">
        <v>3</v>
      </c>
      <c r="J42" s="23">
        <f t="shared" si="27"/>
        <v>0.12499477604742748</v>
      </c>
      <c r="K42" s="25">
        <v>3</v>
      </c>
      <c r="L42" s="23">
        <f>AK18</f>
        <v>9.3308771008275504E-2</v>
      </c>
      <c r="M42" s="17">
        <v>3</v>
      </c>
      <c r="N42" s="32">
        <f>(($C$24)^M28)*((1-($C$24))^($B$21-M28))*HLOOKUP($B$21,$AV$24:$BF$34,M28+1)</f>
        <v>3.4232632712978559E-3</v>
      </c>
      <c r="O42" s="16">
        <v>3</v>
      </c>
      <c r="P42" s="32">
        <f t="shared" si="28"/>
        <v>3.4232632712978559E-3</v>
      </c>
      <c r="Q42" s="10">
        <v>3</v>
      </c>
      <c r="R42" s="11">
        <f>P42*N39+P41*N40+P40*N41+P39*N42</f>
        <v>2.8027537790746907E-2</v>
      </c>
      <c r="S42" s="16">
        <v>3</v>
      </c>
      <c r="T42" s="15">
        <f t="shared" si="31"/>
        <v>0.31154098270445563</v>
      </c>
      <c r="U42" s="24">
        <v>3</v>
      </c>
      <c r="V42" s="23">
        <f>R42*T39+R41*T40+R40*T41+R39*T42</f>
        <v>0.25174847232412878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1.6588920177494106E-2</v>
      </c>
      <c r="AF42" s="10">
        <v>3</v>
      </c>
      <c r="AG42" s="9">
        <f>((($W$39)^M42)*((1-($W$39))^($U$29-M42))*HLOOKUP($U$29,$AV$24:$BF$34,M42+1))*V43</f>
        <v>3.9791839825859876E-2</v>
      </c>
      <c r="AH42" s="10">
        <v>3</v>
      </c>
      <c r="AI42" s="9">
        <f>((($W$39)^M42)*((1-($W$39))^($U$30-M42))*HLOOKUP($U$30,$AV$24:$BF$34,M42+1))*V44</f>
        <v>3.9325727343391154E-2</v>
      </c>
      <c r="AJ42" s="10">
        <v>3</v>
      </c>
      <c r="AK42" s="9">
        <f>((($W$39)^M42)*((1-($W$39))^($U$31-M42))*HLOOKUP($U$31,$AV$24:$BF$34,M42+1))*V45</f>
        <v>2.0972226219670851E-2</v>
      </c>
      <c r="AL42" s="10">
        <v>3</v>
      </c>
      <c r="AM42" s="9">
        <f>((($W$39)^Q42)*((1-($W$39))^($U$32-Q42))*HLOOKUP($U$32,$AV$24:$BF$34,Q42+1))*V46</f>
        <v>6.7215907466675676E-3</v>
      </c>
      <c r="AN42" s="10">
        <v>3</v>
      </c>
      <c r="AO42" s="9">
        <f>((($W$39)^Q42)*((1-($W$39))^($U$33-Q42))*HLOOKUP($U$33,$AV$24:$BF$34,Q42+1))*V47</f>
        <v>1.3833675872419945E-3</v>
      </c>
      <c r="AP42" s="10">
        <v>3</v>
      </c>
      <c r="AQ42" s="9">
        <f>((($W$39)^Q42)*((1-($W$39))^($U$34-Q42))*HLOOKUP($U$34,$AV$24:$BF$34,Q42+1))*V48</f>
        <v>1.9124812763455899E-4</v>
      </c>
      <c r="AR42" s="10">
        <v>3</v>
      </c>
      <c r="AS42" s="9">
        <f>((($W$39)^Q42)*((1-($W$39))^($U$35-Q42))*HLOOKUP($U$35,$AV$24:$BF$34,Q42+1))*V49</f>
        <v>1.985601946736597E-5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2">BE41+BE42</f>
        <v>210</v>
      </c>
      <c r="BI42" s="1">
        <f t="shared" si="25"/>
        <v>4</v>
      </c>
      <c r="BJ42" s="1">
        <v>9</v>
      </c>
      <c r="BK42" s="2">
        <f t="shared" si="26"/>
        <v>1.822033677155679E-5</v>
      </c>
      <c r="BQ42" s="1">
        <f t="shared" si="29"/>
        <v>9</v>
      </c>
      <c r="BR42" s="1">
        <v>3</v>
      </c>
      <c r="BS42" s="2">
        <f t="shared" si="30"/>
        <v>5.413920115192011E-5</v>
      </c>
    </row>
    <row r="43" spans="1:71" ht="15" customHeight="1" x14ac:dyDescent="0.25">
      <c r="G43" s="27">
        <v>4</v>
      </c>
      <c r="H43" s="26">
        <f>J43*L39+J42*L40+J41*L41+J40*L42</f>
        <v>0.10933563532265919</v>
      </c>
      <c r="I43" s="24">
        <v>4</v>
      </c>
      <c r="J43" s="23">
        <f t="shared" si="27"/>
        <v>3.6666398477455724E-2</v>
      </c>
      <c r="K43" s="25">
        <v>4</v>
      </c>
      <c r="L43" s="23"/>
      <c r="M43" s="17">
        <v>4</v>
      </c>
      <c r="N43" s="32">
        <f>(($C$24)^M29)*((1-($C$24))^($B$21-M29))*HLOOKUP($B$21,$AV$24:$BF$34,M29+1)</f>
        <v>1.3600950862076861E-4</v>
      </c>
      <c r="O43" s="16">
        <v>4</v>
      </c>
      <c r="P43" s="32">
        <f t="shared" si="28"/>
        <v>1.3600950862076861E-4</v>
      </c>
      <c r="Q43" s="10">
        <v>4</v>
      </c>
      <c r="R43" s="11">
        <f>P43*N39+P42*N40+P41*N41+P40*N42+P39*N43</f>
        <v>3.8974626525394101E-3</v>
      </c>
      <c r="S43" s="16">
        <v>4</v>
      </c>
      <c r="T43" s="15">
        <f t="shared" si="31"/>
        <v>0.21916545876301821</v>
      </c>
      <c r="U43" s="24">
        <v>4</v>
      </c>
      <c r="V43" s="23">
        <f>T43*R39+T42*R40+T41*R41+T40*R42+T39*R43</f>
        <v>0.2532621820117173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6.7407058478743936E-3</v>
      </c>
      <c r="AH43" s="10">
        <v>4</v>
      </c>
      <c r="AI43" s="9">
        <f>((($W$39)^M43)*((1-($W$39))^($U$30-M43))*HLOOKUP($U$30,$AV$24:$BF$34,M43+1))*V44</f>
        <v>1.332349353212056E-2</v>
      </c>
      <c r="AJ43" s="10">
        <v>4</v>
      </c>
      <c r="AK43" s="9">
        <f>((($W$39)^M43)*((1-($W$39))^($U$31-M43))*HLOOKUP($U$31,$AV$24:$BF$34,M43+1))*V45</f>
        <v>1.0658035054966835E-2</v>
      </c>
      <c r="AL43" s="10">
        <v>4</v>
      </c>
      <c r="AM43" s="9">
        <f>((($W$39)^Q43)*((1-($W$39))^($U$32-Q43))*HLOOKUP($U$32,$AV$24:$BF$34,Q43+1))*V46</f>
        <v>4.5545283908823529E-3</v>
      </c>
      <c r="AN43" s="10">
        <v>4</v>
      </c>
      <c r="AO43" s="9">
        <f>((($W$39)^Q43)*((1-($W$39))^($U$33-Q43))*HLOOKUP($U$33,$AV$24:$BF$34,Q43+1))*V47</f>
        <v>1.1717068155041633E-3</v>
      </c>
      <c r="AP43" s="10">
        <v>4</v>
      </c>
      <c r="AQ43" s="9">
        <f>((($W$39)^Q43)*((1-($W$39))^($U$34-Q43))*HLOOKUP($U$34,$AV$24:$BF$34,Q43+1))*V48</f>
        <v>1.9438367936485971E-4</v>
      </c>
      <c r="AR43" s="10">
        <v>4</v>
      </c>
      <c r="AS43" s="9">
        <f>((($W$39)^Q43)*((1-($W$39))^($U$35-Q43))*HLOOKUP($U$35,$AV$24:$BF$34,Q43+1))*V49</f>
        <v>2.3545156742548922E-5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2"/>
        <v>252</v>
      </c>
      <c r="BI43" s="1">
        <f t="shared" si="25"/>
        <v>4</v>
      </c>
      <c r="BJ43" s="1">
        <v>10</v>
      </c>
      <c r="BK43" s="2">
        <f t="shared" si="26"/>
        <v>1.7780732510775658E-6</v>
      </c>
      <c r="BQ43" s="1">
        <f t="shared" si="29"/>
        <v>9</v>
      </c>
      <c r="BR43" s="1">
        <v>4</v>
      </c>
      <c r="BS43" s="2">
        <f t="shared" si="30"/>
        <v>3.047075649054301E-5</v>
      </c>
    </row>
    <row r="44" spans="1:71" ht="15" customHeight="1" thickBot="1" x14ac:dyDescent="0.3">
      <c r="G44" s="27">
        <v>5</v>
      </c>
      <c r="H44" s="26">
        <f>J44*L39+J43*L40+J42*L41+J41*L42</f>
        <v>4.9083959964534407E-2</v>
      </c>
      <c r="I44" s="24">
        <v>5</v>
      </c>
      <c r="J44" s="23">
        <f t="shared" si="27"/>
        <v>7.3320263670269828E-3</v>
      </c>
      <c r="K44" s="25">
        <v>5</v>
      </c>
      <c r="L44" s="23"/>
      <c r="M44" s="17">
        <v>5</v>
      </c>
      <c r="N44" s="32">
        <f>(($C$24)^M30)*((1-($C$24))^($B$21-M30))*HLOOKUP($B$21,$AV$24:$BF$34,M30+1)</f>
        <v>2.161514901919839E-6</v>
      </c>
      <c r="O44" s="16">
        <v>5</v>
      </c>
      <c r="P44" s="32">
        <f t="shared" si="28"/>
        <v>2.161514901919839E-6</v>
      </c>
      <c r="Q44" s="10">
        <v>5</v>
      </c>
      <c r="R44" s="11">
        <f>P44*N39+P43*N40+P42*N41+P41*N42+P40*N43+P39*N44</f>
        <v>3.7163976350930889E-4</v>
      </c>
      <c r="S44" s="16">
        <v>5</v>
      </c>
      <c r="T44" s="15">
        <f t="shared" si="31"/>
        <v>8.2229520962248698E-2</v>
      </c>
      <c r="U44" s="24">
        <v>5</v>
      </c>
      <c r="V44" s="23">
        <f>T44*R39+T43*R40+T42*R41+T41*R42+T40*R43+T39*R44</f>
        <v>0.1679579901530904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1.8055913204137149E-3</v>
      </c>
      <c r="AJ44" s="10">
        <v>5</v>
      </c>
      <c r="AK44" s="9">
        <f>((($W$39)^M44)*((1-($W$39))^($U$31-M44))*HLOOKUP($U$31,$AV$24:$BF$34,M44+1))*V45</f>
        <v>2.8887401853754419E-3</v>
      </c>
      <c r="AL44" s="10">
        <v>5</v>
      </c>
      <c r="AM44" s="9">
        <f>((($W$39)^Q44)*((1-($W$39))^($U$32-Q44))*HLOOKUP($U$32,$AV$24:$BF$34,Q44+1))*V46</f>
        <v>1.8516803219807217E-3</v>
      </c>
      <c r="AN44" s="10">
        <v>5</v>
      </c>
      <c r="AO44" s="9">
        <f>((($W$39)^Q44)*((1-($W$39))^($U$33-Q44))*HLOOKUP($U$33,$AV$24:$BF$34,Q44+1))*V47</f>
        <v>6.3515583237790324E-4</v>
      </c>
      <c r="AP44" s="10">
        <v>5</v>
      </c>
      <c r="AQ44" s="9">
        <f>((($W$39)^Q44)*((1-($W$39))^($U$34-Q44))*HLOOKUP($U$34,$AV$24:$BF$34,Q44+1))*V48</f>
        <v>1.3171375939993862E-4</v>
      </c>
      <c r="AR44" s="10">
        <v>5</v>
      </c>
      <c r="AS44" s="9">
        <f>((($W$39)^Q44)*((1-($W$39))^($U$35-Q44))*HLOOKUP($U$35,$AV$24:$BF$34,Q44+1))*V49</f>
        <v>1.9144947479263919E-5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2"/>
        <v>210</v>
      </c>
      <c r="BI44" s="1">
        <f>BI39+1</f>
        <v>5</v>
      </c>
      <c r="BJ44" s="1">
        <v>6</v>
      </c>
      <c r="BK44" s="2">
        <f>$H$30*H45</f>
        <v>1.4283582638887904E-3</v>
      </c>
      <c r="BQ44" s="1">
        <f t="shared" si="29"/>
        <v>9</v>
      </c>
      <c r="BR44" s="1">
        <v>5</v>
      </c>
      <c r="BS44" s="2">
        <f t="shared" si="30"/>
        <v>1.3679212520759279E-5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1.6840288078148014E-2</v>
      </c>
      <c r="I45" s="24">
        <v>6</v>
      </c>
      <c r="J45" s="23">
        <f t="shared" si="27"/>
        <v>1.0299638637816862E-3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2.4609335991695489E-5</v>
      </c>
      <c r="S45" s="16">
        <v>6</v>
      </c>
      <c r="T45" s="15">
        <f t="shared" si="31"/>
        <v>1.2855002631049214E-2</v>
      </c>
      <c r="U45" s="24">
        <v>6</v>
      </c>
      <c r="V45" s="23">
        <f>T45*R39+T44*R40+T43*R41+T42*R42+T41*R43+T40*R44+T39*R45</f>
        <v>7.5132187330068767E-2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3.2623351832545769E-4</v>
      </c>
      <c r="AL45" s="10">
        <v>6</v>
      </c>
      <c r="AM45" s="9">
        <f>((($W$39)^Q45)*((1-($W$39))^($U$32-Q45))*HLOOKUP($U$32,$AV$24:$BF$34,Q45+1))*V46</f>
        <v>4.1823088785347196E-4</v>
      </c>
      <c r="AN45" s="10">
        <v>6</v>
      </c>
      <c r="AO45" s="9">
        <f>((($W$39)^Q45)*((1-($W$39))^($U$33-Q45))*HLOOKUP($U$33,$AV$24:$BF$34,Q45+1))*V47</f>
        <v>2.1518978023423132E-4</v>
      </c>
      <c r="AP45" s="10">
        <v>6</v>
      </c>
      <c r="AQ45" s="9">
        <f>((($W$39)^Q45)*((1-($W$39))^($U$34-Q45))*HLOOKUP($U$34,$AV$24:$BF$34,Q45+1))*V48</f>
        <v>5.949921472128539E-5</v>
      </c>
      <c r="AR45" s="10">
        <v>6</v>
      </c>
      <c r="AS45" s="9">
        <f>((($W$39)^Q45)*((1-($W$39))^($U$35-Q45))*HLOOKUP($U$35,$AV$24:$BF$34,Q45+1))*V49</f>
        <v>1.0810462647239824E-5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2"/>
        <v>120</v>
      </c>
      <c r="BI45" s="1">
        <f>BI40+1</f>
        <v>5</v>
      </c>
      <c r="BJ45" s="1">
        <v>7</v>
      </c>
      <c r="BK45" s="2">
        <f>$H$30*H46</f>
        <v>3.6167953472200176E-4</v>
      </c>
      <c r="BQ45" s="1">
        <f t="shared" si="29"/>
        <v>9</v>
      </c>
      <c r="BR45" s="1">
        <v>6</v>
      </c>
      <c r="BS45" s="2">
        <f t="shared" si="30"/>
        <v>4.6932211601965971E-6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4.264187571615622E-3</v>
      </c>
      <c r="I46" s="24">
        <v>7</v>
      </c>
      <c r="J46" s="23">
        <f t="shared" si="27"/>
        <v>1.0360938541499186E-4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1.117431252980991E-6</v>
      </c>
      <c r="S46" s="16">
        <v>7</v>
      </c>
      <c r="T46" s="15">
        <f t="shared" si="31"/>
        <v>0</v>
      </c>
      <c r="U46" s="24">
        <v>7</v>
      </c>
      <c r="V46" s="23">
        <f>T46*R39+T45*R40+T44*R41+T43*R42+T42*R43+T41*R44+T40*R45+T39*R46</f>
        <v>2.3083576931691697E-2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4.0484558842115427E-5</v>
      </c>
      <c r="AN46" s="10">
        <v>7</v>
      </c>
      <c r="AO46" s="9">
        <f>((($W$39)^Q46)*((1-($W$39))^($U$33-Q46))*HLOOKUP($U$33,$AV$24:$BF$34,Q46+1))*V47</f>
        <v>4.1660544800157581E-5</v>
      </c>
      <c r="AP46" s="10">
        <v>7</v>
      </c>
      <c r="AQ46" s="9">
        <f>((($W$39)^Q46)*((1-($W$39))^($U$34-Q46))*HLOOKUP($U$34,$AV$24:$BF$34,Q46+1))*V48</f>
        <v>1.7278490394192024E-5</v>
      </c>
      <c r="AR46" s="10">
        <v>7</v>
      </c>
      <c r="AS46" s="9">
        <f>((($W$39)^Q46)*((1-($W$39))^($U$35-Q46))*HLOOKUP($U$35,$AV$24:$BF$34,Q46+1))*V49</f>
        <v>4.185791378526833E-6</v>
      </c>
      <c r="AV46" s="22">
        <v>8</v>
      </c>
      <c r="BD46" s="1">
        <v>1</v>
      </c>
      <c r="BE46" s="1">
        <v>9</v>
      </c>
      <c r="BF46" s="1">
        <f t="shared" si="32"/>
        <v>45</v>
      </c>
      <c r="BI46" s="1">
        <f>BI41+1</f>
        <v>5</v>
      </c>
      <c r="BJ46" s="1">
        <v>8</v>
      </c>
      <c r="BK46" s="2">
        <f>$H$30*H47</f>
        <v>6.6650104539749436E-5</v>
      </c>
      <c r="BQ46" s="1">
        <f t="shared" si="29"/>
        <v>9</v>
      </c>
      <c r="BR46" s="1">
        <v>7</v>
      </c>
      <c r="BS46" s="2">
        <f t="shared" si="30"/>
        <v>1.1883867573573395E-6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7.8580212630425183E-4</v>
      </c>
      <c r="I47" s="24">
        <v>8</v>
      </c>
      <c r="J47" s="23">
        <f t="shared" si="27"/>
        <v>7.5191985132333821E-6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3.3297455583473279E-8</v>
      </c>
      <c r="S47" s="16">
        <v>8</v>
      </c>
      <c r="T47" s="15">
        <f t="shared" si="31"/>
        <v>0</v>
      </c>
      <c r="U47" s="24">
        <v>8</v>
      </c>
      <c r="V47" s="23">
        <f>T47*R39+T46*R40+T45*R41+T44*R42+T43*R43+T42*R44+T41*R45+T40*R46+T39*R47</f>
        <v>4.9812259550623249E-3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3.5286314881268125E-6</v>
      </c>
      <c r="AP47" s="10">
        <v>8</v>
      </c>
      <c r="AQ47" s="9">
        <f>((($W$39)^Q47)*((1-($W$39))^($U$34-Q47))*HLOOKUP($U$34,$AV$24:$BF$34,Q47+1))*V48</f>
        <v>2.9269624564300944E-6</v>
      </c>
      <c r="AR47" s="10">
        <v>8</v>
      </c>
      <c r="AS47" s="9">
        <f>((($W$39)^Q47)*((1-($W$39))^($U$35-Q47))*HLOOKUP($U$35,$AV$24:$BF$34,Q47+1))*V49</f>
        <v>1.0636045686764747E-6</v>
      </c>
      <c r="AV47" s="29">
        <v>9</v>
      </c>
      <c r="BE47" s="1">
        <v>1</v>
      </c>
      <c r="BF47" s="1">
        <f t="shared" si="32"/>
        <v>10</v>
      </c>
      <c r="BI47" s="1">
        <f>BI42+1</f>
        <v>5</v>
      </c>
      <c r="BJ47" s="1">
        <v>9</v>
      </c>
      <c r="BK47" s="2">
        <f>$H$30*H48</f>
        <v>8.9238117768521164E-6</v>
      </c>
      <c r="BQ47" s="1">
        <f>BM12+1</f>
        <v>9</v>
      </c>
      <c r="BR47" s="1">
        <v>8</v>
      </c>
      <c r="BS47" s="2">
        <f t="shared" si="30"/>
        <v>2.1899525410637572E-7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1.0521139190122686E-4</v>
      </c>
      <c r="I48" s="24">
        <v>9</v>
      </c>
      <c r="J48" s="23">
        <f t="shared" si="27"/>
        <v>3.805211673489732E-7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5.8797315937317225E-10</v>
      </c>
      <c r="S48" s="16">
        <v>9</v>
      </c>
      <c r="T48" s="15">
        <f t="shared" si="31"/>
        <v>0</v>
      </c>
      <c r="U48" s="24">
        <v>9</v>
      </c>
      <c r="V48" s="23">
        <f>T48*R39+T47*R40+T46*R41+T45*R42+T44*R43+T43*R44+T42*R45+T41*R46+T40*R47+T39*R48</f>
        <v>7.701798798322669E-4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2.2036671095168353E-7</v>
      </c>
      <c r="AR48" s="10">
        <v>9</v>
      </c>
      <c r="AS48" s="9">
        <f>((($W$39)^Q48)*((1-($W$39))^($U$35-Q48))*HLOOKUP($U$35,$AV$24:$BF$34,Q48+1))*V49</f>
        <v>1.6015445639728967E-7</v>
      </c>
      <c r="AV48" s="22">
        <v>10</v>
      </c>
      <c r="BF48" s="1">
        <f t="shared" si="32"/>
        <v>1</v>
      </c>
      <c r="BI48" s="1">
        <f>BI43+1</f>
        <v>5</v>
      </c>
      <c r="BJ48" s="1">
        <v>10</v>
      </c>
      <c r="BK48" s="2">
        <f>$H$30*H49</f>
        <v>8.7085058948205059E-7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1.0267294397118122E-5</v>
      </c>
      <c r="I49" s="14">
        <v>10</v>
      </c>
      <c r="J49" s="13">
        <f t="shared" si="27"/>
        <v>1.0852014739954554E-8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4.6721466712215312E-12</v>
      </c>
      <c r="S49" s="16">
        <v>10</v>
      </c>
      <c r="T49" s="15">
        <f t="shared" si="31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9.3901557623010667E-5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1.0852014739954554E-8</v>
      </c>
      <c r="BI49" s="1">
        <f>BQ14+1</f>
        <v>6</v>
      </c>
      <c r="BJ49" s="1">
        <v>0</v>
      </c>
      <c r="BK49" s="2">
        <f>$H$31*H39</f>
        <v>3.2484729755881138E-3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1.3129341034952762E-4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2.4194677014009967E-5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3.2394359343576063E-6</v>
      </c>
    </row>
    <row r="53" spans="1:63" x14ac:dyDescent="0.25">
      <c r="BI53" s="1">
        <f>BI48+1</f>
        <v>6</v>
      </c>
      <c r="BJ53" s="1">
        <v>10</v>
      </c>
      <c r="BK53" s="2">
        <f>$H$31*H49</f>
        <v>3.1612776732274286E-7</v>
      </c>
    </row>
    <row r="54" spans="1:63" x14ac:dyDescent="0.25">
      <c r="BI54" s="1">
        <f>BI51+1</f>
        <v>7</v>
      </c>
      <c r="BJ54" s="1">
        <v>8</v>
      </c>
      <c r="BK54" s="2">
        <f>$H$32*H47</f>
        <v>6.6289875898162485E-6</v>
      </c>
    </row>
    <row r="55" spans="1:63" x14ac:dyDescent="0.25">
      <c r="BI55" s="1">
        <f>BI52+1</f>
        <v>7</v>
      </c>
      <c r="BJ55" s="1">
        <v>9</v>
      </c>
      <c r="BK55" s="2">
        <f>$H$32*H48</f>
        <v>8.8755806057781707E-7</v>
      </c>
    </row>
    <row r="56" spans="1:63" x14ac:dyDescent="0.25">
      <c r="BI56" s="1">
        <f>BI53+1</f>
        <v>7</v>
      </c>
      <c r="BJ56" s="1">
        <v>10</v>
      </c>
      <c r="BK56" s="2">
        <f>$H$32*H49</f>
        <v>8.6614384030227655E-8</v>
      </c>
    </row>
    <row r="57" spans="1:63" x14ac:dyDescent="0.25">
      <c r="BI57" s="1">
        <f>BI55+1</f>
        <v>8</v>
      </c>
      <c r="BJ57" s="1">
        <v>9</v>
      </c>
      <c r="BK57" s="2">
        <f>$H$33*H48</f>
        <v>1.8507323062035612E-7</v>
      </c>
    </row>
    <row r="58" spans="1:63" x14ac:dyDescent="0.25">
      <c r="BI58" s="1">
        <f>BI56+1</f>
        <v>8</v>
      </c>
      <c r="BJ58" s="1">
        <v>10</v>
      </c>
      <c r="BK58" s="2">
        <f>$H$33*H49</f>
        <v>1.8060794648443144E-8</v>
      </c>
    </row>
    <row r="59" spans="1:63" x14ac:dyDescent="0.25">
      <c r="BI59" s="1">
        <f>BI58+1</f>
        <v>9</v>
      </c>
      <c r="BJ59" s="1">
        <v>10</v>
      </c>
      <c r="BK59" s="2">
        <f>$H$34*H49</f>
        <v>2.8613930533082662E-9</v>
      </c>
    </row>
  </sheetData>
  <mergeCells count="1">
    <mergeCell ref="B3:C3"/>
  </mergeCells>
  <conditionalFormatting sqref="H49">
    <cfRule type="cellIs" dxfId="136" priority="1" operator="greaterThan">
      <formula>0.15</formula>
    </cfRule>
  </conditionalFormatting>
  <conditionalFormatting sqref="H39:H49">
    <cfRule type="cellIs" dxfId="135" priority="2" operator="greaterThan">
      <formula>0.15</formula>
    </cfRule>
  </conditionalFormatting>
  <conditionalFormatting sqref="H49">
    <cfRule type="cellIs" dxfId="134" priority="3" operator="greaterThan">
      <formula>0.15</formula>
    </cfRule>
  </conditionalFormatting>
  <conditionalFormatting sqref="H39:H49">
    <cfRule type="cellIs" dxfId="133" priority="4" operator="greaterThan">
      <formula>0.15</formula>
    </cfRule>
  </conditionalFormatting>
  <conditionalFormatting sqref="H35">
    <cfRule type="cellIs" dxfId="132" priority="5" operator="greaterThan">
      <formula>0.15</formula>
    </cfRule>
  </conditionalFormatting>
  <conditionalFormatting sqref="H25:H35">
    <cfRule type="cellIs" dxfId="131" priority="6" operator="greaterThan">
      <formula>0.15</formula>
    </cfRule>
  </conditionalFormatting>
  <conditionalFormatting sqref="H35">
    <cfRule type="cellIs" dxfId="130" priority="7" operator="greaterThan">
      <formula>0.15</formula>
    </cfRule>
  </conditionalFormatting>
  <conditionalFormatting sqref="H25:H35">
    <cfRule type="cellIs" dxfId="129" priority="8" operator="greaterThan">
      <formula>0.15</formula>
    </cfRule>
  </conditionalFormatting>
  <conditionalFormatting sqref="V49">
    <cfRule type="cellIs" dxfId="128" priority="9" operator="greaterThan">
      <formula>0.15</formula>
    </cfRule>
  </conditionalFormatting>
  <conditionalFormatting sqref="V35">
    <cfRule type="cellIs" dxfId="127" priority="10" operator="greaterThan">
      <formula>0.15</formula>
    </cfRule>
  </conditionalFormatting>
  <conditionalFormatting sqref="V25:V35 V39:V49">
    <cfRule type="cellIs" dxfId="126" priority="11" operator="greaterThan">
      <formula>0.15</formula>
    </cfRule>
  </conditionalFormatting>
  <conditionalFormatting sqref="V49">
    <cfRule type="cellIs" dxfId="125" priority="12" operator="greaterThan">
      <formula>0.15</formula>
    </cfRule>
  </conditionalFormatting>
  <conditionalFormatting sqref="V35">
    <cfRule type="cellIs" dxfId="124" priority="13" operator="greaterThan">
      <formula>0.15</formula>
    </cfRule>
  </conditionalFormatting>
  <conditionalFormatting sqref="V25:V35 V39:V49">
    <cfRule type="cellIs" dxfId="123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C336-5728-412B-B3FD-31CC66E228A3}">
  <sheetPr>
    <tabColor theme="5" tint="0.59999389629810485"/>
  </sheetPr>
  <dimension ref="A1:BS59"/>
  <sheetViews>
    <sheetView zoomScale="90" zoomScaleNormal="90" workbookViewId="0">
      <selection activeCell="F11" sqref="F11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121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1</v>
      </c>
      <c r="Q1" s="4">
        <f>COUNTIF(F10:H10,"CAB")+COUNTIF(E9:I9,"CAB")</f>
        <v>2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463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1.0422920471476871</v>
      </c>
      <c r="U2" s="159">
        <f>SUM(U4:U16)</f>
        <v>0.87216477471062492</v>
      </c>
      <c r="V2" s="4"/>
      <c r="W2" s="4"/>
      <c r="X2" s="158">
        <f>SUM(X4:X16)</f>
        <v>0.57653610900659014</v>
      </c>
      <c r="Y2" s="157">
        <f>SUM(Y4:Y16)</f>
        <v>0.46785124716951876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93</v>
      </c>
      <c r="F4" s="143" t="s">
        <v>87</v>
      </c>
      <c r="G4" s="143" t="s">
        <v>87</v>
      </c>
      <c r="H4" s="143" t="s">
        <v>87</v>
      </c>
      <c r="I4" s="143" t="s">
        <v>93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2</v>
      </c>
      <c r="Q4" s="126">
        <f>COUNTIF(E8:I9,"IMP")</f>
        <v>1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0.15540084989057323</v>
      </c>
      <c r="U4" s="124">
        <f t="shared" ref="U4:U9" si="4">IF(S4=0,0,S4*Q4^2.7/(P4^2.7+Q4^2.7)*Q4/L4)</f>
        <v>1.1957555510739447E-2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8.8578484437626739E-2</v>
      </c>
      <c r="Y4" s="121">
        <f t="shared" si="5"/>
        <v>6.8158066411214847E-3</v>
      </c>
      <c r="Z4" s="146"/>
      <c r="AA4" s="120">
        <f t="shared" ref="AA4:AA16" si="6">X4</f>
        <v>8.8578484437626739E-2</v>
      </c>
      <c r="AB4" s="119">
        <f t="shared" ref="AB4:AB16" si="7">1-AA4</f>
        <v>0.91142151556237327</v>
      </c>
      <c r="AC4" s="119">
        <f>PRODUCT(AB5:AB16)*AA4</f>
        <v>5.2426788850458657E-2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6.8158066411214847E-3</v>
      </c>
      <c r="AH4" s="117">
        <f t="shared" ref="AH4:AH16" si="9">(1-AG4)</f>
        <v>0.99318419335887853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4.3537283115307277E-3</v>
      </c>
      <c r="BM4" s="1">
        <v>0</v>
      </c>
      <c r="BN4" s="1">
        <v>0</v>
      </c>
      <c r="BO4" s="2">
        <f>H25*H39</f>
        <v>1.6666182514711936E-3</v>
      </c>
      <c r="BQ4" s="1">
        <v>1</v>
      </c>
      <c r="BR4" s="1">
        <v>0</v>
      </c>
      <c r="BS4" s="2">
        <f>$H$26*H39</f>
        <v>7.7962364985312395E-3</v>
      </c>
    </row>
    <row r="5" spans="1:71" ht="15.75" x14ac:dyDescent="0.25">
      <c r="A5" s="65" t="s">
        <v>97</v>
      </c>
      <c r="B5" s="145">
        <v>352</v>
      </c>
      <c r="C5" s="145">
        <v>352</v>
      </c>
      <c r="D5" s="1" t="s">
        <v>467</v>
      </c>
      <c r="E5" s="143" t="s">
        <v>3</v>
      </c>
      <c r="F5" s="143" t="s">
        <v>94</v>
      </c>
      <c r="G5" s="143" t="s">
        <v>3</v>
      </c>
      <c r="H5" s="143" t="s">
        <v>93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4</v>
      </c>
      <c r="R5" s="96">
        <f t="shared" si="1"/>
        <v>0.35</v>
      </c>
      <c r="S5" s="96">
        <f t="shared" si="2"/>
        <v>0.41840390879478823</v>
      </c>
      <c r="T5" s="125">
        <f t="shared" si="3"/>
        <v>1.2099801568398404E-3</v>
      </c>
      <c r="U5" s="124">
        <f t="shared" si="4"/>
        <v>0.20436203377003476</v>
      </c>
      <c r="V5" s="123">
        <f>$G$17</f>
        <v>0.56999999999999995</v>
      </c>
      <c r="W5" s="117">
        <f>$H$17</f>
        <v>0.56999999999999995</v>
      </c>
      <c r="X5" s="122">
        <f t="shared" si="5"/>
        <v>6.8968868939870895E-4</v>
      </c>
      <c r="Y5" s="121">
        <f t="shared" si="5"/>
        <v>0.1164863592489198</v>
      </c>
      <c r="Z5" s="102"/>
      <c r="AA5" s="120">
        <f t="shared" si="6"/>
        <v>6.8968868939870895E-4</v>
      </c>
      <c r="AB5" s="119">
        <f t="shared" si="7"/>
        <v>0.99931031131060133</v>
      </c>
      <c r="AC5" s="119">
        <f>PRODUCT(AB6:AB16)*AA5*PRODUCT(AB4)</f>
        <v>3.7230341882986818E-4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2.1027348610276172E-4</v>
      </c>
      <c r="AF5" s="100"/>
      <c r="AG5" s="118">
        <f t="shared" si="8"/>
        <v>0.1164863592489198</v>
      </c>
      <c r="AH5" s="117">
        <f t="shared" si="9"/>
        <v>0.88351364075108019</v>
      </c>
      <c r="AI5" s="117">
        <f>AG5*PRODUCT(AH3:AH4)*PRODUCT(AH6:AH17)</f>
        <v>8.0883398419910685E-2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1.9695630631474413E-2</v>
      </c>
      <c r="AL5" s="98"/>
      <c r="AN5" s="97"/>
      <c r="AO5" s="96"/>
      <c r="BI5" s="1">
        <v>0</v>
      </c>
      <c r="BJ5" s="1">
        <v>2</v>
      </c>
      <c r="BK5" s="2">
        <f t="shared" si="10"/>
        <v>5.2335553255025919E-3</v>
      </c>
      <c r="BM5" s="1">
        <v>1</v>
      </c>
      <c r="BN5" s="1">
        <v>1</v>
      </c>
      <c r="BO5" s="2">
        <f>$H$26*H40</f>
        <v>2.0366208960619511E-2</v>
      </c>
      <c r="BQ5" s="1">
        <f>BQ4+1</f>
        <v>2</v>
      </c>
      <c r="BR5" s="1">
        <v>0</v>
      </c>
      <c r="BS5" s="2">
        <f>$H$27*H39</f>
        <v>1.6718249109545794E-2</v>
      </c>
    </row>
    <row r="6" spans="1:71" ht="15.75" x14ac:dyDescent="0.25">
      <c r="A6" s="144" t="s">
        <v>95</v>
      </c>
      <c r="B6" s="135">
        <v>12.75</v>
      </c>
      <c r="C6" s="134">
        <v>11</v>
      </c>
      <c r="D6" s="1" t="s">
        <v>468</v>
      </c>
      <c r="E6" s="142"/>
      <c r="F6" s="143" t="s">
        <v>87</v>
      </c>
      <c r="G6" s="143" t="s">
        <v>87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3</v>
      </c>
      <c r="Q6" s="126">
        <f>COUNTIF(E9:I11,"IMP")</f>
        <v>5</v>
      </c>
      <c r="R6" s="96">
        <f t="shared" si="1"/>
        <v>0.45</v>
      </c>
      <c r="S6" s="96">
        <f t="shared" si="2"/>
        <v>0.53794788273615635</v>
      </c>
      <c r="T6" s="125">
        <f t="shared" si="3"/>
        <v>2.4968994735339551E-2</v>
      </c>
      <c r="U6" s="124">
        <f t="shared" si="4"/>
        <v>0.16528804059603266</v>
      </c>
      <c r="V6" s="123">
        <f>$G$18</f>
        <v>0.45</v>
      </c>
      <c r="W6" s="117">
        <f>$H$18</f>
        <v>0.45</v>
      </c>
      <c r="X6" s="122">
        <f t="shared" si="5"/>
        <v>1.1236047630902798E-2</v>
      </c>
      <c r="Y6" s="121">
        <f t="shared" si="5"/>
        <v>7.4379618268214695E-2</v>
      </c>
      <c r="Z6" s="102"/>
      <c r="AA6" s="120">
        <f t="shared" si="6"/>
        <v>1.1236047630902798E-2</v>
      </c>
      <c r="AB6" s="119">
        <f t="shared" si="7"/>
        <v>0.9887639523690972</v>
      </c>
      <c r="AC6" s="119">
        <f>PRODUCT(AB7:AB16)*AA6*PRODUCT(AB4:AB5)</f>
        <v>6.1300672066341641E-3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3.3925441442764605E-3</v>
      </c>
      <c r="AF6" s="100"/>
      <c r="AG6" s="118">
        <f t="shared" si="8"/>
        <v>7.4379618268214695E-2</v>
      </c>
      <c r="AH6" s="117">
        <f t="shared" si="9"/>
        <v>0.92562038173178529</v>
      </c>
      <c r="AI6" s="117">
        <f>AG6*PRODUCT(AH3:AH5)*PRODUCT(AH7:AH17)</f>
        <v>4.9296786947735378E-2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8.0427689736937615E-3</v>
      </c>
      <c r="AL6" s="98"/>
      <c r="AN6" s="97"/>
      <c r="AO6" s="96"/>
      <c r="BI6" s="1">
        <v>0</v>
      </c>
      <c r="BJ6" s="1">
        <v>3</v>
      </c>
      <c r="BK6" s="2">
        <f t="shared" si="10"/>
        <v>3.9103408799069338E-3</v>
      </c>
      <c r="BM6" s="1">
        <f>BI14+1</f>
        <v>2</v>
      </c>
      <c r="BN6" s="1">
        <v>2</v>
      </c>
      <c r="BO6" s="2">
        <f>$H$27*H41</f>
        <v>5.2499054047383725E-2</v>
      </c>
      <c r="BQ6" s="1">
        <f>BM5+1</f>
        <v>2</v>
      </c>
      <c r="BR6" s="1">
        <v>1</v>
      </c>
      <c r="BS6" s="2">
        <f>$H$27*H40</f>
        <v>4.3673297351208666E-2</v>
      </c>
    </row>
    <row r="7" spans="1:71" ht="15.75" x14ac:dyDescent="0.25">
      <c r="A7" s="141" t="s">
        <v>92</v>
      </c>
      <c r="B7" s="135">
        <v>15.25</v>
      </c>
      <c r="C7" s="134">
        <v>15.25</v>
      </c>
      <c r="D7" s="1" t="s">
        <v>468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3</v>
      </c>
      <c r="R7" s="96">
        <f t="shared" si="1"/>
        <v>0.04</v>
      </c>
      <c r="S7" s="96">
        <f t="shared" si="2"/>
        <v>4.7817589576547234E-2</v>
      </c>
      <c r="T7" s="125">
        <f t="shared" si="3"/>
        <v>2.997251822684593E-3</v>
      </c>
      <c r="U7" s="124">
        <f t="shared" si="4"/>
        <v>1.3435718357178324E-2</v>
      </c>
      <c r="V7" s="123">
        <f>$G$18</f>
        <v>0.45</v>
      </c>
      <c r="W7" s="117">
        <f>$H$18</f>
        <v>0.45</v>
      </c>
      <c r="X7" s="122">
        <f t="shared" si="5"/>
        <v>1.3487633202080669E-3</v>
      </c>
      <c r="Y7" s="121">
        <f t="shared" si="5"/>
        <v>6.0460732607302463E-3</v>
      </c>
      <c r="Z7" s="102"/>
      <c r="AA7" s="120">
        <f t="shared" si="6"/>
        <v>1.3487633202080669E-3</v>
      </c>
      <c r="AB7" s="119">
        <f t="shared" si="7"/>
        <v>0.99865123667979194</v>
      </c>
      <c r="AC7" s="119">
        <f>PRODUCT(AB8:AB$16)*AA7*PRODUCT(AB$4:AB6)</f>
        <v>7.2856145650378027E-4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4.0222153053840089E-4</v>
      </c>
      <c r="AF7" s="100"/>
      <c r="AG7" s="118">
        <f t="shared" si="8"/>
        <v>6.0460732607302463E-3</v>
      </c>
      <c r="AH7" s="117">
        <f t="shared" si="9"/>
        <v>0.99395392673926974</v>
      </c>
      <c r="AI7" s="117">
        <f>AG7*PRODUCT(AH3:AH6)*PRODUCT(AH8:AH17)</f>
        <v>3.7316828722836078E-3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5.8612465360432012E-4</v>
      </c>
      <c r="AL7" s="98"/>
      <c r="AN7" s="97"/>
      <c r="AO7" s="96"/>
      <c r="BI7" s="1">
        <v>0</v>
      </c>
      <c r="BJ7" s="1">
        <v>4</v>
      </c>
      <c r="BK7" s="2">
        <f t="shared" si="10"/>
        <v>2.0712872277115824E-3</v>
      </c>
      <c r="BM7" s="1">
        <f>BI23+1</f>
        <v>3</v>
      </c>
      <c r="BN7" s="1">
        <v>3</v>
      </c>
      <c r="BO7" s="2">
        <f>$H$28*H42</f>
        <v>5.1294560814870674E-2</v>
      </c>
      <c r="BQ7" s="1">
        <f>BQ5+1</f>
        <v>3</v>
      </c>
      <c r="BR7" s="1">
        <v>0</v>
      </c>
      <c r="BS7" s="2">
        <f>$H$28*H39</f>
        <v>2.1862148053265678E-2</v>
      </c>
    </row>
    <row r="8" spans="1:71" ht="15.75" x14ac:dyDescent="0.25">
      <c r="A8" s="141" t="s">
        <v>90</v>
      </c>
      <c r="B8" s="135">
        <v>14.25</v>
      </c>
      <c r="C8" s="134">
        <v>15.25</v>
      </c>
      <c r="D8" s="1" t="s">
        <v>468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4</v>
      </c>
      <c r="Q8" s="126">
        <f>COUNTIF(E10:I11,"RAP")</f>
        <v>0</v>
      </c>
      <c r="R8" s="96">
        <f t="shared" si="1"/>
        <v>0.5</v>
      </c>
      <c r="S8" s="96">
        <f t="shared" si="2"/>
        <v>0.59771986970684043</v>
      </c>
      <c r="T8" s="125">
        <f t="shared" si="3"/>
        <v>0.29885993485342022</v>
      </c>
      <c r="U8" s="124">
        <f t="shared" si="4"/>
        <v>0</v>
      </c>
      <c r="V8" s="123">
        <f>$G$17</f>
        <v>0.56999999999999995</v>
      </c>
      <c r="W8" s="117">
        <f>$H$17</f>
        <v>0.56999999999999995</v>
      </c>
      <c r="X8" s="122">
        <f t="shared" si="5"/>
        <v>0.17035016286644952</v>
      </c>
      <c r="Y8" s="121">
        <f t="shared" si="5"/>
        <v>0</v>
      </c>
      <c r="Z8" s="102"/>
      <c r="AA8" s="120">
        <f t="shared" si="6"/>
        <v>0.17035016286644952</v>
      </c>
      <c r="AB8" s="119">
        <f t="shared" si="7"/>
        <v>0.82964983713355045</v>
      </c>
      <c r="AC8" s="119">
        <f>PRODUCT(AB9:AB$16)*AA8*PRODUCT(AB$4:AB7)</f>
        <v>0.11076231139225359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3.840666969385343E-2</v>
      </c>
      <c r="AF8" s="100"/>
      <c r="AG8" s="118">
        <f t="shared" si="8"/>
        <v>0</v>
      </c>
      <c r="AH8" s="117">
        <f t="shared" si="9"/>
        <v>1</v>
      </c>
      <c r="AI8" s="117">
        <f>AG8*PRODUCT(AH3:AH7)*PRODUCT(AH9:AH17)</f>
        <v>0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L8" s="98"/>
      <c r="AN8" s="97"/>
      <c r="AO8" s="96"/>
      <c r="BI8" s="1">
        <v>0</v>
      </c>
      <c r="BJ8" s="1">
        <v>5</v>
      </c>
      <c r="BK8" s="2">
        <f t="shared" si="10"/>
        <v>8.3675415085480856E-4</v>
      </c>
      <c r="BM8" s="1">
        <f>BI31+1</f>
        <v>4</v>
      </c>
      <c r="BN8" s="1">
        <v>4</v>
      </c>
      <c r="BO8" s="2">
        <f>$H$29*H43</f>
        <v>2.435297992426827E-2</v>
      </c>
      <c r="BQ8" s="1">
        <f>BQ6+1</f>
        <v>3</v>
      </c>
      <c r="BR8" s="1">
        <v>1</v>
      </c>
      <c r="BS8" s="2">
        <f>$H$28*H40</f>
        <v>5.7110770775705935E-2</v>
      </c>
    </row>
    <row r="9" spans="1:71" ht="15.75" x14ac:dyDescent="0.25">
      <c r="A9" s="141" t="s">
        <v>88</v>
      </c>
      <c r="B9" s="135">
        <v>14.75</v>
      </c>
      <c r="C9" s="134">
        <v>16</v>
      </c>
      <c r="D9" s="1" t="s">
        <v>466</v>
      </c>
      <c r="E9" s="140" t="s">
        <v>3</v>
      </c>
      <c r="F9" s="140" t="s">
        <v>87</v>
      </c>
      <c r="G9" s="140" t="s">
        <v>93</v>
      </c>
      <c r="H9" s="140" t="s">
        <v>87</v>
      </c>
      <c r="I9" s="140" t="s">
        <v>94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4</v>
      </c>
      <c r="Q9" s="126">
        <f>COUNTIF(E10:I11,"RAP")</f>
        <v>0</v>
      </c>
      <c r="R9" s="96">
        <f t="shared" si="1"/>
        <v>0.5</v>
      </c>
      <c r="S9" s="96">
        <f t="shared" si="2"/>
        <v>0.59771986970684043</v>
      </c>
      <c r="T9" s="125">
        <f t="shared" si="3"/>
        <v>0.29885993485342022</v>
      </c>
      <c r="U9" s="124">
        <f t="shared" si="4"/>
        <v>0</v>
      </c>
      <c r="V9" s="123">
        <f>$G$17</f>
        <v>0.56999999999999995</v>
      </c>
      <c r="W9" s="117">
        <f>$H$17</f>
        <v>0.56999999999999995</v>
      </c>
      <c r="X9" s="122">
        <f t="shared" si="5"/>
        <v>0.17035016286644952</v>
      </c>
      <c r="Y9" s="121">
        <f t="shared" si="5"/>
        <v>0</v>
      </c>
      <c r="Z9" s="102"/>
      <c r="AA9" s="120">
        <f t="shared" si="6"/>
        <v>0.17035016286644952</v>
      </c>
      <c r="AB9" s="119">
        <f t="shared" si="7"/>
        <v>0.82964983713355045</v>
      </c>
      <c r="AC9" s="119">
        <f>PRODUCT(AB10:AB$16)*AA9*PRODUCT(AB$4:AB8)</f>
        <v>0.11076231139225357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1.5664089703329654E-2</v>
      </c>
      <c r="AF9" s="100"/>
      <c r="AG9" s="118">
        <f t="shared" si="8"/>
        <v>0</v>
      </c>
      <c r="AH9" s="117">
        <f t="shared" si="9"/>
        <v>1</v>
      </c>
      <c r="AI9" s="117">
        <f>AG9*PRODUCT(AH3:AH8)*PRODUCT(AH10:AH17)</f>
        <v>0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L9" s="98"/>
      <c r="AN9" s="97"/>
      <c r="AO9" s="96"/>
      <c r="BI9" s="1">
        <v>0</v>
      </c>
      <c r="BJ9" s="1">
        <v>6</v>
      </c>
      <c r="BK9" s="2">
        <f t="shared" si="10"/>
        <v>2.6718311386792263E-4</v>
      </c>
      <c r="BM9" s="1">
        <f>BI38+1</f>
        <v>5</v>
      </c>
      <c r="BN9" s="1">
        <v>5</v>
      </c>
      <c r="BO9" s="2">
        <f>$H$30*H44</f>
        <v>6.451645143405081E-3</v>
      </c>
      <c r="BQ9" s="1">
        <f>BM6+1</f>
        <v>3</v>
      </c>
      <c r="BR9" s="1">
        <v>2</v>
      </c>
      <c r="BS9" s="2">
        <f>$H$28*H41</f>
        <v>6.8652051104141118E-2</v>
      </c>
    </row>
    <row r="10" spans="1:71" ht="15.75" x14ac:dyDescent="0.25">
      <c r="A10" s="138" t="s">
        <v>85</v>
      </c>
      <c r="B10" s="135">
        <v>16.75</v>
      </c>
      <c r="C10" s="134">
        <v>14.5</v>
      </c>
      <c r="D10" s="1" t="s">
        <v>468</v>
      </c>
      <c r="E10" s="140" t="s">
        <v>93</v>
      </c>
      <c r="F10" s="140" t="s">
        <v>93</v>
      </c>
      <c r="G10" s="140" t="s">
        <v>131</v>
      </c>
      <c r="H10" s="140" t="s">
        <v>94</v>
      </c>
      <c r="I10" s="140" t="s">
        <v>93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0.12193485342019544</v>
      </c>
      <c r="U10" s="124">
        <f>S10*G14</f>
        <v>0.1051986970684039</v>
      </c>
      <c r="V10" s="123">
        <f>$G$18</f>
        <v>0.45</v>
      </c>
      <c r="W10" s="117">
        <f>$H$18</f>
        <v>0.45</v>
      </c>
      <c r="X10" s="122">
        <f t="shared" si="5"/>
        <v>5.4870684039087951E-2</v>
      </c>
      <c r="Y10" s="121">
        <f t="shared" si="5"/>
        <v>4.7339413680781754E-2</v>
      </c>
      <c r="Z10" s="102"/>
      <c r="AA10" s="120">
        <f t="shared" si="6"/>
        <v>5.4870684039087951E-2</v>
      </c>
      <c r="AB10" s="119">
        <f t="shared" si="7"/>
        <v>0.9451293159609121</v>
      </c>
      <c r="AC10" s="119">
        <f>PRODUCT(AB11:AB$16)*AA10*PRODUCT(AB$4:AB9)</f>
        <v>3.1317957413098861E-2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2.6108053485527751E-3</v>
      </c>
      <c r="AF10" s="100"/>
      <c r="AG10" s="118">
        <f t="shared" si="8"/>
        <v>4.7339413680781754E-2</v>
      </c>
      <c r="AH10" s="117">
        <f t="shared" si="9"/>
        <v>0.95266058631921824</v>
      </c>
      <c r="AI10" s="117">
        <f>AG10*PRODUCT(AH3:AH9)*PRODUCT(AH11:AH17)</f>
        <v>3.0484723100681396E-2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3.2733068506956694E-3</v>
      </c>
      <c r="AL10" s="98"/>
      <c r="AN10" s="97"/>
      <c r="AO10" s="96"/>
      <c r="BI10" s="1">
        <v>0</v>
      </c>
      <c r="BJ10" s="1">
        <v>7</v>
      </c>
      <c r="BK10" s="2">
        <f t="shared" si="10"/>
        <v>6.7803236494870251E-5</v>
      </c>
      <c r="BM10" s="1">
        <f>BI44+1</f>
        <v>6</v>
      </c>
      <c r="BN10" s="1">
        <v>6</v>
      </c>
      <c r="BO10" s="2">
        <f>$H$31*H45</f>
        <v>1.0311652837261532E-3</v>
      </c>
      <c r="BQ10" s="1">
        <f>BQ7+1</f>
        <v>4</v>
      </c>
      <c r="BR10" s="1">
        <v>0</v>
      </c>
      <c r="BS10" s="2">
        <f>$H$29*H39</f>
        <v>1.9595119535564792E-2</v>
      </c>
    </row>
    <row r="11" spans="1:71" ht="15.75" x14ac:dyDescent="0.25">
      <c r="A11" s="138" t="s">
        <v>82</v>
      </c>
      <c r="B11" s="135">
        <v>14.5</v>
      </c>
      <c r="C11" s="134">
        <v>11.75</v>
      </c>
      <c r="D11" s="1" t="s">
        <v>468</v>
      </c>
      <c r="E11" s="139"/>
      <c r="F11" s="140" t="s">
        <v>93</v>
      </c>
      <c r="G11" s="140" t="s">
        <v>87</v>
      </c>
      <c r="H11" s="140" t="s">
        <v>131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1</v>
      </c>
      <c r="Q11" s="126">
        <f>COUNTIF(E9:I11,"CAB")</f>
        <v>2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1.5100731361235402E-2</v>
      </c>
      <c r="U11" s="124">
        <f>IF(Q11&gt;0,IF(P11&gt;0,G14^2.7/(G14^2.7+G13^2.7),1),0)*Q11/L11*S11</f>
        <v>2.0272659608329056E-2</v>
      </c>
      <c r="V11" s="123">
        <f>IF(P11-Q11&gt;3,0.9,IF(P11-Q11=3,0.83,IF(P11-Q11=2,0.75,IF(P11-Q11=1,0.65,IF(P11-Q11=0,0.44,IF(P11-Q11=-1,0.16,IF(P11-Q11&lt;-1,0.05,0.02)))))))</f>
        <v>0.16</v>
      </c>
      <c r="W11" s="117">
        <f>IF(Q11-P11&gt;3,0.9,IF(Q11-P11=3,0.83,IF(Q11-P11=2,0.75,IF(Q11-P11=1,0.65,IF(Q11-P11=0,0.44,IF(Q11-P11=-1,0.16,IF(Q11-P11&lt;-1,0.05,0.02)))))))</f>
        <v>0.65</v>
      </c>
      <c r="X11" s="122">
        <f t="shared" si="5"/>
        <v>2.4161170177976646E-3</v>
      </c>
      <c r="Y11" s="121">
        <f t="shared" si="5"/>
        <v>1.3177228745413886E-2</v>
      </c>
      <c r="Z11" s="102"/>
      <c r="AA11" s="120">
        <f t="shared" si="6"/>
        <v>2.4161170177976646E-3</v>
      </c>
      <c r="AB11" s="119">
        <f t="shared" si="7"/>
        <v>0.99758388298220235</v>
      </c>
      <c r="AC11" s="119">
        <f>PRODUCT(AB12:AB$16)*AA11*PRODUCT(AB$4:AB10)</f>
        <v>1.3065102745933521E-3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1.0575222732518713E-4</v>
      </c>
      <c r="AF11" s="100"/>
      <c r="AG11" s="118">
        <f t="shared" si="8"/>
        <v>1.3177228745413886E-2</v>
      </c>
      <c r="AH11" s="117">
        <f t="shared" si="9"/>
        <v>0.98682277125458606</v>
      </c>
      <c r="AI11" s="117">
        <f>AG11*PRODUCT(AH3:AH10)*PRODUCT(AH12:AH17)</f>
        <v>8.191859599536359E-3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7.7021610217753661E-4</v>
      </c>
      <c r="AL11" s="98"/>
      <c r="AN11" s="97"/>
      <c r="AO11" s="96"/>
      <c r="BI11" s="1">
        <v>0</v>
      </c>
      <c r="BJ11" s="1">
        <v>8</v>
      </c>
      <c r="BK11" s="2">
        <f t="shared" si="10"/>
        <v>1.3455261102353803E-5</v>
      </c>
      <c r="BM11" s="1">
        <f>BI50+1</f>
        <v>7</v>
      </c>
      <c r="BN11" s="1">
        <v>7</v>
      </c>
      <c r="BO11" s="2">
        <f>$H$32*H46</f>
        <v>1.0272506108456499E-4</v>
      </c>
      <c r="BQ11" s="1">
        <f>BQ8+1</f>
        <v>4</v>
      </c>
      <c r="BR11" s="1">
        <v>1</v>
      </c>
      <c r="BS11" s="2">
        <f>$H$29*H40</f>
        <v>5.1188582997041439E-2</v>
      </c>
    </row>
    <row r="12" spans="1:71" ht="15.75" x14ac:dyDescent="0.25">
      <c r="A12" s="138" t="s">
        <v>80</v>
      </c>
      <c r="B12" s="135">
        <v>16.5</v>
      </c>
      <c r="C12" s="134">
        <v>18</v>
      </c>
      <c r="D12" s="1" t="s">
        <v>469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0</v>
      </c>
      <c r="Q12" s="126">
        <f>COUNTIF(F11:H11,"IMP")+COUNTIF(E10,"IMP")+COUNTIF(I10,"IMP")</f>
        <v>3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0</v>
      </c>
      <c r="U12" s="124">
        <f>IF(S12=0,0,S12*Q12^2.7/(P12^2.7+Q12^2.7)*Q12/L12)</f>
        <v>2.8690553745928337E-2</v>
      </c>
      <c r="V12" s="123">
        <f>$G$18</f>
        <v>0.45</v>
      </c>
      <c r="W12" s="117">
        <f>$H$18</f>
        <v>0.45</v>
      </c>
      <c r="X12" s="122">
        <f t="shared" si="5"/>
        <v>0</v>
      </c>
      <c r="Y12" s="121">
        <f t="shared" si="5"/>
        <v>1.2910749185667751E-2</v>
      </c>
      <c r="Z12" s="102"/>
      <c r="AA12" s="120">
        <f t="shared" si="6"/>
        <v>0</v>
      </c>
      <c r="AB12" s="119">
        <f t="shared" si="7"/>
        <v>1</v>
      </c>
      <c r="AC12" s="119">
        <f>PRODUCT(AB13:AB$16)*AA12*PRODUCT(AB$4:AB11)</f>
        <v>0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F12" s="100"/>
      <c r="AG12" s="118">
        <f t="shared" si="8"/>
        <v>1.2910749185667751E-2</v>
      </c>
      <c r="AH12" s="117">
        <f t="shared" si="9"/>
        <v>0.9870892508143323</v>
      </c>
      <c r="AI12" s="117">
        <f>AG12*PRODUCT(AH3:AH11)*PRODUCT(AH13:AH17)</f>
        <v>8.024031029223817E-3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6.4948525087638075E-4</v>
      </c>
      <c r="AL12" s="98"/>
      <c r="AN12" s="97"/>
      <c r="AO12" s="96"/>
      <c r="BI12" s="1">
        <v>0</v>
      </c>
      <c r="BJ12" s="1">
        <v>9</v>
      </c>
      <c r="BK12" s="2">
        <f t="shared" si="10"/>
        <v>2.0273154052824858E-6</v>
      </c>
      <c r="BM12" s="1">
        <f>BI54+1</f>
        <v>8</v>
      </c>
      <c r="BN12" s="1">
        <v>8</v>
      </c>
      <c r="BO12" s="2">
        <f>$H$33*H47</f>
        <v>6.3442804586728292E-6</v>
      </c>
      <c r="BQ12" s="1">
        <f>BQ9+1</f>
        <v>4</v>
      </c>
      <c r="BR12" s="1">
        <v>2</v>
      </c>
      <c r="BS12" s="2">
        <f>$H$29*H41</f>
        <v>6.1533072800977619E-2</v>
      </c>
    </row>
    <row r="13" spans="1:71" ht="15.75" x14ac:dyDescent="0.25">
      <c r="A13" s="136" t="s">
        <v>78</v>
      </c>
      <c r="B13" s="135">
        <v>14.5</v>
      </c>
      <c r="C13" s="134">
        <v>12.75</v>
      </c>
      <c r="D13" s="1" t="s">
        <v>468</v>
      </c>
      <c r="E13" s="4"/>
      <c r="F13" s="4" t="s">
        <v>77</v>
      </c>
      <c r="G13" s="137">
        <f>B22</f>
        <v>0.5368421052631579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1</v>
      </c>
      <c r="Q13" s="126">
        <f>COUNTIF(E10:I11,"CAB")</f>
        <v>1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1.5369939506747324E-2</v>
      </c>
      <c r="U13" s="124">
        <f>IF(P13+Q13=0,0,S13*Q14/4*Q13/L13)</f>
        <v>1.5369939506747324E-2</v>
      </c>
      <c r="V13" s="123">
        <v>1</v>
      </c>
      <c r="W13" s="117">
        <v>1</v>
      </c>
      <c r="X13" s="122">
        <f t="shared" si="5"/>
        <v>1.5369939506747324E-2</v>
      </c>
      <c r="Y13" s="121">
        <f t="shared" si="5"/>
        <v>1.5369939506747324E-2</v>
      </c>
      <c r="Z13" s="102"/>
      <c r="AA13" s="120">
        <f t="shared" si="6"/>
        <v>1.5369939506747324E-2</v>
      </c>
      <c r="AB13" s="119">
        <f t="shared" si="7"/>
        <v>0.98463006049325263</v>
      </c>
      <c r="AC13" s="119">
        <f>PRODUCT(AB14:AB$16)*AA13*PRODUCT(AB$4:AB12)</f>
        <v>8.420606187298587E-3</v>
      </c>
      <c r="AD13" s="119">
        <f>AA13*AA14*PRODUCT(AB3:AB12)*PRODUCT(AB15:AB17)+AA13*AA15*PRODUCT(AB3:AB12)*AB14*PRODUCT(AB16:AB17)+AA13*AA16*PRODUCT(AB3:AB12)*AB14*AB15*AB17+AA13*AA17*PRODUCT(AB3:AB12)*AB14*AB15*AB16</f>
        <v>5.5014053975543573E-4</v>
      </c>
      <c r="AF13" s="100"/>
      <c r="AG13" s="118">
        <f t="shared" si="8"/>
        <v>1.5369939506747324E-2</v>
      </c>
      <c r="AH13" s="117">
        <f t="shared" si="9"/>
        <v>0.98463006049325263</v>
      </c>
      <c r="AI13" s="117">
        <f>AG13*PRODUCT(AH3:AH12)*PRODUCT(AH14:AH17)</f>
        <v>9.5762758001621054E-3</v>
      </c>
      <c r="AJ13" s="117">
        <f>AG13*AG14*PRODUCT(AH3:AH12)*PRODUCT(AH15:AH17)+AG13*AG15*PRODUCT(AH3:AH12)*AH14*PRODUCT(AH16:AH17)+AG13*AG16*PRODUCT(AH3:AH12)*AH14*AH15*AH17+AG13*AG17*PRODUCT(AH3:AH12)*AH14*AH15*AH16</f>
        <v>6.2564350123565384E-4</v>
      </c>
      <c r="AL13" s="98"/>
      <c r="AN13" s="97"/>
      <c r="AO13" s="96"/>
      <c r="BI13" s="1">
        <v>0</v>
      </c>
      <c r="BJ13" s="1">
        <v>10</v>
      </c>
      <c r="BK13" s="2">
        <f t="shared" si="10"/>
        <v>2.2267469435302356E-7</v>
      </c>
      <c r="BM13" s="1">
        <f>BI57+1</f>
        <v>9</v>
      </c>
      <c r="BN13" s="1">
        <v>9</v>
      </c>
      <c r="BO13" s="2">
        <f>$H$34*H48</f>
        <v>2.3348722475951512E-7</v>
      </c>
      <c r="BQ13" s="1">
        <f>BM7+1</f>
        <v>4</v>
      </c>
      <c r="BR13" s="1">
        <v>3</v>
      </c>
      <c r="BS13" s="2">
        <f>$H$29*H42</f>
        <v>4.5975493727458648E-2</v>
      </c>
    </row>
    <row r="14" spans="1:71" ht="15.75" x14ac:dyDescent="0.25">
      <c r="A14" s="136" t="s">
        <v>75</v>
      </c>
      <c r="B14" s="135">
        <v>12</v>
      </c>
      <c r="C14" s="134">
        <v>9.5</v>
      </c>
      <c r="D14" s="1" t="s">
        <v>468</v>
      </c>
      <c r="E14" s="4"/>
      <c r="F14" s="4" t="s">
        <v>74</v>
      </c>
      <c r="G14" s="133">
        <f>C22</f>
        <v>0.4631578947368421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5"/>
        <v>6.1326058631921816E-2</v>
      </c>
      <c r="Z14" s="102"/>
      <c r="AA14" s="120">
        <f t="shared" si="6"/>
        <v>6.1326058631921816E-2</v>
      </c>
      <c r="AB14" s="119">
        <f t="shared" si="7"/>
        <v>0.93867394136807814</v>
      </c>
      <c r="AC14" s="119">
        <f>PRODUCT(AB15:AB$16)*AA14*PRODUCT(AB$4:AB13)</f>
        <v>3.5243138901190116E-2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6.1326058631921816E-2</v>
      </c>
      <c r="AH14" s="117">
        <f t="shared" si="9"/>
        <v>0.93867394136807814</v>
      </c>
      <c r="AI14" s="117">
        <f>AG14*PRODUCT(AH3:AH13)*PRODUCT(AH15:AH17)</f>
        <v>4.0080014511341397E-2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2.4481932205979492E-2</v>
      </c>
      <c r="BM14" s="1">
        <f>BQ39+1</f>
        <v>10</v>
      </c>
      <c r="BN14" s="1">
        <v>10</v>
      </c>
      <c r="BO14" s="2">
        <f>$H$35*H49</f>
        <v>4.7460273088302312E-9</v>
      </c>
      <c r="BQ14" s="1">
        <f>BQ10+1</f>
        <v>5</v>
      </c>
      <c r="BR14" s="1">
        <v>0</v>
      </c>
      <c r="BS14" s="2">
        <f>$H$30*H39</f>
        <v>1.2850165770949523E-2</v>
      </c>
    </row>
    <row r="15" spans="1:71" ht="15.75" x14ac:dyDescent="0.25">
      <c r="A15" s="70" t="s">
        <v>72</v>
      </c>
      <c r="B15" s="132">
        <v>10.5</v>
      </c>
      <c r="C15" s="131">
        <v>11.25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1.8292096743041174E-2</v>
      </c>
      <c r="BQ15" s="1">
        <f>BQ11+1</f>
        <v>5</v>
      </c>
      <c r="BR15" s="1">
        <v>1</v>
      </c>
      <c r="BS15" s="2">
        <f>$H$30*H40</f>
        <v>3.3568653454658877E-2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1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0.2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0.11399999999999999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0.11399999999999999</v>
      </c>
      <c r="AH16" s="117">
        <f t="shared" si="9"/>
        <v>0.88600000000000001</v>
      </c>
      <c r="AI16" s="117">
        <f>AG16*PRODUCT(AH$4:AH15)</f>
        <v>7.8934835311324031E-2</v>
      </c>
      <c r="AJ16" s="117">
        <f>(FACT(2)/(FACT($AD$1)*FACT(2-$AD$1))*AG16^$AD$1*(1-AG16)^(2-$AD$1))</f>
        <v>1.2995999999999997E-2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9.6892285137114599E-3</v>
      </c>
      <c r="BQ16" s="1">
        <f>BQ12+1</f>
        <v>5</v>
      </c>
      <c r="BR16" s="1">
        <v>2</v>
      </c>
      <c r="BS16" s="2">
        <f>$H$30*H41</f>
        <v>4.0352404304211713E-2</v>
      </c>
    </row>
    <row r="17" spans="1:71" x14ac:dyDescent="0.25">
      <c r="A17" s="116" t="s">
        <v>67</v>
      </c>
      <c r="B17" s="115" t="s">
        <v>66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3.914233655747606E-3</v>
      </c>
      <c r="BQ17" s="1">
        <f>BQ13+1</f>
        <v>5</v>
      </c>
      <c r="BR17" s="1">
        <v>3</v>
      </c>
      <c r="BS17" s="2">
        <f>$H$30*H42</f>
        <v>3.0149992947316066E-2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0.53944141913830435</v>
      </c>
      <c r="AC18" s="107">
        <f>SUM(AC4:AC16)</f>
        <v>0.35747055649311449</v>
      </c>
      <c r="AD18" s="107">
        <f>SUM(AD3:AD17)</f>
        <v>6.13424966737341E-2</v>
      </c>
      <c r="AE18" s="107">
        <f>IF((1-AB18-AC18-AD18)&lt;0,(1-AB18-AC18-AD18)-1,1-AB18-AC18-AD18)</f>
        <v>4.1745527694847066E-2</v>
      </c>
      <c r="AF18" s="100"/>
      <c r="AG18" s="4"/>
      <c r="AH18" s="108">
        <f>PRODUCT(AH3:AH17)</f>
        <v>0.61347600075292186</v>
      </c>
      <c r="AI18" s="107">
        <f>SUM(AI3:AI17)</f>
        <v>0.30920360759219878</v>
      </c>
      <c r="AJ18" s="107">
        <f>SUM(AJ3:AJ17)</f>
        <v>4.6639175963757731E-2</v>
      </c>
      <c r="AK18" s="107">
        <f>IF((1-AH18-AI18-AJ18)&lt;0,(1-AH18-AI18-AJ18)-1,(1-AH18-AI18-AJ18))</f>
        <v>3.068121569112163E-2</v>
      </c>
      <c r="AL18" s="98"/>
      <c r="AN18" s="97"/>
      <c r="AO18" s="96"/>
      <c r="BI18" s="1">
        <v>1</v>
      </c>
      <c r="BJ18" s="1">
        <v>6</v>
      </c>
      <c r="BK18" s="2">
        <f t="shared" si="11"/>
        <v>1.2498499535148829E-3</v>
      </c>
      <c r="BQ18" s="1">
        <f>BM8+1</f>
        <v>5</v>
      </c>
      <c r="BR18" s="1">
        <v>4</v>
      </c>
      <c r="BS18" s="2">
        <f>$H$30*H43</f>
        <v>1.5970294464163533E-2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3.1717525390906201E-4</v>
      </c>
      <c r="BQ19" s="1">
        <f>BQ15+1</f>
        <v>6</v>
      </c>
      <c r="BR19" s="1">
        <v>1</v>
      </c>
      <c r="BS19" s="2">
        <f>$H$31*H40</f>
        <v>1.680275906899353E-2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6.2942067033550377E-5</v>
      </c>
      <c r="BQ20" s="1">
        <f>BQ16+1</f>
        <v>6</v>
      </c>
      <c r="BR20" s="1">
        <v>2</v>
      </c>
      <c r="BS20" s="2">
        <f>$H$31*H41</f>
        <v>2.0198359409742284E-2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9.4835337023015645E-6</v>
      </c>
      <c r="BQ21" s="1">
        <f>BQ17+1</f>
        <v>6</v>
      </c>
      <c r="BR21" s="1">
        <v>3</v>
      </c>
      <c r="BS21" s="2">
        <f>$H$31*H42</f>
        <v>1.5091551649811451E-2</v>
      </c>
    </row>
    <row r="22" spans="1:71" x14ac:dyDescent="0.25">
      <c r="A22" s="67" t="s">
        <v>60</v>
      </c>
      <c r="B22" s="74">
        <f>(B6)/((B6)+(C6))</f>
        <v>0.5368421052631579</v>
      </c>
      <c r="C22" s="73">
        <f>1-B22</f>
        <v>0.4631578947368421</v>
      </c>
      <c r="V22" s="52">
        <f>SUM(V25:V35)</f>
        <v>1</v>
      </c>
      <c r="AS22" s="56">
        <f>Y23+AA23+AC23+AE23+AG23+AI23+AK23+AM23+AO23+AQ23+AS23</f>
        <v>1.0000000000000002</v>
      </c>
      <c r="BI22" s="1">
        <v>1</v>
      </c>
      <c r="BJ22" s="1">
        <v>10</v>
      </c>
      <c r="BK22" s="2">
        <f t="shared" si="11"/>
        <v>1.0416450065165606E-6</v>
      </c>
      <c r="BQ22" s="1">
        <f>BQ18+1</f>
        <v>6</v>
      </c>
      <c r="BR22" s="1">
        <v>4</v>
      </c>
      <c r="BS22" s="2">
        <f>$H$31*H43</f>
        <v>7.9939164227922962E-3</v>
      </c>
    </row>
    <row r="23" spans="1:71" ht="15.75" thickBot="1" x14ac:dyDescent="0.3">
      <c r="A23" s="65" t="s">
        <v>59</v>
      </c>
      <c r="B23" s="64">
        <f>((B22^2.8)/((B22^2.8)+(C22^2.8)))*B21</f>
        <v>3.0094912637111522</v>
      </c>
      <c r="C23" s="63">
        <f>B21-B23</f>
        <v>1.9905087362888478</v>
      </c>
      <c r="D23" s="88">
        <f>SUM(D25:D30)</f>
        <v>1</v>
      </c>
      <c r="E23" s="88">
        <f>SUM(E25:E30)</f>
        <v>1</v>
      </c>
      <c r="H23" s="50">
        <f>SUM(H25:H35)</f>
        <v>0.99994408923576117</v>
      </c>
      <c r="I23" s="51"/>
      <c r="J23" s="50">
        <f>SUM(J25:J35)</f>
        <v>1.0000000000000002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0.9933445322080835</v>
      </c>
      <c r="Y23" s="50">
        <f>SUM(Y25:Y35)</f>
        <v>9.8989014010250571E-5</v>
      </c>
      <c r="Z23" s="51"/>
      <c r="AA23" s="50">
        <f>SUM(AA25:AA35)</f>
        <v>1.4976302091665734E-3</v>
      </c>
      <c r="AB23" s="51"/>
      <c r="AC23" s="50">
        <f>SUM(AC25:AC35)</f>
        <v>1.0197616539648673E-2</v>
      </c>
      <c r="AD23" s="51"/>
      <c r="AE23" s="50">
        <f>SUM(AE25:AE35)</f>
        <v>4.1156352824519842E-2</v>
      </c>
      <c r="AF23" s="51"/>
      <c r="AG23" s="50">
        <f>SUM(AG25:AG35)</f>
        <v>0.10903598389066871</v>
      </c>
      <c r="AH23" s="51"/>
      <c r="AI23" s="50">
        <f>SUM(AI25:AI35)</f>
        <v>0.19816817950415114</v>
      </c>
      <c r="AJ23" s="51"/>
      <c r="AK23" s="50">
        <f>SUM(AK25:AK35)</f>
        <v>0.25028544019128796</v>
      </c>
      <c r="AL23" s="51"/>
      <c r="AM23" s="50">
        <f>SUM(AM25:AM35)</f>
        <v>0.21702217784970945</v>
      </c>
      <c r="AN23" s="51"/>
      <c r="AO23" s="50">
        <f>SUM(AO25:AO35)</f>
        <v>0.12378968965599194</v>
      </c>
      <c r="AP23" s="51"/>
      <c r="AQ23" s="50">
        <f>SUM(AQ25:AQ35)</f>
        <v>4.2092472528929073E-2</v>
      </c>
      <c r="AR23" s="51"/>
      <c r="AS23" s="50">
        <f>SUM(AS25:AS35)</f>
        <v>6.6554677919165037E-3</v>
      </c>
      <c r="BI23" s="1">
        <f t="shared" ref="BI23:BI30" si="12">BI15+1</f>
        <v>2</v>
      </c>
      <c r="BJ23" s="1">
        <v>3</v>
      </c>
      <c r="BK23" s="2">
        <f t="shared" ref="BK23:BK30" si="13">$H$27*H42</f>
        <v>3.9225571228333908E-2</v>
      </c>
      <c r="BQ23" s="1">
        <f>BM9+1</f>
        <v>6</v>
      </c>
      <c r="BR23" s="1">
        <v>5</v>
      </c>
      <c r="BS23" s="2">
        <f>$H$31*H44</f>
        <v>3.2293651304691395E-3</v>
      </c>
    </row>
    <row r="24" spans="1:71" ht="15.75" thickBot="1" x14ac:dyDescent="0.3">
      <c r="A24" s="67" t="s">
        <v>58</v>
      </c>
      <c r="B24" s="87">
        <f>B23/B21</f>
        <v>0.60189825274223041</v>
      </c>
      <c r="C24" s="86">
        <f>C23/B21</f>
        <v>0.39810174725776959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2.0777581080571327E-2</v>
      </c>
      <c r="BQ24" s="1">
        <f>BI49+1</f>
        <v>7</v>
      </c>
      <c r="BR24" s="1">
        <v>0</v>
      </c>
      <c r="BS24" s="2">
        <f t="shared" ref="BS24:BS30" si="14">$H$32*H39</f>
        <v>2.5250042702604897E-3</v>
      </c>
    </row>
    <row r="25" spans="1:71" x14ac:dyDescent="0.25">
      <c r="A25" s="67" t="s">
        <v>32</v>
      </c>
      <c r="B25" s="77">
        <f>1/(1+EXP(-3.1416*4*((B11/(B11+C8))-(3.1416/6))))</f>
        <v>0.38818045885043373</v>
      </c>
      <c r="C25" s="73">
        <f>1/(1+EXP(-3.1416*4*((C11/(C11+B8))-(3.1416/6))))</f>
        <v>0.28890237757989906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1.8422993347980206E-2</v>
      </c>
      <c r="I25" s="36">
        <v>0</v>
      </c>
      <c r="J25" s="34">
        <f t="shared" ref="J25:J35" si="15">Y25+AA25+AC25+AE25+AG25+AI25+AK25+AM25+AO25+AQ25+AS25</f>
        <v>3.4151981465214185E-2</v>
      </c>
      <c r="K25" s="36">
        <v>0</v>
      </c>
      <c r="L25" s="34">
        <f>AB18</f>
        <v>0.53944141913830435</v>
      </c>
      <c r="M25" s="17">
        <v>0</v>
      </c>
      <c r="N25" s="32">
        <f>(1-$B$24)^$B$21</f>
        <v>9.9993188834099321E-3</v>
      </c>
      <c r="O25" s="16">
        <v>0</v>
      </c>
      <c r="P25" s="32">
        <f t="shared" ref="P25:P30" si="16">N25</f>
        <v>9.9993188834099321E-3</v>
      </c>
      <c r="Q25" s="10">
        <v>0</v>
      </c>
      <c r="R25" s="11">
        <f>P25*N25</f>
        <v>9.9986378132118446E-5</v>
      </c>
      <c r="S25" s="16">
        <v>0</v>
      </c>
      <c r="T25" s="15">
        <f>(1-$B$33)^(INT(C23*2*(1-C31)))</f>
        <v>0.99002500000000004</v>
      </c>
      <c r="U25" s="24">
        <v>0</v>
      </c>
      <c r="V25" s="23">
        <f>R25*T25</f>
        <v>9.8989014010250571E-5</v>
      </c>
      <c r="W25" s="33">
        <f>B31</f>
        <v>0.47557272933248407</v>
      </c>
      <c r="X25" s="10">
        <v>0</v>
      </c>
      <c r="Y25" s="9">
        <f>V25</f>
        <v>9.8989014010250571E-5</v>
      </c>
      <c r="Z25" s="10">
        <v>0</v>
      </c>
      <c r="AA25" s="9">
        <f>((1-W25)^Z26)*V26</f>
        <v>7.8539812306244704E-4</v>
      </c>
      <c r="AB25" s="10">
        <v>0</v>
      </c>
      <c r="AC25" s="9">
        <f>(((1-$W$25)^AB27))*V27</f>
        <v>2.8045889059321407E-3</v>
      </c>
      <c r="AD25" s="10">
        <v>0</v>
      </c>
      <c r="AE25" s="9">
        <f>(((1-$W$25)^AB28))*V28</f>
        <v>5.935983479058749E-3</v>
      </c>
      <c r="AF25" s="10">
        <v>0</v>
      </c>
      <c r="AG25" s="9">
        <f>(((1-$W$25)^AB29))*V29</f>
        <v>8.247283353654428E-3</v>
      </c>
      <c r="AH25" s="10">
        <v>0</v>
      </c>
      <c r="AI25" s="9">
        <f>(((1-$W$25)^AB30))*V30</f>
        <v>7.860682519266065E-3</v>
      </c>
      <c r="AJ25" s="10">
        <v>0</v>
      </c>
      <c r="AK25" s="9">
        <f>(((1-$W$25)^AB31))*V31</f>
        <v>5.2065157914714909E-3</v>
      </c>
      <c r="AL25" s="10">
        <v>0</v>
      </c>
      <c r="AM25" s="9">
        <f>(((1-$W$25)^AB32))*V32</f>
        <v>2.3675599698377236E-3</v>
      </c>
      <c r="AN25" s="10">
        <v>0</v>
      </c>
      <c r="AO25" s="9">
        <f>(((1-$W$25)^AB33))*V33</f>
        <v>7.0821743238544844E-4</v>
      </c>
      <c r="AP25" s="10">
        <v>0</v>
      </c>
      <c r="AQ25" s="9">
        <f>(((1-$W$25)^AB34))*V34</f>
        <v>1.2629083734165951E-4</v>
      </c>
      <c r="AR25" s="10">
        <v>0</v>
      </c>
      <c r="AS25" s="9">
        <f>(((1-$W$25)^AB35))*V35</f>
        <v>1.0472039193779685E-5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8.3936824315276864E-3</v>
      </c>
      <c r="BQ25" s="1">
        <f>BQ19+1</f>
        <v>7</v>
      </c>
      <c r="BR25" s="1">
        <v>1</v>
      </c>
      <c r="BS25" s="2">
        <f t="shared" si="14"/>
        <v>6.5961011578175976E-3</v>
      </c>
    </row>
    <row r="26" spans="1:71" x14ac:dyDescent="0.25">
      <c r="A26" s="65" t="s">
        <v>31</v>
      </c>
      <c r="B26" s="74">
        <f>1/(1+EXP(-3.1416*4*((B10/(B10+C9))-(3.1416/6))))</f>
        <v>0.46190473122013492</v>
      </c>
      <c r="C26" s="73">
        <f>1/(1+EXP(-3.1416*4*((C10/(C10+B9))-(3.1416/6))))</f>
        <v>0.41331704431721489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8.6180511358814951E-2</v>
      </c>
      <c r="I26" s="24">
        <v>1</v>
      </c>
      <c r="J26" s="23">
        <f t="shared" si="15"/>
        <v>0.13712737085940557</v>
      </c>
      <c r="K26" s="24">
        <v>1</v>
      </c>
      <c r="L26" s="23">
        <f>AC18</f>
        <v>0.35747055649311449</v>
      </c>
      <c r="M26" s="17">
        <v>1</v>
      </c>
      <c r="N26" s="32">
        <f>(($B$24)^M26)*((1-($B$24))^($B$21-M26))*HLOOKUP($B$21,$AV$24:$BF$34,M26+1)</f>
        <v>7.5590883561732047E-2</v>
      </c>
      <c r="O26" s="16">
        <v>1</v>
      </c>
      <c r="P26" s="32">
        <f t="shared" si="16"/>
        <v>7.5590883561732047E-2</v>
      </c>
      <c r="Q26" s="10">
        <v>1</v>
      </c>
      <c r="R26" s="11">
        <f>N26*P25+P26*N25</f>
        <v>1.5117146988249373E-3</v>
      </c>
      <c r="S26" s="16">
        <v>1</v>
      </c>
      <c r="T26" s="15">
        <f t="shared" ref="T26:T35" si="17">(($B$33)^S26)*((1-($B$33))^(INT($C$23*2*(1-$C$31))-S26))*HLOOKUP(INT($C$23*2*(1-$C$31)),$AV$24:$BF$34,S26+1)</f>
        <v>9.9500000000000005E-3</v>
      </c>
      <c r="U26" s="24">
        <v>1</v>
      </c>
      <c r="V26" s="23">
        <f>R26*T25+T26*R25</f>
        <v>1.4976302091665734E-3</v>
      </c>
      <c r="W26" s="12"/>
      <c r="X26" s="10">
        <v>1</v>
      </c>
      <c r="Y26" s="11"/>
      <c r="Z26" s="10">
        <v>1</v>
      </c>
      <c r="AA26" s="9">
        <f>(1-((1-W25)^Z26))*V26</f>
        <v>7.1223208610412636E-4</v>
      </c>
      <c r="AB26" s="10">
        <v>1</v>
      </c>
      <c r="AC26" s="9">
        <f>((($W$25)^M26)*((1-($W$25))^($U$27-M26))*HLOOKUP($U$27,$AV$24:$BF$34,M26+1))*V27</f>
        <v>5.0866386065394628E-3</v>
      </c>
      <c r="AD26" s="10">
        <v>1</v>
      </c>
      <c r="AE26" s="9">
        <f>((($W$25)^M26)*((1-($W$25))^($U$28-M26))*HLOOKUP($U$28,$AV$24:$BF$34,M26+1))*V28</f>
        <v>1.6148999235767802E-2</v>
      </c>
      <c r="AF26" s="10">
        <v>1</v>
      </c>
      <c r="AG26" s="9">
        <f>((($W$25)^M26)*((1-($W$25))^($U$29-M26))*HLOOKUP($U$29,$AV$24:$BF$34,M26+1))*V29</f>
        <v>2.9915935142605821E-2</v>
      </c>
      <c r="AH26" s="10">
        <v>1</v>
      </c>
      <c r="AI26" s="9">
        <f>((($W$25)^M26)*((1-($W$25))^($U$30-M26))*HLOOKUP($U$30,$AV$24:$BF$34,M26+1))*V30</f>
        <v>3.564198935865015E-2</v>
      </c>
      <c r="AJ26" s="10">
        <v>1</v>
      </c>
      <c r="AK26" s="9">
        <f>((($W$25)^M26)*((1-($W$25))^($U$31-M26))*HLOOKUP($U$31,$AV$24:$BF$34,M26+1))*V31</f>
        <v>2.8328926397490049E-2</v>
      </c>
      <c r="AL26" s="10">
        <v>1</v>
      </c>
      <c r="AM26" s="9">
        <f>((($W$25)^Q26)*((1-($W$25))^($U$32-Q26))*HLOOKUP($U$32,$AV$24:$BF$34,Q26+1))*V32</f>
        <v>1.5029021444606239E-2</v>
      </c>
      <c r="AN26" s="10">
        <v>1</v>
      </c>
      <c r="AO26" s="9">
        <f>((($W$25)^Q26)*((1-($W$25))^($U$33-Q26))*HLOOKUP($U$33,$AV$24:$BF$34,Q26+1))*V33</f>
        <v>5.1379310896885327E-3</v>
      </c>
      <c r="AP26" s="10">
        <v>1</v>
      </c>
      <c r="AQ26" s="9">
        <f>((($W$25)^Q26)*((1-($W$25))^($U$34-Q26))*HLOOKUP($U$34,$AV$24:$BF$34,Q26+1))*V34</f>
        <v>1.030732637435673E-3</v>
      </c>
      <c r="AR26" s="10">
        <v>1</v>
      </c>
      <c r="AS26" s="9">
        <f>((($W$25)^Q26)*((1-($W$25))^($U$35-Q26))*HLOOKUP($U$35,$AV$24:$BF$34,Q26+1))*V35</f>
        <v>9.496486051771288E-5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2.6801781701148472E-3</v>
      </c>
      <c r="BQ26" s="1">
        <f>BQ20+1</f>
        <v>7</v>
      </c>
      <c r="BR26" s="1">
        <v>2</v>
      </c>
      <c r="BS26" s="2">
        <f t="shared" si="14"/>
        <v>7.9290800600997618E-3</v>
      </c>
    </row>
    <row r="27" spans="1:71" x14ac:dyDescent="0.25">
      <c r="A27" s="67" t="s">
        <v>30</v>
      </c>
      <c r="B27" s="74">
        <f>1/(1+EXP(-3.1416*4*((B12/(B12+C7))-(3.1416/6))))</f>
        <v>0.48770323978107072</v>
      </c>
      <c r="C27" s="73">
        <f>1/(1+EXP(-3.1416*4*((C12/(C12+B7))-(3.1416/6))))</f>
        <v>0.55554384356926911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0.1848054837171941</v>
      </c>
      <c r="I27" s="24">
        <v>2</v>
      </c>
      <c r="J27" s="23">
        <f t="shared" si="15"/>
        <v>0.2478332467495177</v>
      </c>
      <c r="K27" s="24">
        <v>2</v>
      </c>
      <c r="L27" s="23">
        <f>AD18</f>
        <v>6.13424966737341E-2</v>
      </c>
      <c r="M27" s="17">
        <v>2</v>
      </c>
      <c r="N27" s="32">
        <f>(($B$24)^M27)*((1-($B$24))^($B$21-M27))*HLOOKUP($B$21,$AV$24:$BF$34,M27+1)</f>
        <v>0.22857483571700118</v>
      </c>
      <c r="O27" s="16">
        <v>2</v>
      </c>
      <c r="P27" s="32">
        <f t="shared" si="16"/>
        <v>0.22857483571700118</v>
      </c>
      <c r="Q27" s="10">
        <v>2</v>
      </c>
      <c r="R27" s="11">
        <f>P25*N27+P26*N26+P27*N25</f>
        <v>1.0285167019757997E-2</v>
      </c>
      <c r="S27" s="16">
        <v>2</v>
      </c>
      <c r="T27" s="15">
        <f t="shared" si="17"/>
        <v>2.5000000000000001E-5</v>
      </c>
      <c r="U27" s="24">
        <v>2</v>
      </c>
      <c r="V27" s="23">
        <f>R27*T25+T26*R26+R25*T27</f>
        <v>1.0197616539648673E-2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2.3063890271770695E-3</v>
      </c>
      <c r="AD27" s="10">
        <v>2</v>
      </c>
      <c r="AE27" s="9">
        <f>((($W$25)^M27)*((1-($W$25))^($U$28-M27))*HLOOKUP($U$28,$AV$24:$BF$34,M27+1))*V28</f>
        <v>1.4644592438464905E-2</v>
      </c>
      <c r="AF27" s="10">
        <v>2</v>
      </c>
      <c r="AG27" s="9">
        <f>((($W$25)^M27)*((1-($W$25))^($U$29-M27))*HLOOKUP($U$29,$AV$24:$BF$34,M27+1))*V29</f>
        <v>4.0693544335118854E-2</v>
      </c>
      <c r="AH27" s="10">
        <v>2</v>
      </c>
      <c r="AI27" s="9">
        <f>((($W$25)^M27)*((1-($W$25))^($U$30-M27))*HLOOKUP($U$30,$AV$24:$BF$34,M27+1))*V30</f>
        <v>6.4643313215033166E-2</v>
      </c>
      <c r="AJ27" s="10">
        <v>2</v>
      </c>
      <c r="AK27" s="9">
        <f>((($W$25)^M27)*((1-($W$25))^($U$31-M27))*HLOOKUP($U$31,$AV$24:$BF$34,M27+1))*V31</f>
        <v>6.4224658019619213E-2</v>
      </c>
      <c r="AL27" s="10">
        <v>2</v>
      </c>
      <c r="AM27" s="9">
        <f>((($W$25)^Q27)*((1-($W$25))^($U$32-Q27))*HLOOKUP($U$32,$AV$24:$BF$34,Q27+1))*V32</f>
        <v>4.0886848266930981E-2</v>
      </c>
      <c r="AN27" s="10">
        <v>2</v>
      </c>
      <c r="AO27" s="9">
        <f>((($W$25)^Q27)*((1-($W$25))^($U$33-Q27))*HLOOKUP($U$33,$AV$24:$BF$34,Q27+1))*V33</f>
        <v>1.6307522831856869E-2</v>
      </c>
      <c r="AP27" s="10">
        <v>2</v>
      </c>
      <c r="AQ27" s="9">
        <f>((($W$25)^Q27)*((1-($W$25))^($U$34-Q27))*HLOOKUP($U$34,$AV$24:$BF$34,Q27+1))*V34</f>
        <v>3.7388470128444516E-3</v>
      </c>
      <c r="AR27" s="10">
        <v>2</v>
      </c>
      <c r="AS27" s="9">
        <f>((($W$25)^Q27)*((1-($W$25))^($U$35-Q27))*HLOOKUP($U$35,$AV$24:$BF$34,Q27+1))*V35</f>
        <v>3.8753160247217814E-4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6.8015059666726575E-4</v>
      </c>
      <c r="BQ27" s="1">
        <f>BQ21+1</f>
        <v>7</v>
      </c>
      <c r="BR27" s="1">
        <v>3</v>
      </c>
      <c r="BS27" s="2">
        <f t="shared" si="14"/>
        <v>5.924348549059333E-3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0.24166674510034522</v>
      </c>
      <c r="I28" s="24">
        <v>3</v>
      </c>
      <c r="J28" s="23">
        <f t="shared" si="15"/>
        <v>0.26552693880494416</v>
      </c>
      <c r="K28" s="24">
        <v>3</v>
      </c>
      <c r="L28" s="23">
        <f>AE18</f>
        <v>4.1745527694847066E-2</v>
      </c>
      <c r="M28" s="17">
        <v>3</v>
      </c>
      <c r="N28" s="32">
        <f>(($B$24)^M28)*((1-($B$24))^($B$21-M28))*HLOOKUP($B$21,$AV$24:$BF$34,M28+1)</f>
        <v>0.34558701434139538</v>
      </c>
      <c r="O28" s="16">
        <v>3</v>
      </c>
      <c r="P28" s="32">
        <f t="shared" si="16"/>
        <v>0.34558701434139538</v>
      </c>
      <c r="Q28" s="10">
        <v>3</v>
      </c>
      <c r="R28" s="11">
        <f>P25*N28+P26*N27+P27*N26+P28*N25</f>
        <v>4.146761710038209E-2</v>
      </c>
      <c r="S28" s="16">
        <v>3</v>
      </c>
      <c r="T28" s="15">
        <f t="shared" si="17"/>
        <v>0</v>
      </c>
      <c r="U28" s="24">
        <v>3</v>
      </c>
      <c r="V28" s="23">
        <f>R28*T25+R27*T26+R26*T27+R25*T28</f>
        <v>4.1156352824519842E-2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4.426777671228386E-3</v>
      </c>
      <c r="AF28" s="10">
        <v>3</v>
      </c>
      <c r="AG28" s="9">
        <f>((($W$25)^M28)*((1-($W$25))^($U$29-M28))*HLOOKUP($U$29,$AV$24:$BF$34,M28+1))*V29</f>
        <v>2.4601746232649616E-2</v>
      </c>
      <c r="AH28" s="10">
        <v>3</v>
      </c>
      <c r="AI28" s="9">
        <f>((($W$25)^M28)*((1-($W$25))^($U$30-M28))*HLOOKUP($U$30,$AV$24:$BF$34,M28+1))*V30</f>
        <v>5.8621278141461494E-2</v>
      </c>
      <c r="AJ28" s="10">
        <v>3</v>
      </c>
      <c r="AK28" s="9">
        <f>((($W$25)^M28)*((1-($W$25))^($U$31-M28))*HLOOKUP($U$31,$AV$24:$BF$34,M28+1))*V31</f>
        <v>7.7655498644476198E-2</v>
      </c>
      <c r="AL28" s="10">
        <v>3</v>
      </c>
      <c r="AM28" s="9">
        <f>((($W$25)^Q28)*((1-($W$25))^($U$32-Q28))*HLOOKUP($U$32,$AV$24:$BF$34,Q28+1))*V32</f>
        <v>6.1796525821897756E-2</v>
      </c>
      <c r="AN28" s="10">
        <v>3</v>
      </c>
      <c r="AO28" s="9">
        <f>((($W$25)^Q28)*((1-($W$25))^($U$33-Q28))*HLOOKUP($U$33,$AV$24:$BF$34,Q28+1))*V33</f>
        <v>2.957669661963426E-2</v>
      </c>
      <c r="AP28" s="10">
        <v>3</v>
      </c>
      <c r="AQ28" s="9">
        <f>((($W$25)^Q28)*((1-($W$25))^($U$34-Q28))*HLOOKUP($U$34,$AV$24:$BF$34,Q28+1))*V34</f>
        <v>7.9112690773070048E-3</v>
      </c>
      <c r="AR28" s="10">
        <v>3</v>
      </c>
      <c r="AS28" s="9">
        <f>((($W$25)^Q28)*((1-($W$25))^($U$35-Q28))*HLOOKUP($U$35,$AV$24:$BF$34,Q28+1))*V35</f>
        <v>9.3714659628944602E-4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1.3497296501137034E-4</v>
      </c>
      <c r="BQ28" s="1">
        <f>BQ22+1</f>
        <v>7</v>
      </c>
      <c r="BR28" s="1">
        <v>4</v>
      </c>
      <c r="BS28" s="2">
        <f t="shared" si="14"/>
        <v>3.1380966158812973E-3</v>
      </c>
    </row>
    <row r="29" spans="1:71" x14ac:dyDescent="0.25">
      <c r="A29" s="67" t="s">
        <v>28</v>
      </c>
      <c r="B29" s="74">
        <f>1/(1+EXP(-3.1416*4*((B14/(B14+C13))-(3.1416/6))))</f>
        <v>0.38060831534430095</v>
      </c>
      <c r="C29" s="73">
        <f>1/(1+EXP(-3.1416*4*((C14/(C14+B13))-(3.1416/6))))</f>
        <v>0.16720498174891338</v>
      </c>
      <c r="D29" s="8">
        <v>0.04</v>
      </c>
      <c r="E29" s="8">
        <v>0.04</v>
      </c>
      <c r="G29" s="62">
        <v>4</v>
      </c>
      <c r="H29" s="61">
        <f>J29*L25+J28*L26+J27*L27+J26*L28</f>
        <v>0.21660674634873142</v>
      </c>
      <c r="I29" s="24">
        <v>4</v>
      </c>
      <c r="J29" s="23">
        <f t="shared" si="15"/>
        <v>0.18678862175408026</v>
      </c>
      <c r="K29" s="24">
        <v>4</v>
      </c>
      <c r="L29" s="23"/>
      <c r="M29" s="17">
        <v>4</v>
      </c>
      <c r="N29" s="32">
        <f>(($B$24)^M29)*((1-($B$24))^($B$21-M29))*HLOOKUP($B$21,$AV$24:$BF$34,M29+1)</f>
        <v>0.26125007179107579</v>
      </c>
      <c r="O29" s="16">
        <v>4</v>
      </c>
      <c r="P29" s="32">
        <f t="shared" si="16"/>
        <v>0.26125007179107579</v>
      </c>
      <c r="Q29" s="10">
        <v>4</v>
      </c>
      <c r="R29" s="11">
        <f>P25*N29+P26*N28+P27*N27+P28*N26+P29*N25</f>
        <v>0.10971755659841356</v>
      </c>
      <c r="S29" s="16">
        <v>4</v>
      </c>
      <c r="T29" s="15">
        <f t="shared" si="17"/>
        <v>0</v>
      </c>
      <c r="U29" s="24">
        <v>4</v>
      </c>
      <c r="V29" s="23">
        <f>T29*R25+T28*R26+T27*R27+T26*R28+T25*R29</f>
        <v>0.10903598389066869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5.5774748266399846E-3</v>
      </c>
      <c r="AH29" s="10">
        <v>4</v>
      </c>
      <c r="AI29" s="9">
        <f>((($W$25)^M29)*((1-($W$25))^($U$30-M29))*HLOOKUP($U$30,$AV$24:$BF$34,M29+1))*V30</f>
        <v>2.6580121593608411E-2</v>
      </c>
      <c r="AJ29" s="10">
        <v>4</v>
      </c>
      <c r="AK29" s="9">
        <f>((($W$25)^M29)*((1-($W$25))^($U$31-M29))*HLOOKUP($U$31,$AV$24:$BF$34,M29+1))*V31</f>
        <v>5.2815956811830024E-2</v>
      </c>
      <c r="AL29" s="10">
        <v>4</v>
      </c>
      <c r="AM29" s="9">
        <f>((($W$25)^Q29)*((1-($W$25))^($U$32-Q29))*HLOOKUP($U$32,$AV$24:$BF$34,Q29+1))*V32</f>
        <v>5.6039691473286399E-2</v>
      </c>
      <c r="AN29" s="10">
        <v>4</v>
      </c>
      <c r="AO29" s="9">
        <f>((($W$25)^Q29)*((1-($W$25))^($U$33-Q29))*HLOOKUP($U$33,$AV$24:$BF$34,Q29+1))*V33</f>
        <v>3.3526742226178033E-2</v>
      </c>
      <c r="AP29" s="10">
        <v>4</v>
      </c>
      <c r="AQ29" s="9">
        <f>((($W$25)^Q29)*((1-($W$25))^($U$34-Q29))*HLOOKUP($U$34,$AV$24:$BF$34,Q29+1))*V34</f>
        <v>1.0761407838658829E-2</v>
      </c>
      <c r="AR29" s="10">
        <v>4</v>
      </c>
      <c r="AS29" s="9">
        <f>((($W$25)^Q29)*((1-($W$25))^($U$35-Q29))*HLOOKUP($U$35,$AV$24:$BF$34,Q29+1))*V35</f>
        <v>1.4872269838785963E-3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2.0336489138537562E-5</v>
      </c>
      <c r="BQ29" s="1">
        <f>BQ23+1</f>
        <v>7</v>
      </c>
      <c r="BR29" s="1">
        <v>5</v>
      </c>
      <c r="BS29" s="2">
        <f t="shared" si="14"/>
        <v>1.2677215086307364E-3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0.14204723745804837</v>
      </c>
      <c r="I30" s="24">
        <v>5</v>
      </c>
      <c r="J30" s="23">
        <f t="shared" si="15"/>
        <v>9.0170661986653092E-2</v>
      </c>
      <c r="K30" s="24">
        <v>5</v>
      </c>
      <c r="L30" s="23"/>
      <c r="M30" s="17">
        <v>5</v>
      </c>
      <c r="N30" s="32">
        <f>(($B$24)^M30)*((1-($B$24))^($B$21-M30))*HLOOKUP($B$21,$AV$24:$BF$34,M30+1)</f>
        <v>7.8997875705385703E-2</v>
      </c>
      <c r="O30" s="16">
        <v>5</v>
      </c>
      <c r="P30" s="32">
        <f t="shared" si="16"/>
        <v>7.8997875705385703E-2</v>
      </c>
      <c r="Q30" s="10">
        <v>5</v>
      </c>
      <c r="R30" s="11">
        <f>P25*N30+P26*N29+P27*N28+P28*N27+P29*N26+P30*N25</f>
        <v>0.19906108747311371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0.19816817950415114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4.8207946761318725E-3</v>
      </c>
      <c r="AJ30" s="10">
        <v>5</v>
      </c>
      <c r="AK30" s="9">
        <f>((($W$25)^M30)*((1-($W$25))^($U$31-M30))*HLOOKUP($U$31,$AV$24:$BF$34,M30+1))*V31</f>
        <v>1.915829335216488E-2</v>
      </c>
      <c r="AL30" s="10">
        <v>5</v>
      </c>
      <c r="AM30" s="9">
        <f>((($W$25)^Q30)*((1-($W$25))^($U$32-Q30))*HLOOKUP($U$32,$AV$24:$BF$34,Q30+1))*V32</f>
        <v>3.0491491021409186E-2</v>
      </c>
      <c r="AN30" s="10">
        <v>5</v>
      </c>
      <c r="AO30" s="9">
        <f>((($W$25)^Q30)*((1-($W$25))^($U$33-Q30))*HLOOKUP($U$33,$AV$24:$BF$34,Q30+1))*V33</f>
        <v>2.4322769158568482E-2</v>
      </c>
      <c r="AP30" s="10">
        <v>5</v>
      </c>
      <c r="AQ30" s="9">
        <f>((($W$25)^Q30)*((1-($W$25))^($U$34-Q30))*HLOOKUP($U$34,$AV$24:$BF$34,Q30+1))*V34</f>
        <v>9.7588977224177323E-3</v>
      </c>
      <c r="AR30" s="10">
        <v>5</v>
      </c>
      <c r="AS30" s="9">
        <f>((($W$25)^Q30)*((1-($W$25))^($U$35-Q30))*HLOOKUP($U$35,$AV$24:$BF$34,Q30+1))*V35</f>
        <v>1.6184160559609272E-3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2.2337034934662499E-6</v>
      </c>
      <c r="BQ30" s="1">
        <f>BM10+1</f>
        <v>7</v>
      </c>
      <c r="BR30" s="1">
        <v>6</v>
      </c>
      <c r="BS30" s="2">
        <f t="shared" si="14"/>
        <v>4.0479486100819295E-4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0.47557272933248407</v>
      </c>
      <c r="C31" s="68">
        <f>(C25*E25)+(C26*E26)+(C27*E27)+(C28*E28)+(C29*E29)+(C30*E30)/(C25+C26+C27+C28+C29+C30)</f>
        <v>0.43625091022370255</v>
      </c>
      <c r="G31" s="62">
        <v>6</v>
      </c>
      <c r="H31" s="61">
        <f>J31*L25+J30*L26+J29*L27+J28*L28</f>
        <v>7.1101615995634943E-2</v>
      </c>
      <c r="I31" s="24">
        <v>6</v>
      </c>
      <c r="J31" s="23">
        <f t="shared" si="15"/>
        <v>3.0263928779775622E-2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0.25080380741093961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0.2502854401912879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2.895591174236076E-3</v>
      </c>
      <c r="AL31" s="10">
        <v>6</v>
      </c>
      <c r="AM31" s="9">
        <f>((($W$25)^Q31)*((1-($W$25))^($U$32-Q31))*HLOOKUP($U$32,$AV$24:$BF$34,Q31+1))*V32</f>
        <v>9.2169892868786407E-3</v>
      </c>
      <c r="AN31" s="10">
        <v>6</v>
      </c>
      <c r="AO31" s="9">
        <f>((($W$25)^Q31)*((1-($W$25))^($U$33-Q31))*HLOOKUP($U$33,$AV$24:$BF$34,Q31+1))*V33</f>
        <v>1.1028455574917986E-2</v>
      </c>
      <c r="AP31" s="10">
        <v>6</v>
      </c>
      <c r="AQ31" s="9">
        <f>((($W$25)^Q31)*((1-($W$25))^($U$34-Q31))*HLOOKUP($U$34,$AV$24:$BF$34,Q31+1))*V34</f>
        <v>5.8998528931309439E-3</v>
      </c>
      <c r="AR31" s="10">
        <v>6</v>
      </c>
      <c r="AS31" s="9">
        <f>((($W$25)^Q31)*((1-($W$25))^($U$35-Q31))*HLOOKUP($U$35,$AV$24:$BF$34,Q31+1))*V35</f>
        <v>1.2230398506119736E-3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2.7170462097781435E-2</v>
      </c>
      <c r="BQ31" s="1">
        <f t="shared" ref="BQ31:BQ37" si="21">BQ24+1</f>
        <v>8</v>
      </c>
      <c r="BR31" s="1">
        <v>0</v>
      </c>
      <c r="BS31" s="2">
        <f t="shared" ref="BS31:BS38" si="22">$H$33*H39</f>
        <v>7.8582596981536786E-4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2.7911692934820025E-2</v>
      </c>
      <c r="I32" s="24">
        <v>7</v>
      </c>
      <c r="J32" s="23">
        <f t="shared" si="15"/>
        <v>6.9782301158053811E-3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0.21668311753620742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0.21702217784970945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1.1940505648625583E-3</v>
      </c>
      <c r="AN32" s="10">
        <v>7</v>
      </c>
      <c r="AO32" s="9">
        <f>((($W$25)^Q32)*((1-($W$25))^($U$33-Q32))*HLOOKUP($U$33,$AV$24:$BF$34,Q32+1))*V33</f>
        <v>2.8574479580960898E-3</v>
      </c>
      <c r="AP32" s="10">
        <v>7</v>
      </c>
      <c r="AQ32" s="9">
        <f>((($W$25)^Q32)*((1-($W$25))^($U$34-Q32))*HLOOKUP($U$34,$AV$24:$BF$34,Q32+1))*V34</f>
        <v>2.2929578608747799E-3</v>
      </c>
      <c r="AR32" s="10">
        <v>7</v>
      </c>
      <c r="AS32" s="9">
        <f>((($W$25)^Q32)*((1-($W$25))^($U$35-Q32))*HLOOKUP($U$35,$AV$24:$BF$34,Q32+1))*V35</f>
        <v>6.337737319719528E-4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1.0976264728904905E-2</v>
      </c>
      <c r="BQ32" s="1">
        <f t="shared" si="21"/>
        <v>8</v>
      </c>
      <c r="BR32" s="1">
        <v>1</v>
      </c>
      <c r="BS32" s="2">
        <f t="shared" si="22"/>
        <v>2.0528232963374533E-3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8.6866123071668803E-3</v>
      </c>
      <c r="I33" s="24">
        <v>8</v>
      </c>
      <c r="J33" s="23">
        <f t="shared" si="15"/>
        <v>1.0592692113105722E-3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0.12285288001951605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0.12378968965599192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3.2390676466623951E-4</v>
      </c>
      <c r="AP33" s="10">
        <v>8</v>
      </c>
      <c r="AQ33" s="9">
        <f>((($W$25)^Q33)*((1-($W$25))^($U$34-Q33))*HLOOKUP($U$34,$AV$24:$BF$34,Q33+1))*V34</f>
        <v>5.1983768252201752E-4</v>
      </c>
      <c r="AR33" s="10">
        <v>8</v>
      </c>
      <c r="AS33" s="9">
        <f>((($W$25)^Q33)*((1-($W$25))^($U$35-Q33))*HLOOKUP($U$35,$AV$24:$BF$34,Q33+1))*V35</f>
        <v>2.1552476412231521E-4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3.5048198875518122E-3</v>
      </c>
      <c r="BQ33" s="1">
        <f t="shared" si="21"/>
        <v>8</v>
      </c>
      <c r="BR33" s="1">
        <v>2</v>
      </c>
      <c r="BS33" s="2">
        <f t="shared" si="22"/>
        <v>2.4676698971795356E-3</v>
      </c>
    </row>
    <row r="34" spans="1:71" x14ac:dyDescent="0.25">
      <c r="A34" s="65" t="s">
        <v>23</v>
      </c>
      <c r="B34" s="64">
        <f>B23*2</f>
        <v>6.0189825274223043</v>
      </c>
      <c r="C34" s="63">
        <f>C23*2</f>
        <v>3.9810174725776957</v>
      </c>
      <c r="G34" s="62">
        <v>9</v>
      </c>
      <c r="H34" s="61">
        <f>J34*L25+J33*L26+J32*L27+J31*L28</f>
        <v>2.1217880441171564E-3</v>
      </c>
      <c r="I34" s="24">
        <v>9</v>
      </c>
      <c r="J34" s="23">
        <f t="shared" si="15"/>
        <v>9.581161761393651E-5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4.1276401398748996E-2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4.2092472528929066E-2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5.2378966395981121E-5</v>
      </c>
      <c r="AR34" s="10">
        <v>9</v>
      </c>
      <c r="AS34" s="9">
        <f>((($W$25)^Q34)*((1-($W$25))^($U$35-Q34))*HLOOKUP($U$35,$AV$24:$BF$34,Q34+1))*V35</f>
        <v>4.3432651217955388E-5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8.8942047372451982E-4</v>
      </c>
      <c r="BQ34" s="1">
        <f t="shared" si="21"/>
        <v>8</v>
      </c>
      <c r="BR34" s="1">
        <v>3</v>
      </c>
      <c r="BS34" s="2">
        <f t="shared" si="22"/>
        <v>1.8437620082157472E-3</v>
      </c>
    </row>
    <row r="35" spans="1:71" ht="15.75" thickBot="1" x14ac:dyDescent="0.3">
      <c r="G35" s="60">
        <v>10</v>
      </c>
      <c r="H35" s="59">
        <f>J35*L25+J34*L26+J33*L27+J32*L28</f>
        <v>3.9266262290807321E-4</v>
      </c>
      <c r="I35" s="14">
        <v>10</v>
      </c>
      <c r="J35" s="13">
        <f t="shared" si="15"/>
        <v>3.9386556796670257E-6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6.2406643659635684E-3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6.6554677919165028E-3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3.9386556796670257E-6</v>
      </c>
      <c r="BI35" s="1">
        <f t="shared" si="19"/>
        <v>3</v>
      </c>
      <c r="BJ35" s="1">
        <v>8</v>
      </c>
      <c r="BK35" s="2">
        <f t="shared" si="20"/>
        <v>1.7650167340681495E-4</v>
      </c>
      <c r="BQ35" s="1">
        <f t="shared" si="21"/>
        <v>8</v>
      </c>
      <c r="BR35" s="1">
        <v>4</v>
      </c>
      <c r="BS35" s="2">
        <f t="shared" si="22"/>
        <v>9.7663114696231465E-4</v>
      </c>
    </row>
    <row r="36" spans="1:71" ht="15.75" x14ac:dyDescent="0.25">
      <c r="A36" s="58" t="s">
        <v>22</v>
      </c>
      <c r="B36" s="48">
        <f>SUM(BO4:BO14)</f>
        <v>0.15777154000053992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19"/>
        <v>3</v>
      </c>
      <c r="BJ36" s="1">
        <v>9</v>
      </c>
      <c r="BK36" s="2">
        <f t="shared" si="20"/>
        <v>2.6593654246752431E-5</v>
      </c>
      <c r="BQ36" s="1">
        <f t="shared" si="21"/>
        <v>8</v>
      </c>
      <c r="BR36" s="1">
        <v>5</v>
      </c>
      <c r="BS36" s="2">
        <f t="shared" si="22"/>
        <v>3.9453734621715188E-4</v>
      </c>
    </row>
    <row r="37" spans="1:71" ht="16.5" thickBot="1" x14ac:dyDescent="0.3">
      <c r="A37" s="55" t="s">
        <v>21</v>
      </c>
      <c r="B37" s="48">
        <f>SUM(BK4:BK59)</f>
        <v>0.21288057916859179</v>
      </c>
      <c r="G37" s="4"/>
      <c r="H37" s="50">
        <f>SUM(H39:H49)</f>
        <v>0.99999904470260337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0.99987667709133687</v>
      </c>
      <c r="W37" s="4"/>
      <c r="X37" s="4"/>
      <c r="Y37" s="50">
        <f>SUM(Y39:Y49)</f>
        <v>6.1475216702185165E-3</v>
      </c>
      <c r="Z37" s="51"/>
      <c r="AA37" s="50">
        <f>SUM(AA39:AA49)</f>
        <v>4.0753022154406189E-2</v>
      </c>
      <c r="AB37" s="51"/>
      <c r="AC37" s="50">
        <f>SUM(AC39:AC49)</f>
        <v>0.12163272117761502</v>
      </c>
      <c r="AD37" s="51"/>
      <c r="AE37" s="50">
        <f>SUM(AE39:AE49)</f>
        <v>0.21527658729124707</v>
      </c>
      <c r="AF37" s="51"/>
      <c r="AG37" s="50">
        <f>SUM(AG39:AG49)</f>
        <v>0.2502875278421588</v>
      </c>
      <c r="AH37" s="51"/>
      <c r="AI37" s="50">
        <f>SUM(AI39:AI49)</f>
        <v>0.19983079178567795</v>
      </c>
      <c r="AJ37" s="51"/>
      <c r="AK37" s="50">
        <f>SUM(AK39:AK49)</f>
        <v>0.11105488346788896</v>
      </c>
      <c r="AL37" s="51"/>
      <c r="AM37" s="50">
        <f>SUM(AM39:AM49)</f>
        <v>4.2492940875405526E-2</v>
      </c>
      <c r="AN37" s="51"/>
      <c r="AO37" s="50">
        <f>SUM(AO39:AO49)</f>
        <v>1.075568183593641E-2</v>
      </c>
      <c r="AP37" s="51"/>
      <c r="AQ37" s="50">
        <f>SUM(AQ39:AQ49)</f>
        <v>1.6449989907823673E-3</v>
      </c>
      <c r="AR37" s="51"/>
      <c r="AS37" s="50">
        <f>SUM(AS39:AS49)</f>
        <v>1.2332290866312598E-4</v>
      </c>
      <c r="BI37" s="1">
        <f t="shared" si="19"/>
        <v>3</v>
      </c>
      <c r="BJ37" s="1">
        <v>10</v>
      </c>
      <c r="BK37" s="2">
        <f t="shared" si="20"/>
        <v>2.9209731330880164E-6</v>
      </c>
      <c r="BQ37" s="1">
        <f t="shared" si="21"/>
        <v>8</v>
      </c>
      <c r="BR37" s="1">
        <v>6</v>
      </c>
      <c r="BS37" s="2">
        <f t="shared" si="22"/>
        <v>1.2597931733209462E-4</v>
      </c>
    </row>
    <row r="38" spans="1:71" ht="16.5" thickBot="1" x14ac:dyDescent="0.3">
      <c r="A38" s="49" t="s">
        <v>20</v>
      </c>
      <c r="B38" s="48">
        <f>SUM(BS4:BS47)</f>
        <v>0.62889835732087307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9.8380643518131937E-3</v>
      </c>
      <c r="BQ38" s="1">
        <f>BM11+1</f>
        <v>8</v>
      </c>
      <c r="BR38" s="1">
        <v>7</v>
      </c>
      <c r="BS38" s="2">
        <f t="shared" si="22"/>
        <v>3.1969855141192841E-5</v>
      </c>
    </row>
    <row r="39" spans="1:71" x14ac:dyDescent="0.25">
      <c r="G39" s="38">
        <v>0</v>
      </c>
      <c r="H39" s="37">
        <f>L39*J39</f>
        <v>9.0464031549678234E-2</v>
      </c>
      <c r="I39" s="36">
        <v>0</v>
      </c>
      <c r="J39" s="34">
        <f t="shared" ref="J39:J49" si="26">Y39+AA39+AC39+AE39+AG39+AI39+AK39+AM39+AO39+AQ39+AS39</f>
        <v>0.14746140262805932</v>
      </c>
      <c r="K39" s="35">
        <v>0</v>
      </c>
      <c r="L39" s="34">
        <f>AH18</f>
        <v>0.61347600075292186</v>
      </c>
      <c r="M39" s="17">
        <v>0</v>
      </c>
      <c r="N39" s="32">
        <f>(1-$C$24)^$B$21</f>
        <v>7.8997875705385703E-2</v>
      </c>
      <c r="O39" s="16">
        <v>0</v>
      </c>
      <c r="P39" s="32">
        <f t="shared" ref="P39:P44" si="27">N39</f>
        <v>7.8997875705385703E-2</v>
      </c>
      <c r="Q39" s="10">
        <v>0</v>
      </c>
      <c r="R39" s="11">
        <f>P39*N39</f>
        <v>6.2406643659635684E-3</v>
      </c>
      <c r="S39" s="16">
        <v>0</v>
      </c>
      <c r="T39" s="15">
        <f>(1-$C$33)^(INT(B23*2*(1-B31)))</f>
        <v>0.98507487500000002</v>
      </c>
      <c r="U39" s="24">
        <v>0</v>
      </c>
      <c r="V39" s="23">
        <f>R39*T39</f>
        <v>6.1475216702185165E-3</v>
      </c>
      <c r="W39" s="33">
        <f>C31</f>
        <v>0.43625091022370255</v>
      </c>
      <c r="X39" s="10">
        <v>0</v>
      </c>
      <c r="Y39" s="9">
        <f>V39</f>
        <v>6.1475216702185165E-3</v>
      </c>
      <c r="Z39" s="10">
        <v>0</v>
      </c>
      <c r="AA39" s="9">
        <f>((1-W39)^Z40)*V40</f>
        <v>2.2974479145179773E-2</v>
      </c>
      <c r="AB39" s="10">
        <v>0</v>
      </c>
      <c r="AC39" s="9">
        <f>(((1-$W$39)^AB41))*V41</f>
        <v>3.8656464421596877E-2</v>
      </c>
      <c r="AD39" s="10">
        <v>0</v>
      </c>
      <c r="AE39" s="9">
        <f>(((1-$W$39)^AB42))*V42</f>
        <v>3.857041938899998E-2</v>
      </c>
      <c r="AF39" s="10">
        <v>0</v>
      </c>
      <c r="AG39" s="9">
        <f>(((1-$W$39)^AB43))*V43</f>
        <v>2.5280323284340378E-2</v>
      </c>
      <c r="AH39" s="10">
        <v>0</v>
      </c>
      <c r="AI39" s="9">
        <f>(((1-$W$39)^AB44))*V44</f>
        <v>1.1378674590702839E-2</v>
      </c>
      <c r="AJ39" s="10">
        <v>0</v>
      </c>
      <c r="AK39" s="9">
        <f>(((1-$W$39)^AB45))*V45</f>
        <v>3.5649445802970678E-3</v>
      </c>
      <c r="AL39" s="10">
        <v>0</v>
      </c>
      <c r="AM39" s="9">
        <f>(((1-$W$39)^AB46))*V46</f>
        <v>7.6898481646297113E-4</v>
      </c>
      <c r="AN39" s="10">
        <v>0</v>
      </c>
      <c r="AO39" s="9">
        <f>(((1-$W$39)^AB47))*V47</f>
        <v>1.097298476695079E-4</v>
      </c>
      <c r="AP39" s="10">
        <v>0</v>
      </c>
      <c r="AQ39" s="9">
        <f>(((1-$W$39)^AB48))*V48</f>
        <v>9.461027807664047E-6</v>
      </c>
      <c r="AR39" s="10">
        <v>0</v>
      </c>
      <c r="AS39" s="9">
        <f>(((1-$W$39)^AB49))*V49</f>
        <v>3.998547837174465E-7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3.1413822868583017E-3</v>
      </c>
      <c r="BQ39" s="1">
        <f t="shared" ref="BQ39:BQ46" si="28">BQ31+1</f>
        <v>9</v>
      </c>
      <c r="BR39" s="1">
        <v>0</v>
      </c>
      <c r="BS39" s="2">
        <f t="shared" ref="BS39:BS47" si="29">$H$34*H39</f>
        <v>1.919455005647445E-4</v>
      </c>
    </row>
    <row r="40" spans="1:71" x14ac:dyDescent="0.25">
      <c r="G40" s="27">
        <v>1</v>
      </c>
      <c r="H40" s="26">
        <f>L39*J40+L40*J39</f>
        <v>0.23632035409750859</v>
      </c>
      <c r="I40" s="24">
        <v>1</v>
      </c>
      <c r="J40" s="23">
        <f t="shared" si="26"/>
        <v>0.31089196022375704</v>
      </c>
      <c r="K40" s="25">
        <v>1</v>
      </c>
      <c r="L40" s="23">
        <f>AI18</f>
        <v>0.30920360759219878</v>
      </c>
      <c r="M40" s="17">
        <v>1</v>
      </c>
      <c r="N40" s="32">
        <f>(($C$24)^M26)*((1-($C$24))^($B$21-M26))*HLOOKUP($B$21,$AV$24:$BF$34,M26+1)</f>
        <v>0.26125007179107579</v>
      </c>
      <c r="O40" s="16">
        <v>1</v>
      </c>
      <c r="P40" s="32">
        <f t="shared" si="27"/>
        <v>0.26125007179107579</v>
      </c>
      <c r="Q40" s="10">
        <v>1</v>
      </c>
      <c r="R40" s="11">
        <f>P40*N39+P39*N40</f>
        <v>4.1276401398748996E-2</v>
      </c>
      <c r="S40" s="16">
        <v>1</v>
      </c>
      <c r="T40" s="15">
        <f t="shared" ref="T40:T49" si="30">(($C$33)^S40)*((1-($C$33))^(INT($B$23*2*(1-$B$31))-S40))*HLOOKUP(INT($B$23*2*(1-$B$31)),$AV$24:$BF$34,S40+1)</f>
        <v>1.4850375000000002E-2</v>
      </c>
      <c r="U40" s="24">
        <v>1</v>
      </c>
      <c r="V40" s="23">
        <f>R40*T39+T40*R39</f>
        <v>4.0753022154406189E-2</v>
      </c>
      <c r="W40" s="12"/>
      <c r="X40" s="10">
        <v>1</v>
      </c>
      <c r="Y40" s="11"/>
      <c r="Z40" s="10">
        <v>1</v>
      </c>
      <c r="AA40" s="9">
        <f>(1-((1-W39)^Z40))*V40</f>
        <v>1.7778543009226416E-2</v>
      </c>
      <c r="AB40" s="10">
        <v>1</v>
      </c>
      <c r="AC40" s="9">
        <f>((($W$39)^M40)*((1-($W$39))^($U$27-M40))*HLOOKUP($U$27,$AV$24:$BF$34,M40+1))*V41</f>
        <v>5.9827742858595545E-2</v>
      </c>
      <c r="AD40" s="10">
        <v>1</v>
      </c>
      <c r="AE40" s="9">
        <f>((($W$39)^M40)*((1-($W$39))^($U$28-M40))*HLOOKUP($U$28,$AV$24:$BF$34,M40+1))*V42</f>
        <v>8.9541859337660859E-2</v>
      </c>
      <c r="AF40" s="10">
        <v>1</v>
      </c>
      <c r="AG40" s="9">
        <f>((($W$39)^M40)*((1-($W$39))^($U$29-M40))*HLOOKUP($U$29,$AV$24:$BF$34,M40+1))*V43</f>
        <v>7.8251578537673339E-2</v>
      </c>
      <c r="AH40" s="10">
        <v>1</v>
      </c>
      <c r="AI40" s="9">
        <f>((($W$39)^M40)*((1-($W$39))^($U$30-M40))*HLOOKUP($U$30,$AV$24:$BF$34,M40+1))*V44</f>
        <v>4.4026298555117756E-2</v>
      </c>
      <c r="AJ40" s="10">
        <v>1</v>
      </c>
      <c r="AK40" s="9">
        <f>((($W$39)^M40)*((1-($W$39))^($U$31-M40))*HLOOKUP($U$31,$AV$24:$BF$34,M40+1))*V45</f>
        <v>1.6552154278444448E-2</v>
      </c>
      <c r="AL40" s="10">
        <v>1</v>
      </c>
      <c r="AM40" s="9">
        <f>((($W$39)^Q40)*((1-($W$39))^($U$32-Q40))*HLOOKUP($U$32,$AV$24:$BF$34,Q40+1))*V46</f>
        <v>4.1654919280545138E-3</v>
      </c>
      <c r="AN40" s="10">
        <v>1</v>
      </c>
      <c r="AO40" s="9">
        <f>((($W$39)^Q40)*((1-($W$39))^($U$33-Q40))*HLOOKUP($U$33,$AV$24:$BF$34,Q40+1))*V47</f>
        <v>6.7930569528406822E-4</v>
      </c>
      <c r="AP40" s="10">
        <v>1</v>
      </c>
      <c r="AQ40" s="9">
        <f>((($W$39)^Q40)*((1-($W$39))^($U$34-Q40))*HLOOKUP($U$34,$AV$24:$BF$34,Q40+1))*V48</f>
        <v>6.5891792303286872E-5</v>
      </c>
      <c r="AR40" s="10">
        <v>1</v>
      </c>
      <c r="AS40" s="9">
        <f>((($W$39)^Q40)*((1-($W$39))^($U$35-Q40))*HLOOKUP($U$35,$AV$24:$BF$34,Q40+1))*V49</f>
        <v>3.094231396865873E-6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7.9719067209442214E-4</v>
      </c>
      <c r="BQ40" s="1">
        <f t="shared" si="28"/>
        <v>9</v>
      </c>
      <c r="BR40" s="1">
        <v>1</v>
      </c>
      <c r="BS40" s="2">
        <f t="shared" si="29"/>
        <v>5.0142170190562655E-4</v>
      </c>
    </row>
    <row r="41" spans="1:71" x14ac:dyDescent="0.25">
      <c r="G41" s="27">
        <v>2</v>
      </c>
      <c r="H41" s="26">
        <f>L39*J41+J40*L40+J39*L41</f>
        <v>0.28407736064651889</v>
      </c>
      <c r="I41" s="24">
        <v>2</v>
      </c>
      <c r="J41" s="23">
        <f t="shared" si="26"/>
        <v>0.29515574602211181</v>
      </c>
      <c r="K41" s="25">
        <v>2</v>
      </c>
      <c r="L41" s="23">
        <f>AJ18</f>
        <v>4.6639175963757731E-2</v>
      </c>
      <c r="M41" s="17">
        <v>2</v>
      </c>
      <c r="N41" s="32">
        <f>(($C$24)^M27)*((1-($C$24))^($B$21-M27))*HLOOKUP($B$21,$AV$24:$BF$34,M27+1)</f>
        <v>0.34558701434139538</v>
      </c>
      <c r="O41" s="16">
        <v>2</v>
      </c>
      <c r="P41" s="32">
        <f t="shared" si="27"/>
        <v>0.34558701434139538</v>
      </c>
      <c r="Q41" s="10">
        <v>2</v>
      </c>
      <c r="R41" s="11">
        <f>P41*N39+P40*N40+P39*N41</f>
        <v>0.12285288001951605</v>
      </c>
      <c r="S41" s="16">
        <v>2</v>
      </c>
      <c r="T41" s="15">
        <f t="shared" si="30"/>
        <v>7.4625000000000011E-5</v>
      </c>
      <c r="U41" s="24">
        <v>2</v>
      </c>
      <c r="V41" s="23">
        <f>R41*T39+T40*R40+R39*T41</f>
        <v>0.12163272117761502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2.3148513897422601E-2</v>
      </c>
      <c r="AD41" s="10">
        <v>2</v>
      </c>
      <c r="AE41" s="9">
        <f>((($W$39)^M41)*((1-($W$39))^($U$28-M41))*HLOOKUP($U$28,$AV$24:$BF$34,M41+1))*V42</f>
        <v>6.9290963564442906E-2</v>
      </c>
      <c r="AF41" s="10">
        <v>2</v>
      </c>
      <c r="AG41" s="9">
        <f>((($W$39)^M41)*((1-($W$39))^($U$29-M41))*HLOOKUP($U$29,$AV$24:$BF$34,M41+1))*V43</f>
        <v>9.0831159595435404E-2</v>
      </c>
      <c r="AH41" s="10">
        <v>2</v>
      </c>
      <c r="AI41" s="9">
        <f>((($W$39)^M41)*((1-($W$39))^($U$30-M41))*HLOOKUP($U$30,$AV$24:$BF$34,M41+1))*V44</f>
        <v>6.813851469302408E-2</v>
      </c>
      <c r="AJ41" s="10">
        <v>2</v>
      </c>
      <c r="AK41" s="9">
        <f>((($W$39)^M41)*((1-($W$39))^($U$31-M41))*HLOOKUP($U$31,$AV$24:$BF$34,M41+1))*V45</f>
        <v>3.2021747356611618E-2</v>
      </c>
      <c r="AL41" s="10">
        <v>2</v>
      </c>
      <c r="AM41" s="9">
        <f>((($W$39)^Q41)*((1-($W$39))^($U$32-Q41))*HLOOKUP($U$32,$AV$24:$BF$34,Q41+1))*V46</f>
        <v>9.6702576275432411E-3</v>
      </c>
      <c r="AN41" s="10">
        <v>2</v>
      </c>
      <c r="AO41" s="9">
        <f>((($W$39)^Q41)*((1-($W$39))^($U$33-Q41))*HLOOKUP($U$33,$AV$24:$BF$34,Q41+1))*V47</f>
        <v>1.8398558266745052E-3</v>
      </c>
      <c r="AP41" s="10">
        <v>2</v>
      </c>
      <c r="AQ41" s="9">
        <f>((($W$39)^Q41)*((1-($W$39))^($U$34-Q41))*HLOOKUP($U$34,$AV$24:$BF$34,Q41+1))*V48</f>
        <v>2.0395849777770151E-4</v>
      </c>
      <c r="AR41" s="10">
        <v>2</v>
      </c>
      <c r="AS41" s="9">
        <f>((($W$39)^Q41)*((1-($W$39))^($U$35-Q41))*HLOOKUP($U$35,$AV$24:$BF$34,Q41+1))*V49</f>
        <v>1.077496317976339E-5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1.5819906535291845E-4</v>
      </c>
      <c r="BQ41" s="1">
        <f t="shared" si="28"/>
        <v>9</v>
      </c>
      <c r="BR41" s="1">
        <v>2</v>
      </c>
      <c r="BS41" s="2">
        <f t="shared" si="29"/>
        <v>6.0275194742414142E-4</v>
      </c>
    </row>
    <row r="42" spans="1:71" ht="15" customHeight="1" x14ac:dyDescent="0.25">
      <c r="G42" s="27">
        <v>3</v>
      </c>
      <c r="H42" s="26">
        <f>J42*L39+J41*L40+L42*J39+L41*J40</f>
        <v>0.21225328620854339</v>
      </c>
      <c r="I42" s="24">
        <v>3</v>
      </c>
      <c r="J42" s="23">
        <f t="shared" si="26"/>
        <v>0.16621029131222104</v>
      </c>
      <c r="K42" s="25">
        <v>3</v>
      </c>
      <c r="L42" s="23">
        <f>AK18</f>
        <v>3.068121569112163E-2</v>
      </c>
      <c r="M42" s="17">
        <v>3</v>
      </c>
      <c r="N42" s="32">
        <f>(($C$24)^M28)*((1-($C$24))^($B$21-M28))*HLOOKUP($B$21,$AV$24:$BF$34,M28+1)</f>
        <v>0.22857483571700118</v>
      </c>
      <c r="O42" s="16">
        <v>3</v>
      </c>
      <c r="P42" s="32">
        <f t="shared" si="27"/>
        <v>0.22857483571700118</v>
      </c>
      <c r="Q42" s="10">
        <v>3</v>
      </c>
      <c r="R42" s="11">
        <f>P42*N39+P41*N40+P40*N41+P39*N42</f>
        <v>0.21668311753620742</v>
      </c>
      <c r="S42" s="16">
        <v>3</v>
      </c>
      <c r="T42" s="15">
        <f t="shared" si="30"/>
        <v>1.2500000000000002E-7</v>
      </c>
      <c r="U42" s="24">
        <v>3</v>
      </c>
      <c r="V42" s="23">
        <f>R42*T39+R41*T40+R40*T41+R39*T42</f>
        <v>0.21527658729124707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1.7873345000143336E-2</v>
      </c>
      <c r="AF42" s="10">
        <v>3</v>
      </c>
      <c r="AG42" s="9">
        <f>((($W$39)^M42)*((1-($W$39))^($U$29-M42))*HLOOKUP($U$29,$AV$24:$BF$34,M42+1))*V43</f>
        <v>4.6859116072254577E-2</v>
      </c>
      <c r="AH42" s="10">
        <v>3</v>
      </c>
      <c r="AI42" s="9">
        <f>((($W$39)^M42)*((1-($W$39))^($U$30-M42))*HLOOKUP($U$30,$AV$24:$BF$34,M42+1))*V44</f>
        <v>5.2728225366924002E-2</v>
      </c>
      <c r="AJ42" s="10">
        <v>3</v>
      </c>
      <c r="AK42" s="9">
        <f>((($W$39)^M42)*((1-($W$39))^($U$31-M42))*HLOOKUP($U$31,$AV$24:$BF$34,M42+1))*V45</f>
        <v>3.3039560056332941E-2</v>
      </c>
      <c r="AL42" s="10">
        <v>3</v>
      </c>
      <c r="AM42" s="9">
        <f>((($W$39)^Q42)*((1-($W$39))^($U$32-Q42))*HLOOKUP($U$32,$AV$24:$BF$34,Q42+1))*V46</f>
        <v>1.247203400892247E-2</v>
      </c>
      <c r="AN42" s="10">
        <v>3</v>
      </c>
      <c r="AO42" s="9">
        <f>((($W$39)^Q42)*((1-($W$39))^($U$33-Q42))*HLOOKUP($U$33,$AV$24:$BF$34,Q42+1))*V47</f>
        <v>2.8475035920169107E-3</v>
      </c>
      <c r="AP42" s="10">
        <v>3</v>
      </c>
      <c r="AQ42" s="9">
        <f>((($W$39)^Q42)*((1-($W$39))^($U$34-Q42))*HLOOKUP($U$34,$AV$24:$BF$34,Q42+1))*V48</f>
        <v>3.6827232387539601E-4</v>
      </c>
      <c r="AR42" s="10">
        <v>3</v>
      </c>
      <c r="AS42" s="9">
        <f>((($W$39)^Q42)*((1-($W$39))^($U$35-Q42))*HLOOKUP($U$35,$AV$24:$BF$34,Q42+1))*V49</f>
        <v>2.2234891751406212E-5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2.3835985036006262E-5</v>
      </c>
      <c r="BQ42" s="1">
        <f t="shared" si="28"/>
        <v>9</v>
      </c>
      <c r="BR42" s="1">
        <v>3</v>
      </c>
      <c r="BS42" s="2">
        <f t="shared" si="29"/>
        <v>4.5035648500186431E-4</v>
      </c>
    </row>
    <row r="43" spans="1:71" ht="15" customHeight="1" x14ac:dyDescent="0.25">
      <c r="G43" s="27">
        <v>4</v>
      </c>
      <c r="H43" s="26">
        <f>J43*L39+J42*L40+J41*L41+J40*L42</f>
        <v>0.11242946184631103</v>
      </c>
      <c r="I43" s="24">
        <v>4</v>
      </c>
      <c r="J43" s="23">
        <f t="shared" si="26"/>
        <v>6.1505708525863845E-2</v>
      </c>
      <c r="K43" s="25">
        <v>4</v>
      </c>
      <c r="L43" s="23"/>
      <c r="M43" s="17">
        <v>4</v>
      </c>
      <c r="N43" s="32">
        <f>(($C$24)^M29)*((1-($C$24))^($B$21-M29))*HLOOKUP($B$21,$AV$24:$BF$34,M29+1)</f>
        <v>7.5590883561732047E-2</v>
      </c>
      <c r="O43" s="16">
        <v>4</v>
      </c>
      <c r="P43" s="32">
        <f t="shared" si="27"/>
        <v>7.5590883561732047E-2</v>
      </c>
      <c r="Q43" s="10">
        <v>4</v>
      </c>
      <c r="R43" s="11">
        <f>P43*N39+P42*N40+P41*N41+P40*N42+P39*N43</f>
        <v>0.25080380741093961</v>
      </c>
      <c r="S43" s="16">
        <v>4</v>
      </c>
      <c r="T43" s="15">
        <f t="shared" si="30"/>
        <v>0</v>
      </c>
      <c r="U43" s="24">
        <v>4</v>
      </c>
      <c r="V43" s="23">
        <f>T43*R39+T42*R40+T41*R41+T40*R42+T39*R43</f>
        <v>0.2502875278421588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9.0653503524550962E-3</v>
      </c>
      <c r="AH43" s="10">
        <v>4</v>
      </c>
      <c r="AI43" s="9">
        <f>((($W$39)^M43)*((1-($W$39))^($U$30-M43))*HLOOKUP($U$30,$AV$24:$BF$34,M43+1))*V44</f>
        <v>2.0401572905358382E-2</v>
      </c>
      <c r="AJ43" s="10">
        <v>4</v>
      </c>
      <c r="AK43" s="9">
        <f>((($W$39)^M43)*((1-($W$39))^($U$31-M43))*HLOOKUP($U$31,$AV$24:$BF$34,M43+1))*V45</f>
        <v>1.9175469738255454E-2</v>
      </c>
      <c r="AL43" s="10">
        <v>4</v>
      </c>
      <c r="AM43" s="9">
        <f>((($W$39)^Q43)*((1-($W$39))^($U$32-Q43))*HLOOKUP($U$32,$AV$24:$BF$34,Q43+1))*V46</f>
        <v>9.651343633907121E-3</v>
      </c>
      <c r="AN43" s="10">
        <v>4</v>
      </c>
      <c r="AO43" s="9">
        <f>((($W$39)^Q43)*((1-($W$39))^($U$33-Q43))*HLOOKUP($U$33,$AV$24:$BF$34,Q43+1))*V47</f>
        <v>2.7543858970476799E-3</v>
      </c>
      <c r="AP43" s="10">
        <v>4</v>
      </c>
      <c r="AQ43" s="9">
        <f>((($W$39)^Q43)*((1-($W$39))^($U$34-Q43))*HLOOKUP($U$34,$AV$24:$BF$34,Q43+1))*V48</f>
        <v>4.274751110407768E-4</v>
      </c>
      <c r="AR43" s="10">
        <v>4</v>
      </c>
      <c r="AS43" s="9">
        <f>((($W$39)^Q43)*((1-($W$39))^($U$35-Q43))*HLOOKUP($U$35,$AV$24:$BF$34,Q43+1))*V49</f>
        <v>3.0110887799339383E-5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2.6180784049023527E-6</v>
      </c>
      <c r="BQ43" s="1">
        <f t="shared" si="28"/>
        <v>9</v>
      </c>
      <c r="BR43" s="1">
        <v>4</v>
      </c>
      <c r="BS43" s="2">
        <f t="shared" si="29"/>
        <v>2.3855148795202873E-4</v>
      </c>
    </row>
    <row r="44" spans="1:71" ht="15" customHeight="1" thickBot="1" x14ac:dyDescent="0.3">
      <c r="G44" s="27">
        <v>5</v>
      </c>
      <c r="H44" s="26">
        <f>J44*L39+J43*L40+J42*L41+J41*L42</f>
        <v>4.5419011723550645E-2</v>
      </c>
      <c r="I44" s="24">
        <v>5</v>
      </c>
      <c r="J44" s="23">
        <f t="shared" si="26"/>
        <v>1.5638063458698656E-2</v>
      </c>
      <c r="K44" s="25">
        <v>5</v>
      </c>
      <c r="L44" s="23"/>
      <c r="M44" s="17">
        <v>5</v>
      </c>
      <c r="N44" s="32">
        <f>(($C$24)^M30)*((1-($C$24))^($B$21-M30))*HLOOKUP($B$21,$AV$24:$BF$34,M30+1)</f>
        <v>9.9993188834099321E-3</v>
      </c>
      <c r="O44" s="16">
        <v>5</v>
      </c>
      <c r="P44" s="32">
        <f t="shared" si="27"/>
        <v>9.9993188834099321E-3</v>
      </c>
      <c r="Q44" s="10">
        <v>5</v>
      </c>
      <c r="R44" s="11">
        <f>P44*N39+P43*N40+P42*N41+P41*N42+P40*N43+P39*N44</f>
        <v>0.19906108747311371</v>
      </c>
      <c r="S44" s="16">
        <v>5</v>
      </c>
      <c r="T44" s="15">
        <f t="shared" si="30"/>
        <v>0</v>
      </c>
      <c r="U44" s="24">
        <v>5</v>
      </c>
      <c r="V44" s="23">
        <f>T44*R39+T43*R40+T42*R41+T41*R42+T40*R43+T39*R44</f>
        <v>0.19983079178567795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3.1575056745509005E-3</v>
      </c>
      <c r="AJ44" s="10">
        <v>5</v>
      </c>
      <c r="AK44" s="9">
        <f>((($W$39)^M44)*((1-($W$39))^($U$31-M44))*HLOOKUP($U$31,$AV$24:$BF$34,M44+1))*V45</f>
        <v>5.9354888754502219E-3</v>
      </c>
      <c r="AL44" s="10">
        <v>5</v>
      </c>
      <c r="AM44" s="9">
        <f>((($W$39)^Q44)*((1-($W$39))^($U$32-Q44))*HLOOKUP($U$32,$AV$24:$BF$34,Q44+1))*V46</f>
        <v>4.4811504141082977E-3</v>
      </c>
      <c r="AN44" s="10">
        <v>5</v>
      </c>
      <c r="AO44" s="9">
        <f>((($W$39)^Q44)*((1-($W$39))^($U$33-Q44))*HLOOKUP($U$33,$AV$24:$BF$34,Q44+1))*V47</f>
        <v>1.7051605070208674E-3</v>
      </c>
      <c r="AP44" s="10">
        <v>5</v>
      </c>
      <c r="AQ44" s="9">
        <f>((($W$39)^Q44)*((1-($W$39))^($U$34-Q44))*HLOOKUP($U$34,$AV$24:$BF$34,Q44+1))*V48</f>
        <v>3.3079682020154975E-4</v>
      </c>
      <c r="AR44" s="10">
        <v>5</v>
      </c>
      <c r="AS44" s="9">
        <f>((($W$39)^Q44)*((1-($W$39))^($U$35-Q44))*HLOOKUP($U$35,$AV$24:$BF$34,Q44+1))*V49</f>
        <v>2.7961167366818611E-5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2.0600682258042772E-3</v>
      </c>
      <c r="BQ44" s="1">
        <f t="shared" si="28"/>
        <v>9</v>
      </c>
      <c r="BR44" s="1">
        <v>5</v>
      </c>
      <c r="BS44" s="2">
        <f t="shared" si="29"/>
        <v>9.6369516050646726E-5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1.4502698276076569E-2</v>
      </c>
      <c r="I45" s="24">
        <v>6</v>
      </c>
      <c r="J45" s="23">
        <f t="shared" si="26"/>
        <v>2.7698610479594101E-3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0.10971755659841356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0.11105488346788894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7.6551858249719758E-4</v>
      </c>
      <c r="AL45" s="10">
        <v>6</v>
      </c>
      <c r="AM45" s="9">
        <f>((($W$39)^Q45)*((1-($W$39))^($U$32-Q45))*HLOOKUP($U$32,$AV$24:$BF$34,Q45+1))*V46</f>
        <v>1.1558959960832913E-3</v>
      </c>
      <c r="AN45" s="10">
        <v>6</v>
      </c>
      <c r="AO45" s="9">
        <f>((($W$39)^Q45)*((1-($W$39))^($U$33-Q45))*HLOOKUP($U$33,$AV$24:$BF$34,Q45+1))*V47</f>
        <v>6.59759666805443E-4</v>
      </c>
      <c r="AP45" s="10">
        <v>6</v>
      </c>
      <c r="AQ45" s="9">
        <f>((($W$39)^Q45)*((1-($W$39))^($U$34-Q45))*HLOOKUP($U$34,$AV$24:$BF$34,Q45+1))*V48</f>
        <v>1.7065560610696114E-4</v>
      </c>
      <c r="AR45" s="10">
        <v>6</v>
      </c>
      <c r="AS45" s="9">
        <f>((($W$39)^Q45)*((1-($W$39))^($U$35-Q45))*HLOOKUP($U$35,$AV$24:$BF$34,Q45+1))*V49</f>
        <v>1.8031196466517067E-5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5.2278488369898713E-4</v>
      </c>
      <c r="BQ45" s="1">
        <f t="shared" si="28"/>
        <v>9</v>
      </c>
      <c r="BR45" s="1">
        <v>6</v>
      </c>
      <c r="BS45" s="2">
        <f t="shared" si="29"/>
        <v>3.0771651809617762E-5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3.680359386456806E-3</v>
      </c>
      <c r="I46" s="24">
        <v>7</v>
      </c>
      <c r="J46" s="23">
        <f t="shared" si="26"/>
        <v>3.3822358942167034E-4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4.146761710038209E-2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4.2492940875405526E-2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1.2778245032361721E-4</v>
      </c>
      <c r="AN46" s="10">
        <v>7</v>
      </c>
      <c r="AO46" s="9">
        <f>((($W$39)^Q46)*((1-($W$39))^($U$33-Q46))*HLOOKUP($U$33,$AV$24:$BF$34,Q46+1))*V47</f>
        <v>1.458707481205219E-4</v>
      </c>
      <c r="AP46" s="10">
        <v>7</v>
      </c>
      <c r="AQ46" s="9">
        <f>((($W$39)^Q46)*((1-($W$39))^($U$34-Q46))*HLOOKUP($U$34,$AV$24:$BF$34,Q46+1))*V48</f>
        <v>5.6597111462539069E-5</v>
      </c>
      <c r="AR46" s="10">
        <v>7</v>
      </c>
      <c r="AS46" s="9">
        <f>((($W$39)^Q46)*((1-($W$39))^($U$35-Q46))*HLOOKUP($U$35,$AV$24:$BF$34,Q46+1))*V49</f>
        <v>7.9732795149921911E-6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1.0374441507767437E-4</v>
      </c>
      <c r="BQ46" s="1">
        <f t="shared" si="28"/>
        <v>9</v>
      </c>
      <c r="BR46" s="1">
        <v>7</v>
      </c>
      <c r="BS46" s="2">
        <f t="shared" si="29"/>
        <v>7.8089425442384051E-6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7.3035151499031305E-4</v>
      </c>
      <c r="I47" s="24">
        <v>8</v>
      </c>
      <c r="J47" s="23">
        <f t="shared" si="26"/>
        <v>2.7373077624914133E-5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1.0285167019757997E-2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1.075568183593641E-2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1.4110055296905617E-5</v>
      </c>
      <c r="AP47" s="10">
        <v>8</v>
      </c>
      <c r="AQ47" s="9">
        <f>((($W$39)^Q47)*((1-($W$39))^($U$34-Q47))*HLOOKUP($U$34,$AV$24:$BF$34,Q47+1))*V48</f>
        <v>1.0949259980784416E-5</v>
      </c>
      <c r="AR47" s="10">
        <v>8</v>
      </c>
      <c r="AS47" s="9">
        <f>((($W$39)^Q47)*((1-($W$39))^($U$35-Q47))*HLOOKUP($U$35,$AV$24:$BF$34,Q47+1))*V49</f>
        <v>2.3137623472240975E-6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1.5631257490959947E-5</v>
      </c>
      <c r="BQ47" s="1">
        <f>BM12+1</f>
        <v>9</v>
      </c>
      <c r="BR47" s="1">
        <v>8</v>
      </c>
      <c r="BS47" s="2">
        <f t="shared" si="29"/>
        <v>1.5496511125092983E-6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1.1004267151324513E-4</v>
      </c>
      <c r="I48" s="24">
        <v>9</v>
      </c>
      <c r="J48" s="23">
        <f t="shared" si="26"/>
        <v>1.3393244571949041E-6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1.5117146988249373E-3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1.6449989907823671E-3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9.4144022570761917E-7</v>
      </c>
      <c r="AR48" s="10">
        <v>9</v>
      </c>
      <c r="AS48" s="9">
        <f>((($W$39)^Q48)*((1-($W$39))^($U$35-Q48))*HLOOKUP($U$35,$AV$24:$BF$34,Q48+1))*V49</f>
        <v>3.9788423148728483E-7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1.716893915511838E-6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1.2086781455492214E-5</v>
      </c>
      <c r="I49" s="14">
        <v>10</v>
      </c>
      <c r="J49" s="13">
        <f t="shared" si="26"/>
        <v>3.0789824994460564E-8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9.9986378132118446E-5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1.2332290866312601E-4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3.0789824994460564E-8</v>
      </c>
      <c r="BI49" s="1">
        <f>BQ14+1</f>
        <v>6</v>
      </c>
      <c r="BJ49" s="1">
        <v>0</v>
      </c>
      <c r="BK49" s="2">
        <f>$H$31*H39</f>
        <v>6.4321388326622261E-3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2.6167949982178245E-4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5.1929172960671458E-5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7.8242117730685519E-6</v>
      </c>
    </row>
    <row r="53" spans="1:63" x14ac:dyDescent="0.25">
      <c r="BI53" s="1">
        <f>BI48+1</f>
        <v>6</v>
      </c>
      <c r="BJ53" s="1">
        <v>10</v>
      </c>
      <c r="BK53" s="2">
        <f>$H$31*H49</f>
        <v>8.5938969367156898E-7</v>
      </c>
    </row>
    <row r="54" spans="1:63" x14ac:dyDescent="0.25">
      <c r="BI54" s="1">
        <f>BI51+1</f>
        <v>7</v>
      </c>
      <c r="BJ54" s="1">
        <v>8</v>
      </c>
      <c r="BK54" s="2">
        <f>$H$32*H47</f>
        <v>2.0385347220890222E-5</v>
      </c>
    </row>
    <row r="55" spans="1:63" x14ac:dyDescent="0.25">
      <c r="BI55" s="1">
        <f>BI52+1</f>
        <v>7</v>
      </c>
      <c r="BJ55" s="1">
        <v>9</v>
      </c>
      <c r="BK55" s="2">
        <f>$H$32*H48</f>
        <v>3.071477257004965E-6</v>
      </c>
    </row>
    <row r="56" spans="1:63" x14ac:dyDescent="0.25">
      <c r="BI56" s="1">
        <f>BI53+1</f>
        <v>7</v>
      </c>
      <c r="BJ56" s="1">
        <v>10</v>
      </c>
      <c r="BK56" s="2">
        <f>$H$32*H49</f>
        <v>3.3736253255597572E-7</v>
      </c>
    </row>
    <row r="57" spans="1:63" x14ac:dyDescent="0.25">
      <c r="BI57" s="1">
        <f>BI55+1</f>
        <v>8</v>
      </c>
      <c r="BJ57" s="1">
        <v>9</v>
      </c>
      <c r="BK57" s="2">
        <f>$H$33*H48</f>
        <v>9.5589802468047732E-7</v>
      </c>
    </row>
    <row r="58" spans="1:63" x14ac:dyDescent="0.25">
      <c r="BI58" s="1">
        <f>BI56+1</f>
        <v>8</v>
      </c>
      <c r="BJ58" s="1">
        <v>10</v>
      </c>
      <c r="BK58" s="2">
        <f>$H$33*H49</f>
        <v>1.0499318454531508E-7</v>
      </c>
    </row>
    <row r="59" spans="1:63" x14ac:dyDescent="0.25">
      <c r="BI59" s="1">
        <f>BI58+1</f>
        <v>9</v>
      </c>
      <c r="BJ59" s="1">
        <v>10</v>
      </c>
      <c r="BK59" s="2">
        <f>$H$34*H49</f>
        <v>2.564558838412034E-8</v>
      </c>
    </row>
  </sheetData>
  <mergeCells count="1">
    <mergeCell ref="B3:C3"/>
  </mergeCells>
  <conditionalFormatting sqref="H49">
    <cfRule type="cellIs" dxfId="122" priority="1" operator="greaterThan">
      <formula>0.15</formula>
    </cfRule>
  </conditionalFormatting>
  <conditionalFormatting sqref="H39:H49">
    <cfRule type="cellIs" dxfId="121" priority="2" operator="greaterThan">
      <formula>0.15</formula>
    </cfRule>
  </conditionalFormatting>
  <conditionalFormatting sqref="H49">
    <cfRule type="cellIs" dxfId="120" priority="3" operator="greaterThan">
      <formula>0.15</formula>
    </cfRule>
  </conditionalFormatting>
  <conditionalFormatting sqref="H39:H49">
    <cfRule type="cellIs" dxfId="119" priority="4" operator="greaterThan">
      <formula>0.15</formula>
    </cfRule>
  </conditionalFormatting>
  <conditionalFormatting sqref="H35">
    <cfRule type="cellIs" dxfId="118" priority="5" operator="greaterThan">
      <formula>0.15</formula>
    </cfRule>
  </conditionalFormatting>
  <conditionalFormatting sqref="H25:H35">
    <cfRule type="cellIs" dxfId="117" priority="6" operator="greaterThan">
      <formula>0.15</formula>
    </cfRule>
  </conditionalFormatting>
  <conditionalFormatting sqref="H35">
    <cfRule type="cellIs" dxfId="116" priority="7" operator="greaterThan">
      <formula>0.15</formula>
    </cfRule>
  </conditionalFormatting>
  <conditionalFormatting sqref="H25:H35">
    <cfRule type="cellIs" dxfId="115" priority="8" operator="greaterThan">
      <formula>0.15</formula>
    </cfRule>
  </conditionalFormatting>
  <conditionalFormatting sqref="V49">
    <cfRule type="cellIs" dxfId="114" priority="9" operator="greaterThan">
      <formula>0.15</formula>
    </cfRule>
  </conditionalFormatting>
  <conditionalFormatting sqref="V35">
    <cfRule type="cellIs" dxfId="113" priority="10" operator="greaterThan">
      <formula>0.15</formula>
    </cfRule>
  </conditionalFormatting>
  <conditionalFormatting sqref="V25:V35 V39:V49">
    <cfRule type="cellIs" dxfId="112" priority="11" operator="greaterThan">
      <formula>0.15</formula>
    </cfRule>
  </conditionalFormatting>
  <conditionalFormatting sqref="V49">
    <cfRule type="cellIs" dxfId="111" priority="12" operator="greaterThan">
      <formula>0.15</formula>
    </cfRule>
  </conditionalFormatting>
  <conditionalFormatting sqref="V35">
    <cfRule type="cellIs" dxfId="110" priority="13" operator="greaterThan">
      <formula>0.15</formula>
    </cfRule>
  </conditionalFormatting>
  <conditionalFormatting sqref="V25:V35 V39:V49">
    <cfRule type="cellIs" dxfId="109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E54C-D572-41EC-99DC-F559EEA247E3}">
  <sheetPr>
    <tabColor theme="0" tint="-4.9989318521683403E-2"/>
  </sheetPr>
  <dimension ref="A1:BS59"/>
  <sheetViews>
    <sheetView zoomScale="90" zoomScaleNormal="90" workbookViewId="0">
      <selection activeCell="E20" sqref="E20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464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4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245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0.46773708962504795</v>
      </c>
      <c r="U2" s="159">
        <f>SUM(U4:U16)</f>
        <v>0.6806239016786787</v>
      </c>
      <c r="V2" s="4"/>
      <c r="W2" s="4"/>
      <c r="X2" s="158">
        <f>SUM(X4:X16)</f>
        <v>0.300378723253866</v>
      </c>
      <c r="Y2" s="157">
        <f>SUM(Y4:Y16)</f>
        <v>0.35144286778334111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93</v>
      </c>
      <c r="F4" s="143" t="s">
        <v>94</v>
      </c>
      <c r="G4" s="143" t="s">
        <v>131</v>
      </c>
      <c r="H4" s="143" t="s">
        <v>94</v>
      </c>
      <c r="I4" s="143" t="s">
        <v>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1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4.4828990228013031E-2</v>
      </c>
      <c r="U4" s="124">
        <f t="shared" ref="U4:U9" si="4">IF(S4=0,0,S4*Q4^2.7/(P4^2.7+Q4^2.7)*Q4/L4)</f>
        <v>4.4828990228013031E-2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2.5552524429967426E-2</v>
      </c>
      <c r="Y4" s="121">
        <f t="shared" si="5"/>
        <v>2.5552524429967426E-2</v>
      </c>
      <c r="Z4" s="146"/>
      <c r="AA4" s="120">
        <f t="shared" ref="AA4:AA16" si="6">X4</f>
        <v>2.5552524429967426E-2</v>
      </c>
      <c r="AB4" s="119">
        <f t="shared" ref="AB4:AB16" si="7">1-AA4</f>
        <v>0.97444747557003253</v>
      </c>
      <c r="AC4" s="119">
        <f>PRODUCT(AB5:AB16)*AA4</f>
        <v>1.9256702401404629E-2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2.5552524429967426E-2</v>
      </c>
      <c r="AH4" s="117">
        <f t="shared" ref="AH4:AH16" si="9">(1-AG4)</f>
        <v>0.97444747557003253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3.0808499016253044E-2</v>
      </c>
      <c r="BM4" s="1">
        <v>0</v>
      </c>
      <c r="BN4" s="1">
        <v>0</v>
      </c>
      <c r="BO4" s="2">
        <f>H25*H39</f>
        <v>5.5835614216928897E-3</v>
      </c>
      <c r="BQ4" s="1">
        <v>1</v>
      </c>
      <c r="BR4" s="1">
        <v>0</v>
      </c>
      <c r="BS4" s="2">
        <f>$H$26*H39</f>
        <v>3.7544060326007776E-3</v>
      </c>
    </row>
    <row r="5" spans="1:71" ht="15.75" x14ac:dyDescent="0.25">
      <c r="A5" s="65" t="s">
        <v>97</v>
      </c>
      <c r="B5" s="145" t="s">
        <v>465</v>
      </c>
      <c r="C5" s="145">
        <v>352</v>
      </c>
      <c r="E5" s="143" t="s">
        <v>3</v>
      </c>
      <c r="F5" s="143" t="s">
        <v>94</v>
      </c>
      <c r="G5" s="143" t="s">
        <v>131</v>
      </c>
      <c r="H5" s="143" t="s">
        <v>94</v>
      </c>
      <c r="I5" s="143" t="s">
        <v>93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3</v>
      </c>
      <c r="R5" s="96">
        <f t="shared" si="1"/>
        <v>0.35</v>
      </c>
      <c r="S5" s="96">
        <f t="shared" si="2"/>
        <v>0.41840390879478823</v>
      </c>
      <c r="T5" s="125">
        <f t="shared" si="3"/>
        <v>2.5613609068380265E-3</v>
      </c>
      <c r="U5" s="124">
        <f t="shared" si="4"/>
        <v>0.14921738307753152</v>
      </c>
      <c r="V5" s="123">
        <f>$G$17</f>
        <v>0.56999999999999995</v>
      </c>
      <c r="W5" s="117">
        <f>$H$17</f>
        <v>0.56999999999999995</v>
      </c>
      <c r="X5" s="122">
        <f t="shared" si="5"/>
        <v>1.459975716897675E-3</v>
      </c>
      <c r="Y5" s="121">
        <f t="shared" si="5"/>
        <v>8.5053908354192964E-2</v>
      </c>
      <c r="Z5" s="102"/>
      <c r="AA5" s="120">
        <f t="shared" si="6"/>
        <v>1.459975716897675E-3</v>
      </c>
      <c r="AB5" s="119">
        <f t="shared" si="7"/>
        <v>0.99854002428310229</v>
      </c>
      <c r="AC5" s="119">
        <f>PRODUCT(AB6:AB16)*AA5*PRODUCT(AB4)</f>
        <v>1.0737092548880232E-3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3.1124036966286191E-4</v>
      </c>
      <c r="AF5" s="100"/>
      <c r="AG5" s="118">
        <f t="shared" si="8"/>
        <v>8.5053908354192964E-2</v>
      </c>
      <c r="AH5" s="117">
        <f t="shared" si="9"/>
        <v>0.91494609164580698</v>
      </c>
      <c r="AI5" s="117">
        <f>AG5*PRODUCT(AH3:AH4)*PRODUCT(AH6:AH17)</f>
        <v>6.4699899273720565E-2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1.6481324708408449E-2</v>
      </c>
      <c r="AL5" s="98"/>
      <c r="AN5" s="97"/>
      <c r="AO5" s="96"/>
      <c r="BI5" s="1">
        <v>0</v>
      </c>
      <c r="BJ5" s="1">
        <v>2</v>
      </c>
      <c r="BK5" s="2">
        <f t="shared" si="10"/>
        <v>7.7474294465572094E-2</v>
      </c>
      <c r="BM5" s="1">
        <v>1</v>
      </c>
      <c r="BN5" s="1">
        <v>1</v>
      </c>
      <c r="BO5" s="2">
        <f>$H$26*H40</f>
        <v>2.0715741410600636E-2</v>
      </c>
      <c r="BQ5" s="1">
        <f>BQ4+1</f>
        <v>2</v>
      </c>
      <c r="BR5" s="1">
        <v>0</v>
      </c>
      <c r="BS5" s="2">
        <f>$H$27*H39</f>
        <v>1.1335786746014078E-3</v>
      </c>
    </row>
    <row r="6" spans="1:71" ht="15.75" x14ac:dyDescent="0.25">
      <c r="A6" s="144" t="s">
        <v>95</v>
      </c>
      <c r="B6" s="135">
        <v>5.25</v>
      </c>
      <c r="C6" s="134">
        <v>9</v>
      </c>
      <c r="E6" s="142"/>
      <c r="F6" s="143" t="s">
        <v>87</v>
      </c>
      <c r="G6" s="143" t="s">
        <v>87</v>
      </c>
      <c r="H6" s="143" t="s">
        <v>87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4</v>
      </c>
      <c r="R6" s="96">
        <f t="shared" si="1"/>
        <v>0.45</v>
      </c>
      <c r="S6" s="96">
        <f t="shared" si="2"/>
        <v>0.53794788273615635</v>
      </c>
      <c r="T6" s="125">
        <f t="shared" si="3"/>
        <v>1.1037743548374874E-2</v>
      </c>
      <c r="U6" s="124">
        <f t="shared" si="4"/>
        <v>0.1434469383605291</v>
      </c>
      <c r="V6" s="123">
        <f>$G$18</f>
        <v>0.45</v>
      </c>
      <c r="W6" s="117">
        <f>$H$18</f>
        <v>0.45</v>
      </c>
      <c r="X6" s="122">
        <f t="shared" si="5"/>
        <v>4.9669845967686933E-3</v>
      </c>
      <c r="Y6" s="121">
        <f t="shared" si="5"/>
        <v>6.4551122262238095E-2</v>
      </c>
      <c r="Z6" s="102"/>
      <c r="AA6" s="120">
        <f t="shared" si="6"/>
        <v>4.9669845967686933E-3</v>
      </c>
      <c r="AB6" s="119">
        <f t="shared" si="7"/>
        <v>0.9950330154032313</v>
      </c>
      <c r="AC6" s="119">
        <f>PRODUCT(AB7:AB16)*AA6*PRODUCT(AB4:AB5)</f>
        <v>3.6657417315389251E-3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1.0443045554493805E-3</v>
      </c>
      <c r="AF6" s="100"/>
      <c r="AG6" s="118">
        <f t="shared" si="8"/>
        <v>6.4551122262238095E-2</v>
      </c>
      <c r="AH6" s="117">
        <f t="shared" si="9"/>
        <v>0.93544887773776186</v>
      </c>
      <c r="AI6" s="117">
        <f>AG6*PRODUCT(AH3:AH5)*PRODUCT(AH7:AH17)</f>
        <v>4.8027344531847108E-2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8.920091375381585E-3</v>
      </c>
      <c r="AL6" s="98"/>
      <c r="AN6" s="97"/>
      <c r="AO6" s="96"/>
      <c r="BI6" s="1">
        <v>0</v>
      </c>
      <c r="BJ6" s="1">
        <v>3</v>
      </c>
      <c r="BK6" s="2">
        <f t="shared" si="10"/>
        <v>0.11760163656487242</v>
      </c>
      <c r="BM6" s="1">
        <f>BI14+1</f>
        <v>2</v>
      </c>
      <c r="BN6" s="1">
        <v>2</v>
      </c>
      <c r="BO6" s="2">
        <f>$H$27*H41</f>
        <v>1.5728887246544362E-2</v>
      </c>
      <c r="BQ6" s="1">
        <f>BM5+1</f>
        <v>2</v>
      </c>
      <c r="BR6" s="1">
        <v>1</v>
      </c>
      <c r="BS6" s="2">
        <f>$H$27*H40</f>
        <v>6.2547637329857251E-3</v>
      </c>
    </row>
    <row r="7" spans="1:71" ht="15.75" x14ac:dyDescent="0.25">
      <c r="A7" s="141" t="s">
        <v>92</v>
      </c>
      <c r="B7" s="135">
        <v>19.75</v>
      </c>
      <c r="C7" s="134">
        <v>9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1</v>
      </c>
      <c r="R7" s="96">
        <f t="shared" si="1"/>
        <v>0.04</v>
      </c>
      <c r="S7" s="96">
        <f t="shared" si="2"/>
        <v>4.7817589576547234E-2</v>
      </c>
      <c r="T7" s="125">
        <f t="shared" si="3"/>
        <v>1.036005665937155E-2</v>
      </c>
      <c r="U7" s="124">
        <f t="shared" si="4"/>
        <v>7.9717036738262989E-4</v>
      </c>
      <c r="V7" s="123">
        <f>$G$18</f>
        <v>0.45</v>
      </c>
      <c r="W7" s="117">
        <f>$H$18</f>
        <v>0.45</v>
      </c>
      <c r="X7" s="122">
        <f t="shared" si="5"/>
        <v>4.662025496717198E-3</v>
      </c>
      <c r="Y7" s="121">
        <f t="shared" si="5"/>
        <v>3.5872666532218343E-4</v>
      </c>
      <c r="Z7" s="102"/>
      <c r="AA7" s="120">
        <f t="shared" si="6"/>
        <v>4.662025496717198E-3</v>
      </c>
      <c r="AB7" s="119">
        <f t="shared" si="7"/>
        <v>0.99533797450328276</v>
      </c>
      <c r="AC7" s="119">
        <f>PRODUCT(AB8:AB$16)*AA7*PRODUCT(AB$4:AB6)</f>
        <v>3.4396211602425856E-3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9.6377612038673114E-4</v>
      </c>
      <c r="AF7" s="100"/>
      <c r="AG7" s="118">
        <f t="shared" si="8"/>
        <v>3.5872666532218343E-4</v>
      </c>
      <c r="AH7" s="117">
        <f t="shared" si="9"/>
        <v>0.99964127333467778</v>
      </c>
      <c r="AI7" s="117">
        <f>AG7*PRODUCT(AH3:AH6)*PRODUCT(AH8:AH17)</f>
        <v>2.4976082331848952E-4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4.6298307597609584E-5</v>
      </c>
      <c r="AL7" s="98"/>
      <c r="AN7" s="97"/>
      <c r="AO7" s="96"/>
      <c r="BI7" s="1">
        <v>0</v>
      </c>
      <c r="BJ7" s="1">
        <v>4</v>
      </c>
      <c r="BK7" s="2">
        <f t="shared" si="10"/>
        <v>0.12046319427264392</v>
      </c>
      <c r="BM7" s="1">
        <f>BI23+1</f>
        <v>3</v>
      </c>
      <c r="BN7" s="1">
        <v>3</v>
      </c>
      <c r="BO7" s="2">
        <f>$H$28*H42</f>
        <v>5.4068379798154643E-3</v>
      </c>
      <c r="BQ7" s="1">
        <f>BQ5+1</f>
        <v>3</v>
      </c>
      <c r="BR7" s="1">
        <v>0</v>
      </c>
      <c r="BS7" s="2">
        <f>$H$28*H39</f>
        <v>2.5670911425444492E-4</v>
      </c>
    </row>
    <row r="8" spans="1:71" ht="15.75" x14ac:dyDescent="0.25">
      <c r="A8" s="141" t="s">
        <v>90</v>
      </c>
      <c r="B8" s="135">
        <v>21.75</v>
      </c>
      <c r="C8" s="134">
        <v>8.5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1</v>
      </c>
      <c r="Q8" s="126">
        <f>COUNTIF(E10:I11,"RAP")</f>
        <v>1</v>
      </c>
      <c r="R8" s="96">
        <f t="shared" si="1"/>
        <v>0.5</v>
      </c>
      <c r="S8" s="96">
        <f t="shared" si="2"/>
        <v>0.59771986970684043</v>
      </c>
      <c r="T8" s="125">
        <f t="shared" si="3"/>
        <v>3.7357491856677527E-2</v>
      </c>
      <c r="U8" s="124">
        <f t="shared" si="4"/>
        <v>3.7357491856677527E-2</v>
      </c>
      <c r="V8" s="123">
        <f>$G$17</f>
        <v>0.56999999999999995</v>
      </c>
      <c r="W8" s="117">
        <f>$H$17</f>
        <v>0.56999999999999995</v>
      </c>
      <c r="X8" s="122">
        <f t="shared" si="5"/>
        <v>2.129377035830619E-2</v>
      </c>
      <c r="Y8" s="121">
        <f t="shared" si="5"/>
        <v>2.129377035830619E-2</v>
      </c>
      <c r="Z8" s="102"/>
      <c r="AA8" s="120">
        <f t="shared" si="6"/>
        <v>2.129377035830619E-2</v>
      </c>
      <c r="AB8" s="119">
        <f t="shared" si="7"/>
        <v>0.97870622964169385</v>
      </c>
      <c r="AC8" s="119">
        <f>PRODUCT(AB9:AB$16)*AA8*PRODUCT(AB$4:AB7)</f>
        <v>1.5977423795597554E-2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4.1292257656223297E-3</v>
      </c>
      <c r="AF8" s="100"/>
      <c r="AG8" s="118">
        <f t="shared" si="8"/>
        <v>2.129377035830619E-2</v>
      </c>
      <c r="AH8" s="117">
        <f t="shared" si="9"/>
        <v>0.97870622964169385</v>
      </c>
      <c r="AI8" s="117">
        <f>AG8*PRODUCT(AH3:AH7)*PRODUCT(AH9:AH17)</f>
        <v>1.5142760356172465E-2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2.4775602557184952E-3</v>
      </c>
      <c r="AL8" s="98"/>
      <c r="AN8" s="97"/>
      <c r="AO8" s="96"/>
      <c r="BI8" s="1">
        <v>0</v>
      </c>
      <c r="BJ8" s="1">
        <v>5</v>
      </c>
      <c r="BK8" s="2">
        <f t="shared" si="10"/>
        <v>8.8399323741315428E-2</v>
      </c>
      <c r="BM8" s="1">
        <f>BI31+1</f>
        <v>4</v>
      </c>
      <c r="BN8" s="1">
        <v>4</v>
      </c>
      <c r="BO8" s="2">
        <f>$H$29*H43</f>
        <v>9.3159429324390442E-4</v>
      </c>
      <c r="BQ8" s="1">
        <f>BQ6+1</f>
        <v>3</v>
      </c>
      <c r="BR8" s="1">
        <v>1</v>
      </c>
      <c r="BS8" s="2">
        <f>$H$28*H40</f>
        <v>1.4164476570893291E-3</v>
      </c>
    </row>
    <row r="9" spans="1:71" ht="15.75" x14ac:dyDescent="0.25">
      <c r="A9" s="141" t="s">
        <v>88</v>
      </c>
      <c r="B9" s="135">
        <v>18.75</v>
      </c>
      <c r="C9" s="134">
        <v>9</v>
      </c>
      <c r="E9" s="140" t="s">
        <v>3</v>
      </c>
      <c r="F9" s="140" t="s">
        <v>87</v>
      </c>
      <c r="G9" s="140" t="s">
        <v>93</v>
      </c>
      <c r="H9" s="140" t="s">
        <v>87</v>
      </c>
      <c r="I9" s="140" t="s">
        <v>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1</v>
      </c>
      <c r="Q9" s="126">
        <f>COUNTIF(E10:I11,"RAP")</f>
        <v>1</v>
      </c>
      <c r="R9" s="96">
        <f t="shared" si="1"/>
        <v>0.5</v>
      </c>
      <c r="S9" s="96">
        <f t="shared" si="2"/>
        <v>0.59771986970684043</v>
      </c>
      <c r="T9" s="125">
        <f t="shared" si="3"/>
        <v>3.7357491856677527E-2</v>
      </c>
      <c r="U9" s="124">
        <f t="shared" si="4"/>
        <v>3.7357491856677527E-2</v>
      </c>
      <c r="V9" s="123">
        <f>$G$17</f>
        <v>0.56999999999999995</v>
      </c>
      <c r="W9" s="117">
        <f>$H$17</f>
        <v>0.56999999999999995</v>
      </c>
      <c r="X9" s="122">
        <f t="shared" si="5"/>
        <v>2.129377035830619E-2</v>
      </c>
      <c r="Y9" s="121">
        <f t="shared" si="5"/>
        <v>2.129377035830619E-2</v>
      </c>
      <c r="Z9" s="102"/>
      <c r="AA9" s="120">
        <f t="shared" si="6"/>
        <v>2.129377035830619E-2</v>
      </c>
      <c r="AB9" s="119">
        <f t="shared" si="7"/>
        <v>0.97870622964169385</v>
      </c>
      <c r="AC9" s="119">
        <f>PRODUCT(AB10:AB$16)*AA9*PRODUCT(AB$4:AB8)</f>
        <v>1.5977423795597558E-2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3.7816039942299619E-3</v>
      </c>
      <c r="AF9" s="100"/>
      <c r="AG9" s="118">
        <f t="shared" si="8"/>
        <v>2.129377035830619E-2</v>
      </c>
      <c r="AH9" s="117">
        <f t="shared" si="9"/>
        <v>0.97870622964169385</v>
      </c>
      <c r="AI9" s="117">
        <f>AG9*PRODUCT(AH3:AH8)*PRODUCT(AH10:AH17)</f>
        <v>1.5142760356172466E-2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2.1480983070260389E-3</v>
      </c>
      <c r="AL9" s="98"/>
      <c r="AN9" s="97"/>
      <c r="AO9" s="96"/>
      <c r="BI9" s="1">
        <v>0</v>
      </c>
      <c r="BJ9" s="1">
        <v>6</v>
      </c>
      <c r="BK9" s="2">
        <f t="shared" si="10"/>
        <v>4.8346992863875872E-2</v>
      </c>
      <c r="BM9" s="1">
        <f>BI38+1</f>
        <v>5</v>
      </c>
      <c r="BN9" s="1">
        <v>5</v>
      </c>
      <c r="BO9" s="2">
        <f>$H$30*H44</f>
        <v>8.0221703292611936E-5</v>
      </c>
      <c r="BQ9" s="1">
        <f>BM6+1</f>
        <v>3</v>
      </c>
      <c r="BR9" s="1">
        <v>2</v>
      </c>
      <c r="BS9" s="2">
        <f>$H$28*H41</f>
        <v>3.5619483708867442E-3</v>
      </c>
    </row>
    <row r="10" spans="1:71" ht="15.75" x14ac:dyDescent="0.25">
      <c r="A10" s="138" t="s">
        <v>85</v>
      </c>
      <c r="B10" s="135">
        <v>1.5</v>
      </c>
      <c r="C10" s="134">
        <v>19.5</v>
      </c>
      <c r="E10" s="140" t="s">
        <v>93</v>
      </c>
      <c r="F10" s="140" t="s">
        <v>87</v>
      </c>
      <c r="G10" s="140" t="s">
        <v>87</v>
      </c>
      <c r="H10" s="140" t="s">
        <v>93</v>
      </c>
      <c r="I10" s="140" t="s">
        <v>93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8.3680781758957642E-2</v>
      </c>
      <c r="U10" s="124">
        <f>S10*G14</f>
        <v>0.14345276872964169</v>
      </c>
      <c r="V10" s="123">
        <f>$G$18</f>
        <v>0.45</v>
      </c>
      <c r="W10" s="117">
        <f>$H$18</f>
        <v>0.45</v>
      </c>
      <c r="X10" s="122">
        <f t="shared" si="5"/>
        <v>3.7656351791530943E-2</v>
      </c>
      <c r="Y10" s="121">
        <f t="shared" si="5"/>
        <v>6.4553745928338763E-2</v>
      </c>
      <c r="Z10" s="102"/>
      <c r="AA10" s="120">
        <f t="shared" si="6"/>
        <v>3.7656351791530943E-2</v>
      </c>
      <c r="AB10" s="119">
        <f t="shared" si="7"/>
        <v>0.96234364820846907</v>
      </c>
      <c r="AC10" s="119">
        <f>PRODUCT(AB11:AB$16)*AA10*PRODUCT(AB$4:AB9)</f>
        <v>2.8735224851602764E-2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5.676769395338517E-3</v>
      </c>
      <c r="AF10" s="100"/>
      <c r="AG10" s="118">
        <f t="shared" si="8"/>
        <v>6.4553745928338763E-2</v>
      </c>
      <c r="AH10" s="117">
        <f t="shared" si="9"/>
        <v>0.93544625407166127</v>
      </c>
      <c r="AI10" s="117">
        <f>AG10*PRODUCT(AH3:AH9)*PRODUCT(AH11:AH17)</f>
        <v>4.8029431301447753E-2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3.4988457033791713E-3</v>
      </c>
      <c r="AL10" s="98"/>
      <c r="AN10" s="97"/>
      <c r="AO10" s="96"/>
      <c r="BI10" s="1">
        <v>0</v>
      </c>
      <c r="BJ10" s="1">
        <v>7</v>
      </c>
      <c r="BK10" s="2">
        <f t="shared" si="10"/>
        <v>2.035334646224472E-2</v>
      </c>
      <c r="BM10" s="1">
        <f>BI44+1</f>
        <v>6</v>
      </c>
      <c r="BN10" s="1">
        <v>6</v>
      </c>
      <c r="BO10" s="2">
        <f>$H$31*H45</f>
        <v>3.5744124387174569E-6</v>
      </c>
      <c r="BQ10" s="1">
        <f>BQ7+1</f>
        <v>4</v>
      </c>
      <c r="BR10" s="1">
        <v>0</v>
      </c>
      <c r="BS10" s="2">
        <f>$H$29*H39</f>
        <v>4.3180109807258829E-5</v>
      </c>
    </row>
    <row r="11" spans="1:71" ht="15.75" x14ac:dyDescent="0.25">
      <c r="A11" s="138" t="s">
        <v>82</v>
      </c>
      <c r="B11" s="135">
        <v>1</v>
      </c>
      <c r="C11" s="134">
        <v>18</v>
      </c>
      <c r="E11" s="139"/>
      <c r="F11" s="140" t="s">
        <v>87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4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0.1009482446615997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0.9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9.0853420195439724E-2</v>
      </c>
      <c r="Y11" s="121">
        <f t="shared" si="5"/>
        <v>0</v>
      </c>
      <c r="Z11" s="102"/>
      <c r="AA11" s="120">
        <f t="shared" si="6"/>
        <v>9.0853420195439724E-2</v>
      </c>
      <c r="AB11" s="119">
        <f t="shared" si="7"/>
        <v>0.90914657980456026</v>
      </c>
      <c r="AC11" s="119">
        <f>PRODUCT(AB12:AB$16)*AA11*PRODUCT(AB$4:AB10)</f>
        <v>7.3386117719854843E-2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7.164079972502381E-3</v>
      </c>
      <c r="AF11" s="100"/>
      <c r="AG11" s="118">
        <f t="shared" si="8"/>
        <v>0</v>
      </c>
      <c r="AH11" s="117">
        <f t="shared" si="9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0"/>
        <v>6.7883741454175727E-3</v>
      </c>
      <c r="BM11" s="1">
        <f>BI50+1</f>
        <v>7</v>
      </c>
      <c r="BN11" s="1">
        <v>7</v>
      </c>
      <c r="BO11" s="2">
        <f>$H$32*H46</f>
        <v>8.6432446240749851E-8</v>
      </c>
      <c r="BQ11" s="1">
        <f>BQ8+1</f>
        <v>4</v>
      </c>
      <c r="BR11" s="1">
        <v>1</v>
      </c>
      <c r="BS11" s="2">
        <f>$H$29*H40</f>
        <v>2.3825552726082337E-4</v>
      </c>
    </row>
    <row r="12" spans="1:71" ht="15.75" x14ac:dyDescent="0.25">
      <c r="A12" s="138" t="s">
        <v>80</v>
      </c>
      <c r="B12" s="135">
        <v>1.25</v>
      </c>
      <c r="C12" s="134">
        <v>19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1</v>
      </c>
      <c r="Q12" s="126">
        <f>COUNTIF(F11:H11,"IMP")+COUNTIF(E10,"IMP")+COUNTIF(I10,"IMP")</f>
        <v>2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1.2754725878122077E-3</v>
      </c>
      <c r="U12" s="124">
        <f>IF(S12=0,0,S12*Q12^2.7/(P12^2.7+Q12^2.7)*Q12/L12)</f>
        <v>1.657609065499448E-2</v>
      </c>
      <c r="V12" s="123">
        <f>$G$18</f>
        <v>0.45</v>
      </c>
      <c r="W12" s="117">
        <f>$H$18</f>
        <v>0.45</v>
      </c>
      <c r="X12" s="122">
        <f t="shared" si="5"/>
        <v>5.7396266451549343E-4</v>
      </c>
      <c r="Y12" s="121">
        <f t="shared" si="5"/>
        <v>7.4592407947475167E-3</v>
      </c>
      <c r="Z12" s="102"/>
      <c r="AA12" s="120">
        <f t="shared" si="6"/>
        <v>5.7396266451549343E-4</v>
      </c>
      <c r="AB12" s="119">
        <f t="shared" si="7"/>
        <v>0.99942603733548452</v>
      </c>
      <c r="AC12" s="119">
        <f>PRODUCT(AB13:AB$16)*AA12*PRODUCT(AB$4:AB11)</f>
        <v>4.2173488349695604E-4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4.0928291002547253E-5</v>
      </c>
      <c r="AF12" s="100"/>
      <c r="AG12" s="118">
        <f t="shared" si="8"/>
        <v>7.4592407947475167E-3</v>
      </c>
      <c r="AH12" s="117">
        <f t="shared" si="9"/>
        <v>0.99254075920525253</v>
      </c>
      <c r="AI12" s="117">
        <f>AG12*PRODUCT(AH3:AH11)*PRODUCT(AH13:AH17)</f>
        <v>5.2305952208928164E-3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3.417286611033554E-4</v>
      </c>
      <c r="AL12" s="98"/>
      <c r="AN12" s="97"/>
      <c r="AO12" s="96"/>
      <c r="BI12" s="1">
        <v>0</v>
      </c>
      <c r="BJ12" s="1">
        <v>9</v>
      </c>
      <c r="BK12" s="2">
        <f t="shared" si="10"/>
        <v>1.8250472055094291E-3</v>
      </c>
      <c r="BM12" s="1">
        <f>BI54+1</f>
        <v>8</v>
      </c>
      <c r="BN12" s="1">
        <v>8</v>
      </c>
      <c r="BO12" s="2">
        <f>$H$33*H47</f>
        <v>1.1816080350450113E-9</v>
      </c>
      <c r="BQ12" s="1">
        <f>BQ9+1</f>
        <v>4</v>
      </c>
      <c r="BR12" s="1">
        <v>2</v>
      </c>
      <c r="BS12" s="2">
        <f>$H$29*H41</f>
        <v>5.9914242713730663E-4</v>
      </c>
    </row>
    <row r="13" spans="1:71" ht="15.75" x14ac:dyDescent="0.25">
      <c r="A13" s="136" t="s">
        <v>78</v>
      </c>
      <c r="B13" s="135">
        <v>12.75</v>
      </c>
      <c r="C13" s="134">
        <v>14</v>
      </c>
      <c r="E13" s="4"/>
      <c r="F13" s="4" t="s">
        <v>77</v>
      </c>
      <c r="G13" s="137">
        <f>B22</f>
        <v>0.36842105263157893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5"/>
        <v>0</v>
      </c>
      <c r="Z13" s="102"/>
      <c r="AA13" s="120">
        <f t="shared" si="6"/>
        <v>3.0739879013494648E-2</v>
      </c>
      <c r="AB13" s="119">
        <f t="shared" si="7"/>
        <v>0.96926012098650538</v>
      </c>
      <c r="AC13" s="119">
        <f>PRODUCT(AB14:AB$16)*AA13*PRODUCT(AB$4:AB12)</f>
        <v>2.328993898060323E-2</v>
      </c>
      <c r="AD13" s="119">
        <f>AA13*AA14*PRODUCT(AB3:AB12)*PRODUCT(AB15:AB17)+AA13*AA15*PRODUCT(AB3:AB12)*AB14*PRODUCT(AB16:AB17)+AA13*AA16*PRODUCT(AB3:AB12)*AB14*AB15*AB17+AA13*AA17*PRODUCT(AB3:AB12)*AB14*AB15*AB16</f>
        <v>1.5215934953693251E-3</v>
      </c>
      <c r="AF13" s="100"/>
      <c r="AG13" s="118">
        <f t="shared" si="8"/>
        <v>0</v>
      </c>
      <c r="AH13" s="117">
        <f t="shared" si="9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0"/>
        <v>3.8983849780517777E-4</v>
      </c>
      <c r="BM13" s="1">
        <f>BI57+1</f>
        <v>9</v>
      </c>
      <c r="BN13" s="1">
        <v>9</v>
      </c>
      <c r="BO13" s="2">
        <f>$H$34*H48</f>
        <v>9.3041128978540807E-12</v>
      </c>
      <c r="BQ13" s="1">
        <f>BM7+1</f>
        <v>4</v>
      </c>
      <c r="BR13" s="1">
        <v>3</v>
      </c>
      <c r="BS13" s="2">
        <f>$H$29*H42</f>
        <v>9.0946462246401015E-4</v>
      </c>
    </row>
    <row r="14" spans="1:71" ht="15.75" x14ac:dyDescent="0.25">
      <c r="A14" s="136" t="s">
        <v>75</v>
      </c>
      <c r="B14" s="135">
        <v>11.75</v>
      </c>
      <c r="C14" s="134">
        <v>12</v>
      </c>
      <c r="E14" s="4"/>
      <c r="F14" s="4" t="s">
        <v>74</v>
      </c>
      <c r="G14" s="133">
        <f>C22</f>
        <v>0.63157894736842102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5"/>
        <v>6.1326058631921816E-2</v>
      </c>
      <c r="Z14" s="102"/>
      <c r="AA14" s="120">
        <f t="shared" si="6"/>
        <v>6.1326058631921816E-2</v>
      </c>
      <c r="AB14" s="119">
        <f t="shared" si="7"/>
        <v>0.93867394136807814</v>
      </c>
      <c r="AC14" s="119">
        <f>PRODUCT(AB15:AB$16)*AA14*PRODUCT(AB$4:AB13)</f>
        <v>4.7977413794195921E-2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6.1326058631921816E-2</v>
      </c>
      <c r="AH14" s="117">
        <f t="shared" si="9"/>
        <v>0.93867394136807814</v>
      </c>
      <c r="AI14" s="117">
        <f>AG14*PRODUCT(AH3:AH13)*PRODUCT(AH15:AH17)</f>
        <v>4.5471065228589333E-2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5.2093983847471242E-2</v>
      </c>
      <c r="BM14" s="1">
        <f>BQ39+1</f>
        <v>10</v>
      </c>
      <c r="BN14" s="1">
        <v>10</v>
      </c>
      <c r="BO14" s="2">
        <f>$H$35*H49</f>
        <v>4.1051984192181229E-14</v>
      </c>
      <c r="BQ14" s="1">
        <f>BQ10+1</f>
        <v>5</v>
      </c>
      <c r="BR14" s="1">
        <v>0</v>
      </c>
      <c r="BS14" s="2">
        <f>$H$30*H39</f>
        <v>5.0670388497301879E-6</v>
      </c>
    </row>
    <row r="15" spans="1:71" ht="15.75" x14ac:dyDescent="0.25">
      <c r="A15" s="70" t="s">
        <v>72</v>
      </c>
      <c r="B15" s="132">
        <v>5</v>
      </c>
      <c r="C15" s="131">
        <v>10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7.9075747612894487E-2</v>
      </c>
      <c r="BQ15" s="1">
        <f>BQ11+1</f>
        <v>5</v>
      </c>
      <c r="BR15" s="1">
        <v>1</v>
      </c>
      <c r="BS15" s="2">
        <f>$H$30*H40</f>
        <v>2.7958474820520168E-5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8.0999868923524801E-2</v>
      </c>
      <c r="BQ16" s="1">
        <f>BQ12+1</f>
        <v>5</v>
      </c>
      <c r="BR16" s="1">
        <v>2</v>
      </c>
      <c r="BS16" s="2">
        <f>$H$30*H41</f>
        <v>7.0307323635291502E-5</v>
      </c>
    </row>
    <row r="17" spans="1:71" x14ac:dyDescent="0.25">
      <c r="A17" s="116" t="s">
        <v>67</v>
      </c>
      <c r="B17" s="115" t="s">
        <v>139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5.944001135955955E-2</v>
      </c>
      <c r="BQ17" s="1">
        <f>BQ13+1</f>
        <v>5</v>
      </c>
      <c r="BR17" s="1">
        <v>3</v>
      </c>
      <c r="BS17" s="2">
        <f>$H$30*H42</f>
        <v>1.0672257655319016E-4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0.73435582047014369</v>
      </c>
      <c r="AC18" s="107">
        <f>SUM(AC4:AC16)</f>
        <v>0.23320105236902297</v>
      </c>
      <c r="AD18" s="107">
        <f>SUM(AD3:AD17)</f>
        <v>2.4633521959564034E-2</v>
      </c>
      <c r="AE18" s="107">
        <f>IF((1-AB18-AC18-AD18)&lt;0,(1-AB18-AC18-AD18)-1,1-AB18-AC18-AD18)</f>
        <v>7.8096052012693006E-3</v>
      </c>
      <c r="AF18" s="100"/>
      <c r="AG18" s="4"/>
      <c r="AH18" s="108">
        <f>PRODUCT(AH3:AH17)</f>
        <v>0.69599294277991575</v>
      </c>
      <c r="AI18" s="107">
        <f>SUM(AI3:AI17)</f>
        <v>0.241993617092161</v>
      </c>
      <c r="AJ18" s="107">
        <f>SUM(AJ3:AJ17)</f>
        <v>3.3913947318614704E-2</v>
      </c>
      <c r="AK18" s="107">
        <f>IF((1-AH18-AI18-AJ18)&lt;0,(1-AH18-AI18-AJ18)-1,(1-AH18-AI18-AJ18))</f>
        <v>2.8099492809308554E-2</v>
      </c>
      <c r="AL18" s="98"/>
      <c r="AN18" s="97"/>
      <c r="AO18" s="96"/>
      <c r="BI18" s="1">
        <v>1</v>
      </c>
      <c r="BJ18" s="1">
        <v>6</v>
      </c>
      <c r="BK18" s="2">
        <f t="shared" si="11"/>
        <v>3.2508685399436105E-2</v>
      </c>
      <c r="BQ18" s="1">
        <f>BM8+1</f>
        <v>5</v>
      </c>
      <c r="BR18" s="1">
        <v>4</v>
      </c>
      <c r="BS18" s="2">
        <f>$H$30*H43</f>
        <v>1.0931941806364443E-4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1.3685660633119169E-2</v>
      </c>
      <c r="BQ19" s="1">
        <f>BQ15+1</f>
        <v>6</v>
      </c>
      <c r="BR19" s="1">
        <v>1</v>
      </c>
      <c r="BS19" s="2">
        <f>$H$31*H40</f>
        <v>2.2777483268083688E-6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4.5645262796051855E-3</v>
      </c>
      <c r="BQ20" s="1">
        <f>BQ16+1</f>
        <v>6</v>
      </c>
      <c r="BR20" s="1">
        <v>2</v>
      </c>
      <c r="BS20" s="2">
        <f>$H$31*H41</f>
        <v>5.7278656937009644E-6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1.2271680600709381E-3</v>
      </c>
      <c r="BQ21" s="1">
        <f>BQ17+1</f>
        <v>6</v>
      </c>
      <c r="BR21" s="1">
        <v>3</v>
      </c>
      <c r="BS21" s="2">
        <f>$H$31*H42</f>
        <v>8.6945790761909768E-6</v>
      </c>
    </row>
    <row r="22" spans="1:71" x14ac:dyDescent="0.25">
      <c r="A22" s="67" t="s">
        <v>60</v>
      </c>
      <c r="B22" s="74">
        <f>(B6)/((B6)+(C6))</f>
        <v>0.36842105263157893</v>
      </c>
      <c r="C22" s="73">
        <f>1-B22</f>
        <v>0.63157894736842102</v>
      </c>
      <c r="V22" s="52">
        <f>SUM(V25:V35)</f>
        <v>1</v>
      </c>
      <c r="AS22" s="56">
        <f>Y23+AA23+AC23+AE23+AG23+AI23+AK23+AM23+AO23+AQ23+AS23</f>
        <v>1</v>
      </c>
      <c r="BI22" s="1">
        <v>1</v>
      </c>
      <c r="BJ22" s="1">
        <v>10</v>
      </c>
      <c r="BK22" s="2">
        <f t="shared" si="11"/>
        <v>2.621287557101914E-4</v>
      </c>
      <c r="BQ22" s="1">
        <f>BQ18+1</f>
        <v>6</v>
      </c>
      <c r="BR22" s="1">
        <v>4</v>
      </c>
      <c r="BS22" s="2">
        <f>$H$31*H43</f>
        <v>8.9061410960577559E-6</v>
      </c>
    </row>
    <row r="23" spans="1:71" ht="15.75" thickBot="1" x14ac:dyDescent="0.3">
      <c r="A23" s="65" t="s">
        <v>59</v>
      </c>
      <c r="B23" s="64">
        <f>((B22^2.8)/((B22^2.8)+(C22^2.8)))*B21</f>
        <v>0.90529418087088376</v>
      </c>
      <c r="C23" s="63">
        <f>B21-B23</f>
        <v>4.0947058191291159</v>
      </c>
      <c r="D23" s="88">
        <f>SUM(D25:D30)</f>
        <v>1.0003500000000001</v>
      </c>
      <c r="E23" s="88">
        <f>SUM(E25:E30)</f>
        <v>1</v>
      </c>
      <c r="H23" s="50">
        <f>SUM(H25:H35)</f>
        <v>0.99999999999922451</v>
      </c>
      <c r="I23" s="51"/>
      <c r="J23" s="50">
        <f>SUM(J25:J35)</f>
        <v>1.0000000000000004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1.0000000000000002</v>
      </c>
      <c r="S23" s="51"/>
      <c r="T23" s="50">
        <f>SUM(T25:T35)</f>
        <v>1</v>
      </c>
      <c r="V23" s="52">
        <f>SUM(V25:V34)</f>
        <v>0.99999992273951188</v>
      </c>
      <c r="Y23" s="50">
        <f>SUM(Y25:Y35)</f>
        <v>0.13299010729127497</v>
      </c>
      <c r="Z23" s="51"/>
      <c r="AA23" s="50">
        <f>SUM(AA25:AA35)</f>
        <v>0.29669959030341914</v>
      </c>
      <c r="AB23" s="51"/>
      <c r="AC23" s="50">
        <f>SUM(AC25:AC35)</f>
        <v>0.29845718732103865</v>
      </c>
      <c r="AD23" s="51"/>
      <c r="AE23" s="50">
        <f>SUM(AE25:AE35)</f>
        <v>0.17838982435516043</v>
      </c>
      <c r="AF23" s="51"/>
      <c r="AG23" s="50">
        <f>SUM(AG25:AG35)</f>
        <v>7.0238896313963795E-2</v>
      </c>
      <c r="AH23" s="51"/>
      <c r="AI23" s="50">
        <f>SUM(AI25:AI35)</f>
        <v>1.9070872296384666E-2</v>
      </c>
      <c r="AJ23" s="51"/>
      <c r="AK23" s="50">
        <f>SUM(AK25:AK35)</f>
        <v>3.6277192307157357E-3</v>
      </c>
      <c r="AL23" s="51"/>
      <c r="AM23" s="50">
        <f>SUM(AM25:AM35)</f>
        <v>4.8034636455544306E-4</v>
      </c>
      <c r="AN23" s="51"/>
      <c r="AO23" s="50">
        <f>SUM(AO25:AO35)</f>
        <v>4.2949945943264933E-5</v>
      </c>
      <c r="AP23" s="51"/>
      <c r="AQ23" s="50">
        <f>SUM(AQ25:AQ35)</f>
        <v>2.4293170560258754E-6</v>
      </c>
      <c r="AR23" s="51"/>
      <c r="AS23" s="50">
        <f>SUM(AS25:AS35)</f>
        <v>7.7260488118291514E-8</v>
      </c>
      <c r="BI23" s="1">
        <f t="shared" ref="BI23:BI30" si="12">BI15+1</f>
        <v>2</v>
      </c>
      <c r="BJ23" s="1">
        <v>3</v>
      </c>
      <c r="BK23" s="2">
        <f t="shared" ref="BK23:BK30" si="13">$H$27*H42</f>
        <v>2.387556923619295E-2</v>
      </c>
      <c r="BQ23" s="1">
        <f>BM9+1</f>
        <v>6</v>
      </c>
      <c r="BR23" s="1">
        <v>5</v>
      </c>
      <c r="BS23" s="2">
        <f>$H$31*H44</f>
        <v>6.5355800565470412E-6</v>
      </c>
    </row>
    <row r="24" spans="1:71" ht="15.75" thickBot="1" x14ac:dyDescent="0.3">
      <c r="A24" s="67" t="s">
        <v>58</v>
      </c>
      <c r="B24" s="87">
        <f>B23/B21</f>
        <v>0.18105883617417676</v>
      </c>
      <c r="C24" s="86">
        <f>C23/B21</f>
        <v>0.81894116382582316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2.4456524749831336E-2</v>
      </c>
      <c r="BQ24" s="1">
        <f>BI49+1</f>
        <v>7</v>
      </c>
      <c r="BR24" s="1">
        <v>0</v>
      </c>
      <c r="BS24" s="2">
        <f t="shared" ref="BS24:BS30" si="14">$H$32*H39</f>
        <v>2.3711131400805067E-8</v>
      </c>
    </row>
    <row r="25" spans="1:71" x14ac:dyDescent="0.25">
      <c r="A25" s="67" t="s">
        <v>32</v>
      </c>
      <c r="B25" s="77">
        <f>1/(1+EXP(-3.1416*4*((B11/(B11+C8))-(3.1416/6))))</f>
        <v>5.1839625787545836E-3</v>
      </c>
      <c r="C25" s="73">
        <f>1/(1+EXP(-3.1416*4*((C11/(C11+B8))-(3.1416/6))))</f>
        <v>0.29124981281132378</v>
      </c>
      <c r="D25" s="8">
        <f>IF(B17="AOW",0.36-0.08,IF(B17="AIM",0.36+0.08,IF(B17="TL",(0.361)-(0.36*B32),0.36)))</f>
        <v>0.23499999999999999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0.5181026773958548</v>
      </c>
      <c r="I25" s="36">
        <v>0</v>
      </c>
      <c r="J25" s="34">
        <f t="shared" ref="J25:J35" si="15">Y25+AA25+AC25+AE25+AG25+AI25+AK25+AM25+AO25+AQ25+AS25</f>
        <v>0.70551994408399876</v>
      </c>
      <c r="K25" s="36">
        <v>0</v>
      </c>
      <c r="L25" s="34">
        <f>AB18</f>
        <v>0.73435582047014369</v>
      </c>
      <c r="M25" s="17">
        <v>0</v>
      </c>
      <c r="N25" s="32">
        <f>(1-$B$24)^$B$21</f>
        <v>0.36835240242436207</v>
      </c>
      <c r="O25" s="16">
        <v>0</v>
      </c>
      <c r="P25" s="32">
        <f t="shared" ref="P25:P30" si="16">N25</f>
        <v>0.36835240242436207</v>
      </c>
      <c r="Q25" s="10">
        <v>0</v>
      </c>
      <c r="R25" s="11">
        <f>P25*N25</f>
        <v>0.13568349237179919</v>
      </c>
      <c r="S25" s="16">
        <v>0</v>
      </c>
      <c r="T25" s="15">
        <f>(1-$B$33)^(INT(C23*2*(1-C31)))</f>
        <v>0.98014950062500006</v>
      </c>
      <c r="U25" s="24">
        <v>0</v>
      </c>
      <c r="V25" s="23">
        <f>R25*T25</f>
        <v>0.13299010729127497</v>
      </c>
      <c r="W25" s="33">
        <f>B31</f>
        <v>0.18733466159205153</v>
      </c>
      <c r="X25" s="10">
        <v>0</v>
      </c>
      <c r="Y25" s="9">
        <f>V25</f>
        <v>0.13299010729127497</v>
      </c>
      <c r="Z25" s="10">
        <v>0</v>
      </c>
      <c r="AA25" s="9">
        <f>((1-W25)^Z26)*V26</f>
        <v>0.24111747295942779</v>
      </c>
      <c r="AB25" s="10">
        <v>0</v>
      </c>
      <c r="AC25" s="9">
        <f>(((1-$W$25)^AB27))*V27</f>
        <v>0.19710857368507834</v>
      </c>
      <c r="AD25" s="10">
        <v>0</v>
      </c>
      <c r="AE25" s="9">
        <f>(((1-$W$25)^AB28))*V28</f>
        <v>9.5742615654606719E-2</v>
      </c>
      <c r="AF25" s="10">
        <v>0</v>
      </c>
      <c r="AG25" s="9">
        <f>(((1-$W$25)^AB29))*V29</f>
        <v>3.0635475512059786E-2</v>
      </c>
      <c r="AH25" s="10">
        <v>0</v>
      </c>
      <c r="AI25" s="9">
        <f>(((1-$W$25)^AB30))*V30</f>
        <v>6.7597283213948122E-3</v>
      </c>
      <c r="AJ25" s="10">
        <v>0</v>
      </c>
      <c r="AK25" s="9">
        <f>(((1-$W$25)^AB31))*V31</f>
        <v>1.0449706379627162E-3</v>
      </c>
      <c r="AL25" s="10">
        <v>0</v>
      </c>
      <c r="AM25" s="9">
        <f>(((1-$W$25)^AB32))*V32</f>
        <v>1.1244409807181611E-4</v>
      </c>
      <c r="AN25" s="10">
        <v>0</v>
      </c>
      <c r="AO25" s="9">
        <f>(((1-$W$25)^AB33))*V33</f>
        <v>8.1706482704485083E-6</v>
      </c>
      <c r="AP25" s="10">
        <v>0</v>
      </c>
      <c r="AQ25" s="9">
        <f>(((1-$W$25)^AB34))*V34</f>
        <v>3.7556907966511416E-7</v>
      </c>
      <c r="AR25" s="10">
        <v>0</v>
      </c>
      <c r="AS25" s="9">
        <f>(((1-$W$25)^AB35))*V35</f>
        <v>9.7067716921333293E-9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1.794689458470379E-2</v>
      </c>
      <c r="BQ25" s="1">
        <f>BQ19+1</f>
        <v>7</v>
      </c>
      <c r="BR25" s="1">
        <v>1</v>
      </c>
      <c r="BS25" s="2">
        <f t="shared" si="14"/>
        <v>1.3083125862963403E-7</v>
      </c>
    </row>
    <row r="26" spans="1:71" x14ac:dyDescent="0.25">
      <c r="A26" s="65" t="s">
        <v>31</v>
      </c>
      <c r="B26" s="74">
        <f>1/(1+EXP(-3.1416*4*((B10/(B10+C9))-(3.1416/6))))</f>
        <v>8.2884686537739605E-3</v>
      </c>
      <c r="C26" s="73">
        <f>1/(1+EXP(-3.1416*4*((C10/(C10+B9))-(3.1416/6))))</f>
        <v>0.4567664718416985</v>
      </c>
      <c r="D26" s="8">
        <f>IF(B17="AOW",0.257+0.04,IF(B17="AIM",0.257-0.04,IF(B17="TL",(0.257)-(0.257*B32),0.257)))</f>
        <v>0.16705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0.34837403417187685</v>
      </c>
      <c r="I26" s="24">
        <v>1</v>
      </c>
      <c r="J26" s="23">
        <f t="shared" si="15"/>
        <v>0.2503500831878116</v>
      </c>
      <c r="K26" s="24">
        <v>1</v>
      </c>
      <c r="L26" s="23">
        <f>AC18</f>
        <v>0.23320105236902297</v>
      </c>
      <c r="M26" s="17">
        <v>1</v>
      </c>
      <c r="N26" s="32">
        <f>(($B$24)^M26)*((1-($B$24))^($B$21-M26))*HLOOKUP($B$21,$AV$24:$BF$34,M26+1)</f>
        <v>0.40719321625833993</v>
      </c>
      <c r="O26" s="16">
        <v>1</v>
      </c>
      <c r="P26" s="32">
        <f t="shared" si="16"/>
        <v>0.40719321625833993</v>
      </c>
      <c r="Q26" s="10">
        <v>1</v>
      </c>
      <c r="R26" s="11">
        <f>N26*P25+P26*N25</f>
        <v>0.29998119891932462</v>
      </c>
      <c r="S26" s="16">
        <v>1</v>
      </c>
      <c r="T26" s="15">
        <f t="shared" ref="T26:T35" si="17">(($B$33)^S26)*((1-($B$33))^(INT($C$23*2*(1-$C$31))-S26))*HLOOKUP(INT($C$23*2*(1-$C$31)),$AV$24:$BF$34,S26+1)</f>
        <v>1.9701497500000002E-2</v>
      </c>
      <c r="U26" s="24">
        <v>1</v>
      </c>
      <c r="V26" s="23">
        <f>R26*T25+T26*R25</f>
        <v>0.29669959030341914</v>
      </c>
      <c r="W26" s="12"/>
      <c r="X26" s="10">
        <v>1</v>
      </c>
      <c r="Y26" s="11"/>
      <c r="Z26" s="10">
        <v>1</v>
      </c>
      <c r="AA26" s="9">
        <f>(1-((1-W25)^Z26))*V26</f>
        <v>5.5582117343991343E-2</v>
      </c>
      <c r="AB26" s="10">
        <v>1</v>
      </c>
      <c r="AC26" s="9">
        <f>((($W$25)^M26)*((1-($W$25))^($U$27-M26))*HLOOKUP($U$27,$AV$24:$BF$34,M26+1))*V27</f>
        <v>9.0874474898916008E-2</v>
      </c>
      <c r="AD26" s="10">
        <v>1</v>
      </c>
      <c r="AE26" s="9">
        <f>((($W$25)^M26)*((1-($W$25))^($U$28-M26))*HLOOKUP($U$28,$AV$24:$BF$34,M26+1))*V28</f>
        <v>6.6211426730950304E-2</v>
      </c>
      <c r="AF26" s="10">
        <v>1</v>
      </c>
      <c r="AG26" s="9">
        <f>((($W$25)^M26)*((1-($W$25))^($U$29-M26))*HLOOKUP($U$29,$AV$24:$BF$34,M26+1))*V29</f>
        <v>2.8248215675133651E-2</v>
      </c>
      <c r="AH26" s="10">
        <v>1</v>
      </c>
      <c r="AI26" s="9">
        <f>((($W$25)^M26)*((1-($W$25))^($U$30-M26))*HLOOKUP($U$30,$AV$24:$BF$34,M26+1))*V30</f>
        <v>7.7912232606321651E-3</v>
      </c>
      <c r="AJ26" s="10">
        <v>1</v>
      </c>
      <c r="AK26" s="9">
        <f>((($W$25)^M26)*((1-($W$25))^($U$31-M26))*HLOOKUP($U$31,$AV$24:$BF$34,M26+1))*V31</f>
        <v>1.4453124422893013E-3</v>
      </c>
      <c r="AL26" s="10">
        <v>1</v>
      </c>
      <c r="AM26" s="9">
        <f>((($W$25)^Q26)*((1-($W$25))^($U$32-Q26))*HLOOKUP($U$32,$AV$24:$BF$34,Q26+1))*V32</f>
        <v>1.8144337214014454E-4</v>
      </c>
      <c r="AN26" s="10">
        <v>1</v>
      </c>
      <c r="AO26" s="9">
        <f>((($W$25)^Q26)*((1-($W$25))^($U$33-Q26))*HLOOKUP($U$33,$AV$24:$BF$34,Q26+1))*V33</f>
        <v>1.5067906124612253E-5</v>
      </c>
      <c r="AP26" s="10">
        <v>1</v>
      </c>
      <c r="AQ26" s="9">
        <f>((($W$25)^Q26)*((1-($W$25))^($U$34-Q26))*HLOOKUP($U$34,$AV$24:$BF$34,Q26+1))*V34</f>
        <v>7.7918169763708512E-7</v>
      </c>
      <c r="AR26" s="10">
        <v>1</v>
      </c>
      <c r="AS26" s="9">
        <f>((($W$25)^Q26)*((1-($W$25))^($U$35-Q26))*HLOOKUP($U$35,$AV$24:$BF$34,Q26+1))*V35</f>
        <v>2.237593636833911E-8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9.8154414275216616E-3</v>
      </c>
      <c r="BQ26" s="1">
        <f>BQ20+1</f>
        <v>7</v>
      </c>
      <c r="BR26" s="1">
        <v>2</v>
      </c>
      <c r="BS26" s="2">
        <f t="shared" si="14"/>
        <v>3.2900205397953349E-7</v>
      </c>
    </row>
    <row r="27" spans="1:71" x14ac:dyDescent="0.25">
      <c r="A27" s="67" t="s">
        <v>30</v>
      </c>
      <c r="B27" s="74">
        <f>1/(1+EXP(-3.1416*4*((B12/(B12+C7))-(3.1416/6))))</f>
        <v>6.3857555350523773E-3</v>
      </c>
      <c r="C27" s="73">
        <f>1/(1+EXP(-3.1416*4*((C12/(C12+B7))-(3.1416/6))))</f>
        <v>0.39695297341787411</v>
      </c>
      <c r="D27" s="8">
        <f>D26</f>
        <v>0.16705</v>
      </c>
      <c r="E27" s="8">
        <f>E26</f>
        <v>0.25700000000000001</v>
      </c>
      <c r="G27" s="62">
        <v>2</v>
      </c>
      <c r="H27" s="61">
        <f>L25*J27+J26*L26+J25*L27</f>
        <v>0.10518557995405131</v>
      </c>
      <c r="I27" s="24">
        <v>2</v>
      </c>
      <c r="J27" s="23">
        <f t="shared" si="15"/>
        <v>4.006809129617827E-2</v>
      </c>
      <c r="K27" s="24">
        <v>2</v>
      </c>
      <c r="L27" s="23">
        <f>AD18</f>
        <v>2.4633521959564034E-2</v>
      </c>
      <c r="M27" s="17">
        <v>2</v>
      </c>
      <c r="N27" s="32">
        <f>(($B$24)^M27)*((1-($B$24))^($B$21-M27))*HLOOKUP($B$21,$AV$24:$BF$34,M27+1)</f>
        <v>0.18005183544403028</v>
      </c>
      <c r="O27" s="16">
        <v>2</v>
      </c>
      <c r="P27" s="32">
        <f t="shared" si="16"/>
        <v>0.18005183544403028</v>
      </c>
      <c r="Q27" s="10">
        <v>2</v>
      </c>
      <c r="R27" s="11">
        <f>P25*N27+P26*N26+P27*N25</f>
        <v>0.29845136766026015</v>
      </c>
      <c r="S27" s="16">
        <v>2</v>
      </c>
      <c r="T27" s="15">
        <f t="shared" si="17"/>
        <v>1.4850375000000001E-4</v>
      </c>
      <c r="U27" s="24">
        <v>2</v>
      </c>
      <c r="V27" s="23">
        <f>R27*T25+T26*R26+R25*T27</f>
        <v>0.2984571873210386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1.0474138737044298E-2</v>
      </c>
      <c r="AD27" s="10">
        <v>2</v>
      </c>
      <c r="AE27" s="9">
        <f>((($W$25)^M27)*((1-($W$25))^($U$28-M27))*HLOOKUP($U$28,$AV$24:$BF$34,M27+1))*V28</f>
        <v>1.526298050864202E-2</v>
      </c>
      <c r="AF27" s="10">
        <v>2</v>
      </c>
      <c r="AG27" s="9">
        <f>((($W$25)^M27)*((1-($W$25))^($U$29-M27))*HLOOKUP($U$29,$AV$24:$BF$34,M27+1))*V29</f>
        <v>9.7676183675696367E-3</v>
      </c>
      <c r="AH27" s="10">
        <v>2</v>
      </c>
      <c r="AI27" s="9">
        <f>((($W$25)^M27)*((1-($W$25))^($U$30-M27))*HLOOKUP($U$30,$AV$24:$BF$34,M27+1))*V30</f>
        <v>3.5920473137885001E-3</v>
      </c>
      <c r="AJ27" s="10">
        <v>2</v>
      </c>
      <c r="AK27" s="9">
        <f>((($W$25)^M27)*((1-($W$25))^($U$31-M27))*HLOOKUP($U$31,$AV$24:$BF$34,M27+1))*V31</f>
        <v>8.3292932673083579E-4</v>
      </c>
      <c r="AL27" s="10">
        <v>2</v>
      </c>
      <c r="AM27" s="9">
        <f>((($W$25)^Q27)*((1-($W$25))^($U$32-Q27))*HLOOKUP($U$32,$AV$24:$BF$34,Q27+1))*V32</f>
        <v>1.2547834063373727E-4</v>
      </c>
      <c r="AN27" s="10">
        <v>2</v>
      </c>
      <c r="AO27" s="9">
        <f>((($W$25)^Q27)*((1-($W$25))^($U$33-Q27))*HLOOKUP($U$33,$AV$24:$BF$34,Q27+1))*V33</f>
        <v>1.2157026225576748E-5</v>
      </c>
      <c r="AP27" s="10">
        <v>2</v>
      </c>
      <c r="AQ27" s="9">
        <f>((($W$25)^Q27)*((1-($W$25))^($U$34-Q27))*HLOOKUP($U$34,$AV$24:$BF$34,Q27+1))*V34</f>
        <v>7.1846420782026486E-7</v>
      </c>
      <c r="AR27" s="10">
        <v>2</v>
      </c>
      <c r="AS27" s="9">
        <f>((($W$25)^Q27)*((1-($W$25))^($U$35-Q27))*HLOOKUP($U$35,$AV$24:$BF$34,Q27+1))*V35</f>
        <v>2.3211335849650034E-8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4.1321511064132512E-3</v>
      </c>
      <c r="BQ27" s="1">
        <f>BQ21+1</f>
        <v>7</v>
      </c>
      <c r="BR27" s="1">
        <v>3</v>
      </c>
      <c r="BS27" s="2">
        <f t="shared" si="14"/>
        <v>4.9940667737724488E-7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2.3820223216389606E-2</v>
      </c>
      <c r="I28" s="24">
        <v>3</v>
      </c>
      <c r="J28" s="23">
        <f t="shared" si="15"/>
        <v>3.8121379104849042E-3</v>
      </c>
      <c r="K28" s="24">
        <v>3</v>
      </c>
      <c r="L28" s="23">
        <f>AE18</f>
        <v>7.8096052012693006E-3</v>
      </c>
      <c r="M28" s="17">
        <v>3</v>
      </c>
      <c r="N28" s="32">
        <f>(($B$24)^M28)*((1-($B$24))^($B$21-M28))*HLOOKUP($B$21,$AV$24:$BF$34,M28+1)</f>
        <v>3.9807469958188652E-2</v>
      </c>
      <c r="O28" s="16">
        <v>3</v>
      </c>
      <c r="P28" s="32">
        <f t="shared" si="16"/>
        <v>3.9807469958188652E-2</v>
      </c>
      <c r="Q28" s="10">
        <v>3</v>
      </c>
      <c r="R28" s="11">
        <f>P25*N28+P26*N27+P27*N26+P28*N25</f>
        <v>0.17595812632241292</v>
      </c>
      <c r="S28" s="16">
        <v>3</v>
      </c>
      <c r="T28" s="15">
        <f t="shared" si="17"/>
        <v>4.9750000000000011E-7</v>
      </c>
      <c r="U28" s="24">
        <v>3</v>
      </c>
      <c r="V28" s="23">
        <f>R28*T25+R27*T26+R26*T27+R25*T28</f>
        <v>0.17838982435516038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1.1728014609613728E-3</v>
      </c>
      <c r="AF28" s="10">
        <v>3</v>
      </c>
      <c r="AG28" s="9">
        <f>((($W$25)^M28)*((1-($W$25))^($U$29-M28))*HLOOKUP($U$29,$AV$24:$BF$34,M28+1))*V29</f>
        <v>1.5010799607734053E-3</v>
      </c>
      <c r="AH28" s="10">
        <v>3</v>
      </c>
      <c r="AI28" s="9">
        <f>((($W$25)^M28)*((1-($W$25))^($U$30-M28))*HLOOKUP($U$30,$AV$24:$BF$34,M28+1))*V30</f>
        <v>8.2803453789413489E-4</v>
      </c>
      <c r="AJ28" s="10">
        <v>3</v>
      </c>
      <c r="AK28" s="9">
        <f>((($W$25)^M28)*((1-($W$25))^($U$31-M28))*HLOOKUP($U$31,$AV$24:$BF$34,M28+1))*V31</f>
        <v>2.560078565819803E-4</v>
      </c>
      <c r="AL28" s="10">
        <v>3</v>
      </c>
      <c r="AM28" s="9">
        <f>((($W$25)^Q28)*((1-($W$25))^($U$32-Q28))*HLOOKUP($U$32,$AV$24:$BF$34,Q28+1))*V32</f>
        <v>4.8208533428622288E-5</v>
      </c>
      <c r="AN28" s="10">
        <v>3</v>
      </c>
      <c r="AO28" s="9">
        <f>((($W$25)^Q28)*((1-($W$25))^($U$33-Q28))*HLOOKUP($U$33,$AV$24:$BF$34,Q28+1))*V33</f>
        <v>5.6048468817329336E-6</v>
      </c>
      <c r="AP28" s="10">
        <v>3</v>
      </c>
      <c r="AQ28" s="9">
        <f>((($W$25)^Q28)*((1-($W$25))^($U$34-Q28))*HLOOKUP($U$34,$AV$24:$BF$34,Q28+1))*V34</f>
        <v>3.8644556380850806E-7</v>
      </c>
      <c r="AR28" s="10">
        <v>3</v>
      </c>
      <c r="AS28" s="9">
        <f>((($W$25)^Q28)*((1-($W$25))^($U$35-Q28))*HLOOKUP($U$35,$AV$24:$BF$34,Q28+1))*V35</f>
        <v>1.4268399847550698E-8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1.3781806243886199E-3</v>
      </c>
      <c r="BQ28" s="1">
        <f>BQ22+1</f>
        <v>7</v>
      </c>
      <c r="BR28" s="1">
        <v>4</v>
      </c>
      <c r="BS28" s="2">
        <f t="shared" si="14"/>
        <v>5.1155855781619683E-7</v>
      </c>
    </row>
    <row r="29" spans="1:71" x14ac:dyDescent="0.25">
      <c r="A29" s="67" t="s">
        <v>28</v>
      </c>
      <c r="B29" s="74">
        <f>1/(1+EXP(-3.1416*4*((B14/(B14+C13))-(3.1416/6))))</f>
        <v>0.3003599256256817</v>
      </c>
      <c r="C29" s="73">
        <f>1/(1+EXP(-3.1416*4*((C14/(C14+B13))-(3.1416/6))))</f>
        <v>0.38060831534430095</v>
      </c>
      <c r="D29" s="8">
        <v>0.04</v>
      </c>
      <c r="E29" s="8">
        <v>0.04</v>
      </c>
      <c r="G29" s="62">
        <v>4</v>
      </c>
      <c r="H29" s="61">
        <f>J29*L25+J28*L26+J27*L27+J26*L28</f>
        <v>4.0067134238858043E-3</v>
      </c>
      <c r="I29" s="24">
        <v>4</v>
      </c>
      <c r="J29" s="23">
        <f t="shared" si="15"/>
        <v>2.3907393101142384E-4</v>
      </c>
      <c r="K29" s="24">
        <v>4</v>
      </c>
      <c r="L29" s="23"/>
      <c r="M29" s="17">
        <v>4</v>
      </c>
      <c r="N29" s="32">
        <f>(($B$24)^M29)*((1-($B$24))^($B$21-M29))*HLOOKUP($B$21,$AV$24:$BF$34,M29+1)</f>
        <v>4.4004957254786805E-3</v>
      </c>
      <c r="O29" s="16">
        <v>4</v>
      </c>
      <c r="P29" s="32">
        <f t="shared" si="16"/>
        <v>4.4004957254786805E-3</v>
      </c>
      <c r="Q29" s="10">
        <v>4</v>
      </c>
      <c r="R29" s="11">
        <f>P25*N29+P26*N28+P27*N27+P28*N26+P29*N25</f>
        <v>6.807919323820473E-2</v>
      </c>
      <c r="S29" s="16">
        <v>4</v>
      </c>
      <c r="T29" s="15">
        <f t="shared" si="17"/>
        <v>6.2500000000000001E-10</v>
      </c>
      <c r="U29" s="24">
        <v>4</v>
      </c>
      <c r="V29" s="23">
        <f>T29*R25+T28*R26+T27*R27+T26*R28+T25*R29</f>
        <v>7.0238896313963767E-2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8.6506798427317264E-5</v>
      </c>
      <c r="AH29" s="10">
        <v>4</v>
      </c>
      <c r="AI29" s="9">
        <f>((($W$25)^M29)*((1-($W$25))^($U$30-M29))*HLOOKUP($U$30,$AV$24:$BF$34,M29+1))*V30</f>
        <v>9.5438775724590035E-5</v>
      </c>
      <c r="AJ29" s="10">
        <v>4</v>
      </c>
      <c r="AK29" s="9">
        <f>((($W$25)^M29)*((1-($W$25))^($U$31-M29))*HLOOKUP($U$31,$AV$24:$BF$34,M29+1))*V31</f>
        <v>4.4260973346955532E-5</v>
      </c>
      <c r="AL29" s="10">
        <v>4</v>
      </c>
      <c r="AM29" s="9">
        <f>((($W$25)^Q29)*((1-($W$25))^($U$32-Q29))*HLOOKUP($U$32,$AV$24:$BF$34,Q29+1))*V32</f>
        <v>1.1112974638973143E-5</v>
      </c>
      <c r="AN29" s="10">
        <v>4</v>
      </c>
      <c r="AO29" s="9">
        <f>((($W$25)^Q29)*((1-($W$25))^($U$33-Q29))*HLOOKUP($U$33,$AV$24:$BF$34,Q29+1))*V33</f>
        <v>1.615028419819269E-6</v>
      </c>
      <c r="AP29" s="10">
        <v>4</v>
      </c>
      <c r="AQ29" s="9">
        <f>((($W$25)^Q29)*((1-($W$25))^($U$34-Q29))*HLOOKUP($U$34,$AV$24:$BF$34,Q29+1))*V34</f>
        <v>1.3362446784362878E-7</v>
      </c>
      <c r="AR29" s="10">
        <v>4</v>
      </c>
      <c r="AS29" s="9">
        <f>((($W$25)^Q29)*((1-($W$25))^($U$35-Q29))*HLOOKUP($U$35,$AV$24:$BF$34,Q29+1))*V35</f>
        <v>5.7559859249572021E-9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3.7052240247034451E-4</v>
      </c>
      <c r="BQ29" s="1">
        <f>BQ23+1</f>
        <v>7</v>
      </c>
      <c r="BR29" s="1">
        <v>5</v>
      </c>
      <c r="BS29" s="2">
        <f t="shared" si="14"/>
        <v>3.7539624312704935E-7</v>
      </c>
    </row>
    <row r="30" spans="1:71" x14ac:dyDescent="0.25">
      <c r="A30" s="67" t="s">
        <v>27</v>
      </c>
      <c r="B30" s="72">
        <f>IF(B17="TL",0.55,0.15)</f>
        <v>0.55000000000000004</v>
      </c>
      <c r="C30" s="71">
        <f>IF(C17="TL",0.55,0.15)</f>
        <v>0.15</v>
      </c>
      <c r="D30" s="8">
        <f>IF(B17="TL",0.875*B32,0.001)</f>
        <v>0.30624999999999997</v>
      </c>
      <c r="E30" s="8">
        <f>IF(C17="TL",0.875*C32,0.001)</f>
        <v>1E-3</v>
      </c>
      <c r="G30" s="62">
        <v>5</v>
      </c>
      <c r="H30" s="61">
        <f>J30*L25+J29*L26+J28*L27+J27*L28</f>
        <v>4.7017417670280946E-4</v>
      </c>
      <c r="I30" s="24">
        <v>5</v>
      </c>
      <c r="J30" s="23">
        <f t="shared" si="15"/>
        <v>1.0348562730390609E-5</v>
      </c>
      <c r="K30" s="24">
        <v>5</v>
      </c>
      <c r="L30" s="23"/>
      <c r="M30" s="17">
        <v>5</v>
      </c>
      <c r="N30" s="32">
        <f>(($B$24)^M30)*((1-($B$24))^($B$21-M30))*HLOOKUP($B$21,$AV$24:$BF$34,M30+1)</f>
        <v>1.9458018960054772E-4</v>
      </c>
      <c r="O30" s="16">
        <v>5</v>
      </c>
      <c r="P30" s="32">
        <f t="shared" si="16"/>
        <v>1.9458018960054772E-4</v>
      </c>
      <c r="Q30" s="10">
        <v>5</v>
      </c>
      <c r="R30" s="11">
        <f>P25*N30+P26*N29+P27*N28+P28*N27+P29*N26+P30*N25</f>
        <v>1.8061868236494506E-2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1.9070872296384659E-2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4.4000869504663746E-6</v>
      </c>
      <c r="AJ30" s="10">
        <v>5</v>
      </c>
      <c r="AK30" s="9">
        <f>((($W$25)^M30)*((1-($W$25))^($U$31-M30))*HLOOKUP($U$31,$AV$24:$BF$34,M30+1))*V31</f>
        <v>4.0811950857559183E-6</v>
      </c>
      <c r="AL30" s="10">
        <v>5</v>
      </c>
      <c r="AM30" s="9">
        <f>((($W$25)^Q30)*((1-($W$25))^($U$32-Q30))*HLOOKUP($U$32,$AV$24:$BF$34,Q30+1))*V32</f>
        <v>1.5370499354764084E-6</v>
      </c>
      <c r="AN30" s="10">
        <v>5</v>
      </c>
      <c r="AO30" s="9">
        <f>((($W$25)^Q30)*((1-($W$25))^($U$33-Q30))*HLOOKUP($U$33,$AV$24:$BF$34,Q30+1))*V33</f>
        <v>2.9783556717809607E-7</v>
      </c>
      <c r="AP30" s="10">
        <v>5</v>
      </c>
      <c r="AQ30" s="9">
        <f>((($W$25)^Q30)*((1-($W$25))^($U$34-Q30))*HLOOKUP($U$34,$AV$24:$BF$34,Q30+1))*V34</f>
        <v>3.0802955756602165E-8</v>
      </c>
      <c r="AR30" s="10">
        <v>5</v>
      </c>
      <c r="AS30" s="9">
        <f>((($W$25)^Q30)*((1-($W$25))^($U$35-Q30))*HLOOKUP($U$35,$AV$24:$BF$34,Q30+1))*V35</f>
        <v>1.5922357572078614E-9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7.9145293527838187E-5</v>
      </c>
      <c r="BQ30" s="1">
        <f>BM10+1</f>
        <v>7</v>
      </c>
      <c r="BR30" s="1">
        <v>6</v>
      </c>
      <c r="BS30" s="2">
        <f t="shared" si="14"/>
        <v>2.053101621082514E-7</v>
      </c>
    </row>
    <row r="31" spans="1:71" x14ac:dyDescent="0.25">
      <c r="A31" s="70" t="s">
        <v>26</v>
      </c>
      <c r="B31" s="69">
        <f>(B25*D25)+(B26*D26)+(B27*D27)+(B28*D28)+(B29*D29)+(B30*D30)/(B25+B26+B27+B28+B29+B30)</f>
        <v>0.18733466159205153</v>
      </c>
      <c r="C31" s="68">
        <f>(C25*E25)+(C26*E26)+(C27*E27)+(C28*E28)+(C29*E29)+(C30*E30)/(C25+C26+C27+C28+C29+C30)</f>
        <v>0.41603840202163317</v>
      </c>
      <c r="G31" s="62">
        <v>6</v>
      </c>
      <c r="H31" s="61">
        <f>J31*L25+J30*L26+J29*L27+J28*L28</f>
        <v>3.8304608930502516E-5</v>
      </c>
      <c r="I31" s="24">
        <v>6</v>
      </c>
      <c r="J31" s="23">
        <f t="shared" si="15"/>
        <v>3.1427302899679917E-7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3.3277327953913929E-3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3.6277192307157331E-3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1.5679871819048718E-7</v>
      </c>
      <c r="AL31" s="10">
        <v>6</v>
      </c>
      <c r="AM31" s="9">
        <f>((($W$25)^Q31)*((1-($W$25))^($U$32-Q31))*HLOOKUP($U$32,$AV$24:$BF$34,Q31+1))*V32</f>
        <v>1.1810631671033313E-7</v>
      </c>
      <c r="AN31" s="10">
        <v>6</v>
      </c>
      <c r="AO31" s="9">
        <f>((($W$25)^Q31)*((1-($W$25))^($U$33-Q31))*HLOOKUP($U$33,$AV$24:$BF$34,Q31+1))*V33</f>
        <v>3.4328352982723729E-8</v>
      </c>
      <c r="AP31" s="10">
        <v>6</v>
      </c>
      <c r="AQ31" s="9">
        <f>((($W$25)^Q31)*((1-($W$25))^($U$34-Q31))*HLOOKUP($U$34,$AV$24:$BF$34,Q31+1))*V34</f>
        <v>4.7337741790100392E-9</v>
      </c>
      <c r="AR31" s="10">
        <v>6</v>
      </c>
      <c r="AS31" s="9">
        <f>((($W$25)^Q31)*((1-($W$25))^($U$35-Q31))*HLOOKUP($U$35,$AV$24:$BF$34,Q31+1))*V35</f>
        <v>3.0586693424508312E-10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5.5384005953346615E-3</v>
      </c>
      <c r="BQ31" s="1">
        <f t="shared" ref="BQ31:BQ37" si="21">BQ24+1</f>
        <v>8</v>
      </c>
      <c r="BR31" s="1">
        <v>0</v>
      </c>
      <c r="BS31" s="2">
        <f t="shared" ref="BS31:BS38" si="22">$H$33*H39</f>
        <v>9.7189413822944624E-10</v>
      </c>
    </row>
    <row r="32" spans="1:71" x14ac:dyDescent="0.25">
      <c r="A32" s="67" t="s">
        <v>25</v>
      </c>
      <c r="B32" s="66">
        <f>IF(B17&lt;&gt;"TL",0.001,IF(B18&lt;5,0.1,IF(B18&lt;10,0.2,IF(B18&lt;14,0.3,0.35))))</f>
        <v>0.35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2.2001729245986123E-6</v>
      </c>
      <c r="I32" s="24">
        <v>7</v>
      </c>
      <c r="J32" s="23">
        <f t="shared" si="15"/>
        <v>6.6582996761862638E-9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4.2041424334351236E-4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4.8034636455544268E-4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3.8893899629016993E-9</v>
      </c>
      <c r="AN32" s="10">
        <v>7</v>
      </c>
      <c r="AO32" s="9">
        <f>((($W$25)^Q32)*((1-($W$25))^($U$33-Q32))*HLOOKUP($U$33,$AV$24:$BF$34,Q32+1))*V33</f>
        <v>2.2609519160844492E-9</v>
      </c>
      <c r="AP32" s="10">
        <v>7</v>
      </c>
      <c r="AQ32" s="9">
        <f>((($W$25)^Q32)*((1-($W$25))^($U$34-Q32))*HLOOKUP($U$34,$AV$24:$BF$34,Q32+1))*V34</f>
        <v>4.6766746160514342E-10</v>
      </c>
      <c r="AR32" s="10">
        <v>7</v>
      </c>
      <c r="AS32" s="9">
        <f>((($W$25)^Q32)*((1-($W$25))^($U$35-Q32))*HLOOKUP($U$35,$AV$24:$BF$34,Q32+1))*V35</f>
        <v>4.0290335594971909E-11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4.0642361361263053E-3</v>
      </c>
      <c r="BQ32" s="1">
        <f t="shared" si="21"/>
        <v>8</v>
      </c>
      <c r="BR32" s="1">
        <v>1</v>
      </c>
      <c r="BS32" s="2">
        <f t="shared" si="22"/>
        <v>5.3626345875256167E-9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9.0182755616458078E-8</v>
      </c>
      <c r="I33" s="24">
        <v>8</v>
      </c>
      <c r="J33" s="23">
        <f t="shared" si="15"/>
        <v>9.5583417486486499E-11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3.485585273392105E-5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4.2949945943264892E-5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6.5148998311122965E-11</v>
      </c>
      <c r="AP33" s="10">
        <v>8</v>
      </c>
      <c r="AQ33" s="9">
        <f>((($W$25)^Q33)*((1-($W$25))^($U$34-Q33))*HLOOKUP($U$34,$AV$24:$BF$34,Q33+1))*V34</f>
        <v>2.695153881825643E-11</v>
      </c>
      <c r="AR33" s="10">
        <v>8</v>
      </c>
      <c r="AS33" s="9">
        <f>((($W$25)^Q33)*((1-($W$25))^($U$35-Q33))*HLOOKUP($U$35,$AV$24:$BF$34,Q33+1))*V35</f>
        <v>3.4828803571071075E-12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2.2227952336536846E-3</v>
      </c>
      <c r="BQ33" s="1">
        <f t="shared" si="21"/>
        <v>8</v>
      </c>
      <c r="BR33" s="1">
        <v>2</v>
      </c>
      <c r="BS33" s="2">
        <f t="shared" si="22"/>
        <v>1.3485445393689639E-8</v>
      </c>
    </row>
    <row r="34" spans="1:71" x14ac:dyDescent="0.25">
      <c r="A34" s="65" t="s">
        <v>23</v>
      </c>
      <c r="B34" s="64">
        <f>B23*2</f>
        <v>1.8105883617417675</v>
      </c>
      <c r="C34" s="63">
        <f>C23*2</f>
        <v>8.1894116382582318</v>
      </c>
      <c r="G34" s="62">
        <v>9</v>
      </c>
      <c r="H34" s="61">
        <f>J34*L25+J33*L26+J32*L27+J31*L28</f>
        <v>2.6412937641390772E-9</v>
      </c>
      <c r="I34" s="24">
        <v>9</v>
      </c>
      <c r="J34" s="23">
        <f t="shared" si="15"/>
        <v>8.6873068295372808E-13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1.7124985852000829E-6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2.4293170560258733E-6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6.9031523874189457E-13</v>
      </c>
      <c r="AR34" s="10">
        <v>9</v>
      </c>
      <c r="AS34" s="9">
        <f>((($W$25)^Q34)*((1-($W$25))^($U$35-Q34))*HLOOKUP($U$35,$AV$24:$BF$34,Q34+1))*V35</f>
        <v>1.7841544421183349E-13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9.357628846236529E-4</v>
      </c>
      <c r="BQ34" s="1">
        <f t="shared" si="21"/>
        <v>8</v>
      </c>
      <c r="BR34" s="1">
        <v>3</v>
      </c>
      <c r="BS34" s="2">
        <f t="shared" si="22"/>
        <v>2.0470150248465523E-8</v>
      </c>
    </row>
    <row r="35" spans="1:71" ht="15.75" thickBot="1" x14ac:dyDescent="0.3">
      <c r="G35" s="60">
        <v>10</v>
      </c>
      <c r="H35" s="59">
        <f>J35*L25+J34*L26+J33*L27+J32*L28</f>
        <v>5.4558857173235572E-11</v>
      </c>
      <c r="I35" s="14">
        <v>10</v>
      </c>
      <c r="J35" s="13">
        <f t="shared" si="15"/>
        <v>4.112811914643421E-15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3.7861450184985096E-8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7.7260488118291448E-8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4.112811914643421E-15</v>
      </c>
      <c r="BI35" s="1">
        <f t="shared" si="19"/>
        <v>3</v>
      </c>
      <c r="BJ35" s="1">
        <v>8</v>
      </c>
      <c r="BK35" s="2">
        <f t="shared" si="20"/>
        <v>3.121014317721191E-4</v>
      </c>
      <c r="BQ35" s="1">
        <f t="shared" si="21"/>
        <v>8</v>
      </c>
      <c r="BR35" s="1">
        <v>4</v>
      </c>
      <c r="BS35" s="2">
        <f t="shared" si="22"/>
        <v>2.0968242944568649E-8</v>
      </c>
    </row>
    <row r="36" spans="1:71" ht="15.75" x14ac:dyDescent="0.25">
      <c r="A36" s="58" t="s">
        <v>22</v>
      </c>
      <c r="B36" s="48">
        <f>SUM(BO4:BO14)</f>
        <v>4.8450506091028016E-2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0.99999999999999967</v>
      </c>
      <c r="BI36" s="1">
        <f t="shared" si="19"/>
        <v>3</v>
      </c>
      <c r="BJ36" s="1">
        <v>9</v>
      </c>
      <c r="BK36" s="2">
        <f t="shared" si="20"/>
        <v>8.3908139664885841E-5</v>
      </c>
      <c r="BQ36" s="1">
        <f t="shared" si="21"/>
        <v>8</v>
      </c>
      <c r="BR36" s="1">
        <v>5</v>
      </c>
      <c r="BS36" s="2">
        <f t="shared" si="22"/>
        <v>1.5387094021002626E-8</v>
      </c>
    </row>
    <row r="37" spans="1:71" ht="16.5" thickBot="1" x14ac:dyDescent="0.3">
      <c r="A37" s="55" t="s">
        <v>21</v>
      </c>
      <c r="B37" s="48">
        <f>SUM(BK4:BK59)</f>
        <v>0.93289556854011735</v>
      </c>
      <c r="G37" s="4"/>
      <c r="H37" s="50">
        <f>SUM(H39:H49)</f>
        <v>0.99986765415110979</v>
      </c>
      <c r="I37" s="53"/>
      <c r="J37" s="50">
        <f>SUM(J39:J49)</f>
        <v>0.99999999999999967</v>
      </c>
      <c r="K37" s="50"/>
      <c r="L37" s="50">
        <f>SUM(L39:L49)</f>
        <v>1</v>
      </c>
      <c r="M37" s="53"/>
      <c r="N37" s="54">
        <f>SUM(N39:N49)</f>
        <v>0.99999999999999978</v>
      </c>
      <c r="O37" s="53"/>
      <c r="P37" s="54">
        <f>SUM(P39:P49)</f>
        <v>0.99999999999999978</v>
      </c>
      <c r="Q37" s="53"/>
      <c r="R37" s="50">
        <f>SUM(R39:R49)</f>
        <v>0.99999999999999978</v>
      </c>
      <c r="S37" s="53"/>
      <c r="T37" s="50">
        <f>SUM(T39:T49)</f>
        <v>1</v>
      </c>
      <c r="U37" s="53"/>
      <c r="V37" s="52">
        <f>SUM(V39:V48)</f>
        <v>0.86281660163360407</v>
      </c>
      <c r="W37" s="4"/>
      <c r="X37" s="4"/>
      <c r="Y37" s="50">
        <f>SUM(Y39:Y49)</f>
        <v>3.7672142934060342E-8</v>
      </c>
      <c r="Z37" s="51"/>
      <c r="AA37" s="50">
        <f>SUM(AA39:AA49)</f>
        <v>1.7041253995250141E-6</v>
      </c>
      <c r="AB37" s="51"/>
      <c r="AC37" s="50">
        <f>SUM(AC39:AC49)</f>
        <v>3.4690135963177554E-5</v>
      </c>
      <c r="AD37" s="51"/>
      <c r="AE37" s="50">
        <f>SUM(AE39:AE49)</f>
        <v>4.1848645139046546E-4</v>
      </c>
      <c r="AF37" s="51"/>
      <c r="AG37" s="50">
        <f>SUM(AG39:AG49)</f>
        <v>3.3131962026311601E-3</v>
      </c>
      <c r="AH37" s="51"/>
      <c r="AI37" s="50">
        <f>SUM(AI39:AI49)</f>
        <v>1.7988197559289008E-2</v>
      </c>
      <c r="AJ37" s="51"/>
      <c r="AK37" s="50">
        <f>SUM(AK39:AK49)</f>
        <v>6.7829106613196202E-2</v>
      </c>
      <c r="AL37" s="51"/>
      <c r="AM37" s="50">
        <f>SUM(AM39:AM49)</f>
        <v>0.17541873165699187</v>
      </c>
      <c r="AN37" s="51"/>
      <c r="AO37" s="50">
        <f>SUM(AO39:AO49)</f>
        <v>0.29783890145357067</v>
      </c>
      <c r="AP37" s="51"/>
      <c r="AQ37" s="50">
        <f>SUM(AQ39:AQ49)</f>
        <v>0.29997354976302887</v>
      </c>
      <c r="AR37" s="51"/>
      <c r="AS37" s="50">
        <f>SUM(AS39:AS49)</f>
        <v>0.13718339836639584</v>
      </c>
      <c r="BI37" s="1">
        <f t="shared" si="19"/>
        <v>3</v>
      </c>
      <c r="BJ37" s="1">
        <v>10</v>
      </c>
      <c r="BK37" s="2">
        <f t="shared" si="20"/>
        <v>1.7923165505987863E-5</v>
      </c>
      <c r="BQ37" s="1">
        <f t="shared" si="21"/>
        <v>8</v>
      </c>
      <c r="BR37" s="1">
        <v>6</v>
      </c>
      <c r="BS37" s="2">
        <f t="shared" si="22"/>
        <v>8.4154458806285346E-9</v>
      </c>
    </row>
    <row r="38" spans="1:71" ht="16.5" thickBot="1" x14ac:dyDescent="0.3">
      <c r="A38" s="49" t="s">
        <v>20</v>
      </c>
      <c r="B38" s="48">
        <f>SUM(BS4:BS47)</f>
        <v>1.8521579464678181E-2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6.8363043186155407E-4</v>
      </c>
      <c r="BQ38" s="1">
        <f>BM11+1</f>
        <v>8</v>
      </c>
      <c r="BR38" s="1">
        <v>7</v>
      </c>
      <c r="BS38" s="2">
        <f t="shared" si="22"/>
        <v>3.5427743381053652E-9</v>
      </c>
    </row>
    <row r="39" spans="1:71" x14ac:dyDescent="0.25">
      <c r="G39" s="38">
        <v>0</v>
      </c>
      <c r="H39" s="37">
        <f>L39*J39</f>
        <v>1.0776939910362181E-2</v>
      </c>
      <c r="I39" s="36">
        <v>0</v>
      </c>
      <c r="J39" s="34">
        <f t="shared" ref="J39:J49" si="26">Y39+AA39+AC39+AE39+AG39+AI39+AK39+AM39+AO39+AQ39+AS39</f>
        <v>1.5484266072177722E-2</v>
      </c>
      <c r="K39" s="35">
        <v>0</v>
      </c>
      <c r="L39" s="34">
        <f>AH18</f>
        <v>0.69599294277991575</v>
      </c>
      <c r="M39" s="17">
        <v>0</v>
      </c>
      <c r="N39" s="32">
        <f>(1-$C$24)^$B$21</f>
        <v>1.9458018960054815E-4</v>
      </c>
      <c r="O39" s="16">
        <v>0</v>
      </c>
      <c r="P39" s="32">
        <f t="shared" ref="P39:P44" si="27">N39</f>
        <v>1.9458018960054815E-4</v>
      </c>
      <c r="Q39" s="10">
        <v>0</v>
      </c>
      <c r="R39" s="11">
        <f>P39*N39</f>
        <v>3.7861450184985268E-8</v>
      </c>
      <c r="S39" s="16">
        <v>0</v>
      </c>
      <c r="T39" s="15">
        <f>(1-$C$33)^(INT(B23*2*(1-B31)))</f>
        <v>0.995</v>
      </c>
      <c r="U39" s="24">
        <v>0</v>
      </c>
      <c r="V39" s="23">
        <f>R39*T39</f>
        <v>3.7672142934060342E-8</v>
      </c>
      <c r="W39" s="33">
        <f>C31</f>
        <v>0.41603840202163317</v>
      </c>
      <c r="X39" s="10">
        <v>0</v>
      </c>
      <c r="Y39" s="9">
        <f>V39</f>
        <v>3.7672142934060342E-8</v>
      </c>
      <c r="Z39" s="10">
        <v>0</v>
      </c>
      <c r="AA39" s="9">
        <f>((1-W39)^Z40)*V40</f>
        <v>9.9514379146215001E-7</v>
      </c>
      <c r="AB39" s="10">
        <v>0</v>
      </c>
      <c r="AC39" s="9">
        <f>(((1-$W$39)^AB41))*V41</f>
        <v>1.1829723086076753E-5</v>
      </c>
      <c r="AD39" s="10">
        <v>0</v>
      </c>
      <c r="AE39" s="9">
        <f>(((1-$W$39)^AB42))*V42</f>
        <v>8.3336310085495465E-5</v>
      </c>
      <c r="AF39" s="10">
        <v>0</v>
      </c>
      <c r="AG39" s="9">
        <f>(((1-$W$39)^AB43))*V43</f>
        <v>3.852869578730151E-4</v>
      </c>
      <c r="AH39" s="10">
        <v>0</v>
      </c>
      <c r="AI39" s="9">
        <f>(((1-$W$39)^AB44))*V44</f>
        <v>1.2215439307655153E-3</v>
      </c>
      <c r="AJ39" s="10">
        <v>0</v>
      </c>
      <c r="AK39" s="9">
        <f>(((1-$W$39)^AB45))*V45</f>
        <v>2.6898113813242563E-3</v>
      </c>
      <c r="AL39" s="10">
        <v>0</v>
      </c>
      <c r="AM39" s="9">
        <f>(((1-$W$39)^AB46))*V46</f>
        <v>4.0622438028731934E-3</v>
      </c>
      <c r="AN39" s="10">
        <v>0</v>
      </c>
      <c r="AO39" s="9">
        <f>(((1-$W$39)^AB47))*V47</f>
        <v>4.0276871360620569E-3</v>
      </c>
      <c r="AP39" s="10">
        <v>0</v>
      </c>
      <c r="AQ39" s="9">
        <f>(((1-$W$39)^AB48))*V48</f>
        <v>2.3688717963040902E-3</v>
      </c>
      <c r="AR39" s="10">
        <v>0</v>
      </c>
      <c r="AS39" s="9">
        <f>(((1-$W$39)^AB49))*V49</f>
        <v>6.3262221786962729E-4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3.7388833094988459E-4</v>
      </c>
      <c r="BQ39" s="1">
        <f t="shared" ref="BQ39:BQ46" si="28">BQ31+1</f>
        <v>9</v>
      </c>
      <c r="BR39" s="1">
        <v>0</v>
      </c>
      <c r="BS39" s="2">
        <f t="shared" ref="BS39:BS47" si="29">$H$34*H39</f>
        <v>2.8465064181741174E-11</v>
      </c>
    </row>
    <row r="40" spans="1:71" x14ac:dyDescent="0.25">
      <c r="G40" s="27">
        <v>1</v>
      </c>
      <c r="H40" s="26">
        <f>L39*J40+L40*J39</f>
        <v>5.9464079921582612E-2</v>
      </c>
      <c r="I40" s="24">
        <v>1</v>
      </c>
      <c r="J40" s="23">
        <f t="shared" si="26"/>
        <v>8.0053953053339386E-2</v>
      </c>
      <c r="K40" s="25">
        <v>1</v>
      </c>
      <c r="L40" s="23">
        <f>AI18</f>
        <v>0.241993617092161</v>
      </c>
      <c r="M40" s="17">
        <v>1</v>
      </c>
      <c r="N40" s="32">
        <f>(($C$24)^M26)*((1-($C$24))^($B$21-M26))*HLOOKUP($B$21,$AV$24:$BF$34,M26+1)</f>
        <v>4.4004957254786883E-3</v>
      </c>
      <c r="O40" s="16">
        <v>1</v>
      </c>
      <c r="P40" s="32">
        <f t="shared" si="27"/>
        <v>4.4004957254786883E-3</v>
      </c>
      <c r="Q40" s="10">
        <v>1</v>
      </c>
      <c r="R40" s="11">
        <f>P40*N39+P39*N40</f>
        <v>1.7124985852000897E-6</v>
      </c>
      <c r="S40" s="16">
        <v>1</v>
      </c>
      <c r="T40" s="15">
        <f t="shared" ref="T40:T49" si="30">(($C$33)^S40)*((1-($C$33))^(INT($B$23*2*(1-$B$31))-S40))*HLOOKUP(INT($B$23*2*(1-$B$31)),$AV$24:$BF$34,S40+1)</f>
        <v>5.0000000000000001E-3</v>
      </c>
      <c r="U40" s="24">
        <v>1</v>
      </c>
      <c r="V40" s="23">
        <f>R40*T39+T40*R39</f>
        <v>1.7041253995250141E-6</v>
      </c>
      <c r="W40" s="12"/>
      <c r="X40" s="10">
        <v>1</v>
      </c>
      <c r="Y40" s="11"/>
      <c r="Z40" s="10">
        <v>1</v>
      </c>
      <c r="AA40" s="9">
        <f>(1-((1-W39)^Z40))*V40</f>
        <v>7.0898160806286413E-7</v>
      </c>
      <c r="AB40" s="10">
        <v>1</v>
      </c>
      <c r="AC40" s="9">
        <f>((($W$39)^M40)*((1-($W$39))^($U$27-M40))*HLOOKUP($U$27,$AV$24:$BF$34,M40+1))*V41</f>
        <v>1.6855968290134448E-5</v>
      </c>
      <c r="AD40" s="10">
        <v>1</v>
      </c>
      <c r="AE40" s="9">
        <f>((($W$39)^M40)*((1-($W$39))^($U$28-M40))*HLOOKUP($U$28,$AV$24:$BF$34,M40+1))*V42</f>
        <v>1.7811670526817719E-4</v>
      </c>
      <c r="AF40" s="10">
        <v>1</v>
      </c>
      <c r="AG40" s="9">
        <f>((($W$39)^M40)*((1-($W$39))^($U$29-M40))*HLOOKUP($U$29,$AV$24:$BF$34,M40+1))*V43</f>
        <v>1.0979774754243596E-3</v>
      </c>
      <c r="AH40" s="10">
        <v>1</v>
      </c>
      <c r="AI40" s="9">
        <f>((($W$39)^M40)*((1-($W$39))^($U$30-M40))*HLOOKUP($U$30,$AV$24:$BF$34,M40+1))*V44</f>
        <v>4.3513921695732503E-3</v>
      </c>
      <c r="AJ40" s="10">
        <v>1</v>
      </c>
      <c r="AK40" s="9">
        <f>((($W$39)^M40)*((1-($W$39))^($U$31-M40))*HLOOKUP($U$31,$AV$24:$BF$34,M40+1))*V45</f>
        <v>1.1497997464557956E-2</v>
      </c>
      <c r="AL40" s="10">
        <v>1</v>
      </c>
      <c r="AM40" s="9">
        <f>((($W$39)^Q40)*((1-($W$39))^($U$32-Q40))*HLOOKUP($U$32,$AV$24:$BF$34,Q40+1))*V46</f>
        <v>2.0258773836401792E-2</v>
      </c>
      <c r="AN40" s="10">
        <v>1</v>
      </c>
      <c r="AO40" s="9">
        <f>((($W$39)^Q40)*((1-($W$39))^($U$33-Q40))*HLOOKUP($U$33,$AV$24:$BF$34,Q40+1))*V47</f>
        <v>2.2955927591559507E-2</v>
      </c>
      <c r="AP40" s="10">
        <v>1</v>
      </c>
      <c r="AQ40" s="9">
        <f>((($W$39)^Q40)*((1-($W$39))^($U$34-Q40))*HLOOKUP($U$34,$AV$24:$BF$34,Q40+1))*V48</f>
        <v>1.5189140452493958E-2</v>
      </c>
      <c r="AR40" s="10">
        <v>1</v>
      </c>
      <c r="AS40" s="9">
        <f>((($W$39)^Q40)*((1-($W$39))^($U$35-Q40))*HLOOKUP($U$35,$AV$24:$BF$34,Q40+1))*V49</f>
        <v>4.5070624081621794E-3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1.5740128366286459E-4</v>
      </c>
      <c r="BQ40" s="1">
        <f t="shared" si="28"/>
        <v>9</v>
      </c>
      <c r="BR40" s="1">
        <v>1</v>
      </c>
      <c r="BS40" s="2">
        <f t="shared" si="29"/>
        <v>1.5706210348714386E-10</v>
      </c>
    </row>
    <row r="41" spans="1:71" x14ac:dyDescent="0.25">
      <c r="G41" s="27">
        <v>2</v>
      </c>
      <c r="H41" s="26">
        <f>L39*J41+J40*L40+J39*L41</f>
        <v>0.14953463443767942</v>
      </c>
      <c r="I41" s="24">
        <v>2</v>
      </c>
      <c r="J41" s="23">
        <f t="shared" si="26"/>
        <v>0.18626188316528644</v>
      </c>
      <c r="K41" s="25">
        <v>2</v>
      </c>
      <c r="L41" s="23">
        <f>AJ18</f>
        <v>3.3913947318614704E-2</v>
      </c>
      <c r="M41" s="17">
        <v>2</v>
      </c>
      <c r="N41" s="32">
        <f>(($C$24)^M27)*((1-($C$24))^($B$21-M27))*HLOOKUP($B$21,$AV$24:$BF$34,M27+1)</f>
        <v>3.9807469958188686E-2</v>
      </c>
      <c r="O41" s="16">
        <v>2</v>
      </c>
      <c r="P41" s="32">
        <f t="shared" si="27"/>
        <v>3.9807469958188686E-2</v>
      </c>
      <c r="Q41" s="10">
        <v>2</v>
      </c>
      <c r="R41" s="11">
        <f>P41*N39+P40*N40+P39*N41</f>
        <v>3.4855852733921165E-5</v>
      </c>
      <c r="S41" s="16">
        <v>2</v>
      </c>
      <c r="T41" s="15">
        <f t="shared" si="30"/>
        <v>0</v>
      </c>
      <c r="U41" s="24">
        <v>2</v>
      </c>
      <c r="V41" s="23">
        <f>R41*T39+T40*R40+R39*T41</f>
        <v>3.469013596317756E-5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6.0044445869663564E-6</v>
      </c>
      <c r="AD41" s="10">
        <v>2</v>
      </c>
      <c r="AE41" s="9">
        <f>((($W$39)^M41)*((1-($W$39))^($U$28-M41))*HLOOKUP($U$28,$AV$24:$BF$34,M41+1))*V42</f>
        <v>1.2689770986597622E-4</v>
      </c>
      <c r="AF41" s="10">
        <v>2</v>
      </c>
      <c r="AG41" s="9">
        <f>((($W$39)^M41)*((1-($W$39))^($U$29-M41))*HLOOKUP($U$29,$AV$24:$BF$34,M41+1))*V43</f>
        <v>1.1733668684191971E-3</v>
      </c>
      <c r="AH41" s="10">
        <v>2</v>
      </c>
      <c r="AI41" s="9">
        <f>((($W$39)^M41)*((1-($W$39))^($U$30-M41))*HLOOKUP($U$30,$AV$24:$BF$34,M41+1))*V44</f>
        <v>6.2002236142444673E-3</v>
      </c>
      <c r="AJ41" s="10">
        <v>2</v>
      </c>
      <c r="AK41" s="9">
        <f>((($W$39)^M41)*((1-($W$39))^($U$31-M41))*HLOOKUP($U$31,$AV$24:$BF$34,M41+1))*V45</f>
        <v>2.047912272041514E-2</v>
      </c>
      <c r="AL41" s="10">
        <v>2</v>
      </c>
      <c r="AM41" s="9">
        <f>((($W$39)^Q41)*((1-($W$39))^($U$32-Q41))*HLOOKUP($U$32,$AV$24:$BF$34,Q41+1))*V46</f>
        <v>4.329956587724032E-2</v>
      </c>
      <c r="AN41" s="10">
        <v>2</v>
      </c>
      <c r="AO41" s="9">
        <f>((($W$39)^Q41)*((1-($W$39))^($U$33-Q41))*HLOOKUP($U$33,$AV$24:$BF$34,Q41+1))*V47</f>
        <v>5.7241633915877624E-2</v>
      </c>
      <c r="AP41" s="10">
        <v>2</v>
      </c>
      <c r="AQ41" s="9">
        <f>((($W$39)^Q41)*((1-($W$39))^($U$34-Q41))*HLOOKUP($U$34,$AV$24:$BF$34,Q41+1))*V48</f>
        <v>4.3285488250012175E-2</v>
      </c>
      <c r="AR41" s="10">
        <v>2</v>
      </c>
      <c r="AS41" s="9">
        <f>((($W$39)^Q41)*((1-($W$39))^($U$35-Q41))*HLOOKUP($U$35,$AV$24:$BF$34,Q41+1))*V49</f>
        <v>1.4449579764624593E-2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5.2497450797812703E-5</v>
      </c>
      <c r="BQ41" s="1">
        <f t="shared" si="28"/>
        <v>9</v>
      </c>
      <c r="BR41" s="1">
        <v>2</v>
      </c>
      <c r="BS41" s="2">
        <f t="shared" si="29"/>
        <v>3.9496489746305915E-10</v>
      </c>
    </row>
    <row r="42" spans="1:71" ht="15" customHeight="1" x14ac:dyDescent="0.25">
      <c r="G42" s="27">
        <v>3</v>
      </c>
      <c r="H42" s="26">
        <f>J42*L39+J41*L40+L42*J39+L41*J40</f>
        <v>0.22698519366079098</v>
      </c>
      <c r="I42" s="24">
        <v>3</v>
      </c>
      <c r="J42" s="23">
        <f t="shared" si="26"/>
        <v>0.25684306588450934</v>
      </c>
      <c r="K42" s="25">
        <v>3</v>
      </c>
      <c r="L42" s="23">
        <f>AK18</f>
        <v>2.8099492809308554E-2</v>
      </c>
      <c r="M42" s="17">
        <v>3</v>
      </c>
      <c r="N42" s="32">
        <f>(($C$24)^M28)*((1-($C$24))^($B$21-M28))*HLOOKUP($B$21,$AV$24:$BF$34,M28+1)</f>
        <v>0.18005183544403036</v>
      </c>
      <c r="O42" s="16">
        <v>3</v>
      </c>
      <c r="P42" s="32">
        <f t="shared" si="27"/>
        <v>0.18005183544403036</v>
      </c>
      <c r="Q42" s="10">
        <v>3</v>
      </c>
      <c r="R42" s="11">
        <f>P42*N39+P41*N40+P40*N41+P39*N42</f>
        <v>4.2041424334351345E-4</v>
      </c>
      <c r="S42" s="16">
        <v>3</v>
      </c>
      <c r="T42" s="15">
        <f t="shared" si="30"/>
        <v>0</v>
      </c>
      <c r="U42" s="24">
        <v>3</v>
      </c>
      <c r="V42" s="23">
        <f>R42*T39+R41*T40+R40*T41+R39*T42</f>
        <v>4.1848645139046551E-4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3.0135726170816565E-5</v>
      </c>
      <c r="AF42" s="10">
        <v>3</v>
      </c>
      <c r="AG42" s="9">
        <f>((($W$39)^M42)*((1-($W$39))^($U$29-M42))*HLOOKUP($U$29,$AV$24:$BF$34,M42+1))*V43</f>
        <v>5.5730340101386262E-4</v>
      </c>
      <c r="AH42" s="10">
        <v>3</v>
      </c>
      <c r="AI42" s="9">
        <f>((($W$39)^M42)*((1-($W$39))^($U$30-M42))*HLOOKUP($U$30,$AV$24:$BF$34,M42+1))*V44</f>
        <v>4.4172958180421712E-3</v>
      </c>
      <c r="AJ42" s="10">
        <v>3</v>
      </c>
      <c r="AK42" s="9">
        <f>((($W$39)^M42)*((1-($W$39))^($U$31-M42))*HLOOKUP($U$31,$AV$24:$BF$34,M42+1))*V45</f>
        <v>1.9453565715970404E-2</v>
      </c>
      <c r="AL42" s="10">
        <v>3</v>
      </c>
      <c r="AM42" s="9">
        <f>((($W$39)^Q42)*((1-($W$39))^($U$32-Q42))*HLOOKUP($U$32,$AV$24:$BF$34,Q42+1))*V46</f>
        <v>5.1414003529688848E-2</v>
      </c>
      <c r="AN42" s="10">
        <v>3</v>
      </c>
      <c r="AO42" s="9">
        <f>((($W$39)^Q42)*((1-($W$39))^($U$33-Q42))*HLOOKUP($U$33,$AV$24:$BF$34,Q42+1))*V47</f>
        <v>8.1562616397769641E-2</v>
      </c>
      <c r="AP42" s="10">
        <v>3</v>
      </c>
      <c r="AQ42" s="9">
        <f>((($W$39)^Q42)*((1-($W$39))^($U$34-Q42))*HLOOKUP($U$34,$AV$24:$BF$34,Q42+1))*V48</f>
        <v>7.1956202812100342E-2</v>
      </c>
      <c r="AR42" s="10">
        <v>3</v>
      </c>
      <c r="AS42" s="9">
        <f>((($W$39)^Q42)*((1-($W$39))^($U$35-Q42))*HLOOKUP($U$35,$AV$24:$BF$34,Q42+1))*V49</f>
        <v>2.7451942483753277E-2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1.4113884093968607E-5</v>
      </c>
      <c r="BQ42" s="1">
        <f t="shared" si="28"/>
        <v>9</v>
      </c>
      <c r="BR42" s="1">
        <v>3</v>
      </c>
      <c r="BS42" s="2">
        <f t="shared" si="29"/>
        <v>5.9953457656814802E-10</v>
      </c>
    </row>
    <row r="43" spans="1:71" ht="15" customHeight="1" x14ac:dyDescent="0.25">
      <c r="G43" s="27">
        <v>4</v>
      </c>
      <c r="H43" s="26">
        <f>J43*L39+J42*L40+J41*L41+J40*L42</f>
        <v>0.23250834154752761</v>
      </c>
      <c r="I43" s="24">
        <v>4</v>
      </c>
      <c r="J43" s="23">
        <f t="shared" si="26"/>
        <v>0.23245581656557446</v>
      </c>
      <c r="K43" s="25">
        <v>4</v>
      </c>
      <c r="L43" s="23"/>
      <c r="M43" s="17">
        <v>4</v>
      </c>
      <c r="N43" s="32">
        <f>(($C$24)^M29)*((1-($C$24))^($B$21-M29))*HLOOKUP($B$21,$AV$24:$BF$34,M29+1)</f>
        <v>0.40719321625833976</v>
      </c>
      <c r="O43" s="16">
        <v>4</v>
      </c>
      <c r="P43" s="32">
        <f t="shared" si="27"/>
        <v>0.40719321625833976</v>
      </c>
      <c r="Q43" s="10">
        <v>4</v>
      </c>
      <c r="R43" s="11">
        <f>P43*N39+P42*N40+P41*N41+P40*N42+P39*N43</f>
        <v>3.3277327953913998E-3</v>
      </c>
      <c r="S43" s="16">
        <v>4</v>
      </c>
      <c r="T43" s="15">
        <f t="shared" si="30"/>
        <v>0</v>
      </c>
      <c r="U43" s="24">
        <v>4</v>
      </c>
      <c r="V43" s="23">
        <f>T43*R39+T42*R40+T41*R41+T40*R42+T39*R43</f>
        <v>3.3131962026311606E-3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9.9261499900725575E-5</v>
      </c>
      <c r="AH43" s="10">
        <v>4</v>
      </c>
      <c r="AI43" s="9">
        <f>((($W$39)^M43)*((1-($W$39))^($U$30-M43))*HLOOKUP($U$30,$AV$24:$BF$34,M43+1))*V44</f>
        <v>1.5735321464265095E-3</v>
      </c>
      <c r="AJ43" s="10">
        <v>4</v>
      </c>
      <c r="AK43" s="9">
        <f>((($W$39)^M43)*((1-($W$39))^($U$31-M43))*HLOOKUP($U$31,$AV$24:$BF$34,M43+1))*V45</f>
        <v>1.0394643785799483E-2</v>
      </c>
      <c r="AL43" s="10">
        <v>4</v>
      </c>
      <c r="AM43" s="9">
        <f>((($W$39)^Q43)*((1-($W$39))^($U$32-Q43))*HLOOKUP($U$32,$AV$24:$BF$34,Q43+1))*V46</f>
        <v>3.6629463211412694E-2</v>
      </c>
      <c r="AN43" s="10">
        <v>4</v>
      </c>
      <c r="AO43" s="9">
        <f>((($W$39)^Q43)*((1-($W$39))^($U$33-Q43))*HLOOKUP($U$33,$AV$24:$BF$34,Q43+1))*V47</f>
        <v>7.2635727906393527E-2</v>
      </c>
      <c r="AP43" s="10">
        <v>4</v>
      </c>
      <c r="AQ43" s="9">
        <f>((($W$39)^Q43)*((1-($W$39))^($U$34-Q43))*HLOOKUP($U$34,$AV$24:$BF$34,Q43+1))*V48</f>
        <v>7.6896863776134278E-2</v>
      </c>
      <c r="AR43" s="10">
        <v>4</v>
      </c>
      <c r="AS43" s="9">
        <f>((($W$39)^Q43)*((1-($W$39))^($U$35-Q43))*HLOOKUP($U$35,$AV$24:$BF$34,Q43+1))*V49</f>
        <v>3.4226324239507264E-2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3.0147907170725988E-6</v>
      </c>
      <c r="BQ43" s="1">
        <f t="shared" si="28"/>
        <v>9</v>
      </c>
      <c r="BR43" s="1">
        <v>4</v>
      </c>
      <c r="BS43" s="2">
        <f t="shared" si="29"/>
        <v>6.1412283263980345E-10</v>
      </c>
    </row>
    <row r="44" spans="1:71" ht="15" customHeight="1" thickBot="1" x14ac:dyDescent="0.3">
      <c r="G44" s="27">
        <v>5</v>
      </c>
      <c r="H44" s="26">
        <f>J44*L39+J43*L40+J42*L41+J41*L42</f>
        <v>0.17062124478035498</v>
      </c>
      <c r="I44" s="24">
        <v>5</v>
      </c>
      <c r="J44" s="23">
        <f t="shared" si="26"/>
        <v>0.14428881112245046</v>
      </c>
      <c r="K44" s="25">
        <v>5</v>
      </c>
      <c r="L44" s="23"/>
      <c r="M44" s="17">
        <v>5</v>
      </c>
      <c r="N44" s="32">
        <f>(($C$24)^M30)*((1-($C$24))^($B$21-M30))*HLOOKUP($B$21,$AV$24:$BF$34,M30+1)</f>
        <v>0.36835240242436179</v>
      </c>
      <c r="O44" s="16">
        <v>5</v>
      </c>
      <c r="P44" s="32">
        <f t="shared" si="27"/>
        <v>0.36835240242436179</v>
      </c>
      <c r="Q44" s="10">
        <v>5</v>
      </c>
      <c r="R44" s="11">
        <f>P44*N39+P43*N40+P42*N41+P41*N42+P40*N43+P39*N44</f>
        <v>1.8061868236494527E-2</v>
      </c>
      <c r="S44" s="16">
        <v>5</v>
      </c>
      <c r="T44" s="15">
        <f t="shared" si="30"/>
        <v>0</v>
      </c>
      <c r="U44" s="24">
        <v>5</v>
      </c>
      <c r="V44" s="23">
        <f>T44*R39+T43*R40+T42*R41+T41*R42+T40*R43+T39*R44</f>
        <v>1.7988197559289012E-2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2.2420988023709308E-4</v>
      </c>
      <c r="AJ44" s="10">
        <v>5</v>
      </c>
      <c r="AK44" s="9">
        <f>((($W$39)^M44)*((1-($W$39))^($U$31-M44))*HLOOKUP($U$31,$AV$24:$BF$34,M44+1))*V45</f>
        <v>2.9622297118163054E-3</v>
      </c>
      <c r="AL44" s="10">
        <v>5</v>
      </c>
      <c r="AM44" s="9">
        <f>((($W$39)^Q44)*((1-($W$39))^($U$32-Q44))*HLOOKUP($U$32,$AV$24:$BF$34,Q44+1))*V46</f>
        <v>1.5657807014170359E-2</v>
      </c>
      <c r="AN44" s="10">
        <v>5</v>
      </c>
      <c r="AO44" s="9">
        <f>((($W$39)^Q44)*((1-($W$39))^($U$33-Q44))*HLOOKUP($U$33,$AV$24:$BF$34,Q44+1))*V47</f>
        <v>4.1398958112959475E-2</v>
      </c>
      <c r="AP44" s="10">
        <v>5</v>
      </c>
      <c r="AQ44" s="9">
        <f>((($W$39)^Q44)*((1-($W$39))^($U$34-Q44))*HLOOKUP($U$34,$AV$24:$BF$34,Q44+1))*V48</f>
        <v>5.4784507126243054E-2</v>
      </c>
      <c r="AR44" s="10">
        <v>5</v>
      </c>
      <c r="AS44" s="9">
        <f>((($W$39)^Q44)*((1-($W$39))^($U$35-Q44))*HLOOKUP($U$35,$AV$24:$BF$34,Q44+1))*V49</f>
        <v>2.9261099277024173E-2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4.3874522478990208E-5</v>
      </c>
      <c r="BQ44" s="1">
        <f t="shared" si="28"/>
        <v>9</v>
      </c>
      <c r="BR44" s="1">
        <v>5</v>
      </c>
      <c r="BS44" s="2">
        <f t="shared" si="29"/>
        <v>4.5066082986799867E-10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9.3315466167600017E-2</v>
      </c>
      <c r="I45" s="24">
        <v>6</v>
      </c>
      <c r="J45" s="23">
        <f t="shared" si="26"/>
        <v>6.2210171967202091E-2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6.8079193238204772E-2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6.7829106613196216E-2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3.5173583331265374E-4</v>
      </c>
      <c r="AL45" s="10">
        <v>6</v>
      </c>
      <c r="AM45" s="9">
        <f>((($W$39)^Q45)*((1-($W$39))^($U$32-Q45))*HLOOKUP($U$32,$AV$24:$BF$34,Q45+1))*V46</f>
        <v>3.7184231702280988E-3</v>
      </c>
      <c r="AN45" s="10">
        <v>6</v>
      </c>
      <c r="AO45" s="9">
        <f>((($W$39)^Q45)*((1-($W$39))^($U$33-Q45))*HLOOKUP($U$33,$AV$24:$BF$34,Q45+1))*V47</f>
        <v>1.4747165257358448E-2</v>
      </c>
      <c r="AP45" s="10">
        <v>6</v>
      </c>
      <c r="AQ45" s="9">
        <f>((($W$39)^Q45)*((1-($W$39))^($U$34-Q45))*HLOOKUP($U$34,$AV$24:$BF$34,Q45+1))*V48</f>
        <v>2.6020499611904613E-2</v>
      </c>
      <c r="AR45" s="10">
        <v>6</v>
      </c>
      <c r="AS45" s="9">
        <f>((($W$39)^Q45)*((1-($W$39))^($U$35-Q45))*HLOOKUP($U$35,$AV$24:$BF$34,Q45+1))*V49</f>
        <v>1.7372348094398273E-2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1.8470504657750133E-5</v>
      </c>
      <c r="BQ45" s="1">
        <f t="shared" si="28"/>
        <v>9</v>
      </c>
      <c r="BR45" s="1">
        <v>6</v>
      </c>
      <c r="BS45" s="2">
        <f t="shared" si="29"/>
        <v>2.4647355888621295E-10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3.9284387728986403E-2</v>
      </c>
      <c r="I46" s="24">
        <v>7</v>
      </c>
      <c r="J46" s="23">
        <f t="shared" si="26"/>
        <v>1.8397642738208344E-2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0.17595812632241295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0.17541873165699193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3.7845121497654744E-4</v>
      </c>
      <c r="AN46" s="10">
        <v>7</v>
      </c>
      <c r="AO46" s="9">
        <f>((($W$39)^Q46)*((1-($W$39))^($U$33-Q46))*HLOOKUP($U$33,$AV$24:$BF$34,Q46+1))*V47</f>
        <v>3.001854470891152E-3</v>
      </c>
      <c r="AP46" s="10">
        <v>7</v>
      </c>
      <c r="AQ46" s="9">
        <f>((($W$39)^Q46)*((1-($W$39))^($U$34-Q46))*HLOOKUP($U$34,$AV$24:$BF$34,Q46+1))*V48</f>
        <v>7.9448916179849487E-3</v>
      </c>
      <c r="AR46" s="10">
        <v>7</v>
      </c>
      <c r="AS46" s="9">
        <f>((($W$39)^Q46)*((1-($W$39))^($U$35-Q46))*HLOOKUP($U$35,$AV$24:$BF$34,Q46+1))*V49</f>
        <v>7.0724454343556948E-3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6.1603970877257646E-6</v>
      </c>
      <c r="BQ46" s="1">
        <f t="shared" si="28"/>
        <v>9</v>
      </c>
      <c r="BR46" s="1">
        <v>7</v>
      </c>
      <c r="BS46" s="2">
        <f t="shared" si="29"/>
        <v>1.0376160833659348E-10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1.3102372254739258E-2</v>
      </c>
      <c r="I47" s="24">
        <v>8</v>
      </c>
      <c r="J47" s="23">
        <f t="shared" si="26"/>
        <v>3.5719115588222056E-3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0.29845136766025998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0.29783890145357078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2.6733066469922982E-4</v>
      </c>
      <c r="AP47" s="10">
        <v>8</v>
      </c>
      <c r="AQ47" s="9">
        <f>((($W$39)^Q47)*((1-($W$39))^($U$34-Q47))*HLOOKUP($U$34,$AV$24:$BF$34,Q47+1))*V48</f>
        <v>1.4150673710499604E-3</v>
      </c>
      <c r="AR47" s="10">
        <v>8</v>
      </c>
      <c r="AS47" s="9">
        <f>((($W$39)^Q47)*((1-($W$39))^($U$35-Q47))*HLOOKUP($U$35,$AV$24:$BF$34,Q47+1))*V49</f>
        <v>1.8895135230730155E-3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1.6562162380769514E-6</v>
      </c>
      <c r="BQ47" s="1">
        <f>BM12+1</f>
        <v>9</v>
      </c>
      <c r="BR47" s="1">
        <v>8</v>
      </c>
      <c r="BS47" s="2">
        <f t="shared" si="29"/>
        <v>3.4607214131871665E-11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3.5225589157011966E-3</v>
      </c>
      <c r="I48" s="24">
        <v>9</v>
      </c>
      <c r="J48" s="23">
        <f t="shared" si="26"/>
        <v>4.1116530583912357E-4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0.29998119891932429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0.29997354976302898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1.1201694880140781E-4</v>
      </c>
      <c r="AR48" s="10">
        <v>9</v>
      </c>
      <c r="AS48" s="9">
        <f>((($W$39)^Q48)*((1-($W$39))^($U$35-Q48))*HLOOKUP($U$35,$AV$24:$BF$34,Q48+1))*V49</f>
        <v>2.9914835703771575E-4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3.53775424736062E-7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7.5243482578516536E-4</v>
      </c>
      <c r="I49" s="14">
        <v>10</v>
      </c>
      <c r="J49" s="13">
        <f t="shared" si="26"/>
        <v>2.1312566590034373E-5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0.13568349237179897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0.13718339836639593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2.1312566590034373E-5</v>
      </c>
      <c r="BI49" s="1">
        <f>BQ14+1</f>
        <v>6</v>
      </c>
      <c r="BJ49" s="1">
        <v>0</v>
      </c>
      <c r="BK49" s="2">
        <f>$H$31*H39</f>
        <v>4.1280646873394817E-7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1.504773109033056E-6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5.0188124527965381E-7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1.3493024170058932E-7</v>
      </c>
    </row>
    <row r="53" spans="1:63" x14ac:dyDescent="0.25">
      <c r="BI53" s="1">
        <f>BI48+1</f>
        <v>6</v>
      </c>
      <c r="BJ53" s="1">
        <v>10</v>
      </c>
      <c r="BK53" s="2">
        <f>$H$31*H49</f>
        <v>2.882172174739155E-8</v>
      </c>
    </row>
    <row r="54" spans="1:63" x14ac:dyDescent="0.25">
      <c r="BI54" s="1">
        <f>BI51+1</f>
        <v>7</v>
      </c>
      <c r="BJ54" s="1">
        <v>8</v>
      </c>
      <c r="BK54" s="2">
        <f>$H$32*H47</f>
        <v>2.882748468288939E-8</v>
      </c>
    </row>
    <row r="55" spans="1:63" x14ac:dyDescent="0.25">
      <c r="BI55" s="1">
        <f>BI52+1</f>
        <v>7</v>
      </c>
      <c r="BJ55" s="1">
        <v>9</v>
      </c>
      <c r="BK55" s="2">
        <f>$H$32*H48</f>
        <v>7.750238751629219E-9</v>
      </c>
    </row>
    <row r="56" spans="1:63" x14ac:dyDescent="0.25">
      <c r="BI56" s="1">
        <f>BI53+1</f>
        <v>7</v>
      </c>
      <c r="BJ56" s="1">
        <v>10</v>
      </c>
      <c r="BK56" s="2">
        <f>$H$32*H49</f>
        <v>1.6554867312175947E-9</v>
      </c>
    </row>
    <row r="57" spans="1:63" x14ac:dyDescent="0.25">
      <c r="BI57" s="1">
        <f>BI55+1</f>
        <v>8</v>
      </c>
      <c r="BJ57" s="1">
        <v>9</v>
      </c>
      <c r="BK57" s="2">
        <f>$H$33*H48</f>
        <v>3.1767406983925656E-10</v>
      </c>
    </row>
    <row r="58" spans="1:63" x14ac:dyDescent="0.25">
      <c r="BI58" s="1">
        <f>BI56+1</f>
        <v>8</v>
      </c>
      <c r="BJ58" s="1">
        <v>10</v>
      </c>
      <c r="BK58" s="2">
        <f>$H$33*H49</f>
        <v>6.7856646011095776E-11</v>
      </c>
    </row>
    <row r="59" spans="1:63" x14ac:dyDescent="0.25">
      <c r="BI59" s="1">
        <f>BI58+1</f>
        <v>9</v>
      </c>
      <c r="BJ59" s="1">
        <v>10</v>
      </c>
      <c r="BK59" s="2">
        <f>$H$34*H49</f>
        <v>1.9874014132674303E-12</v>
      </c>
    </row>
  </sheetData>
  <mergeCells count="1">
    <mergeCell ref="B3:C3"/>
  </mergeCells>
  <conditionalFormatting sqref="H49">
    <cfRule type="cellIs" dxfId="108" priority="1" operator="greaterThan">
      <formula>0.15</formula>
    </cfRule>
  </conditionalFormatting>
  <conditionalFormatting sqref="H39:H49">
    <cfRule type="cellIs" dxfId="107" priority="2" operator="greaterThan">
      <formula>0.15</formula>
    </cfRule>
  </conditionalFormatting>
  <conditionalFormatting sqref="H49">
    <cfRule type="cellIs" dxfId="106" priority="3" operator="greaterThan">
      <formula>0.15</formula>
    </cfRule>
  </conditionalFormatting>
  <conditionalFormatting sqref="H39:H49">
    <cfRule type="cellIs" dxfId="105" priority="4" operator="greaterThan">
      <formula>0.15</formula>
    </cfRule>
  </conditionalFormatting>
  <conditionalFormatting sqref="H35">
    <cfRule type="cellIs" dxfId="104" priority="5" operator="greaterThan">
      <formula>0.15</formula>
    </cfRule>
  </conditionalFormatting>
  <conditionalFormatting sqref="H25:H35">
    <cfRule type="cellIs" dxfId="103" priority="6" operator="greaterThan">
      <formula>0.15</formula>
    </cfRule>
  </conditionalFormatting>
  <conditionalFormatting sqref="H35">
    <cfRule type="cellIs" dxfId="102" priority="7" operator="greaterThan">
      <formula>0.15</formula>
    </cfRule>
  </conditionalFormatting>
  <conditionalFormatting sqref="H25:H35">
    <cfRule type="cellIs" dxfId="101" priority="8" operator="greaterThan">
      <formula>0.15</formula>
    </cfRule>
  </conditionalFormatting>
  <conditionalFormatting sqref="V49">
    <cfRule type="cellIs" dxfId="100" priority="9" operator="greaterThan">
      <formula>0.15</formula>
    </cfRule>
  </conditionalFormatting>
  <conditionalFormatting sqref="V35">
    <cfRule type="cellIs" dxfId="99" priority="10" operator="greaterThan">
      <formula>0.15</formula>
    </cfRule>
  </conditionalFormatting>
  <conditionalFormatting sqref="V25:V35 V39:V49">
    <cfRule type="cellIs" dxfId="98" priority="11" operator="greaterThan">
      <formula>0.15</formula>
    </cfRule>
  </conditionalFormatting>
  <conditionalFormatting sqref="V49">
    <cfRule type="cellIs" dxfId="97" priority="12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25:V35 V39:V49">
    <cfRule type="cellIs" dxfId="95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1594-493A-4F9D-8482-EE8FDFB618D9}">
  <sheetPr>
    <tabColor theme="5" tint="0.59999389629810485"/>
  </sheetPr>
  <dimension ref="A1:BS59"/>
  <sheetViews>
    <sheetView zoomScale="90" zoomScaleNormal="90" workbookViewId="0">
      <selection activeCell="I12" sqref="I12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283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1</v>
      </c>
      <c r="P1" s="4">
        <f>COUNTIF(F5:H5,"CAB")+COUNTIF(E4:I4,"CAB")</f>
        <v>6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121</v>
      </c>
      <c r="B2" s="1" t="s">
        <v>119</v>
      </c>
      <c r="N2" s="98">
        <f>SUM(N4:N15)</f>
        <v>6.1166666666666663</v>
      </c>
      <c r="P2" s="4"/>
      <c r="Q2" s="4"/>
      <c r="R2" s="96">
        <f>SUM(R4:R15)</f>
        <v>4.4666666666666659</v>
      </c>
      <c r="S2" s="96">
        <f>SUM(S4:S15)</f>
        <v>6.1166666666666671</v>
      </c>
      <c r="T2" s="159">
        <f>SUM(T4:T16)</f>
        <v>0.92183696032310114</v>
      </c>
      <c r="U2" s="159">
        <f>SUM(U4:U16)</f>
        <v>2.0416358162093773</v>
      </c>
      <c r="V2" s="4"/>
      <c r="W2" s="4"/>
      <c r="X2" s="158">
        <f>SUM(X4:X16)</f>
        <v>0.65580895268555184</v>
      </c>
      <c r="Y2" s="157">
        <f>SUM(Y4:Y16)</f>
        <v>1.1214077590852645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94</v>
      </c>
      <c r="G4" s="143" t="s">
        <v>87</v>
      </c>
      <c r="H4" s="143" t="s">
        <v>94</v>
      </c>
      <c r="I4" s="143" t="s">
        <v>87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0.75</v>
      </c>
      <c r="O4" s="111" t="s">
        <v>98</v>
      </c>
      <c r="P4" s="127">
        <f>COUNTIF(E3:I4,"IMP")</f>
        <v>0</v>
      </c>
      <c r="Q4" s="126">
        <f>COUNTIF(E8:I9,"IMP")</f>
        <v>2</v>
      </c>
      <c r="R4" s="96">
        <f t="shared" ref="R4:R14" si="1">IF(P4+Q4=0,0,N4)</f>
        <v>0.75</v>
      </c>
      <c r="S4" s="96">
        <f t="shared" ref="S4:S16" si="2">R4*$N$2/$R$2</f>
        <v>1.0270522388059702</v>
      </c>
      <c r="T4" s="125">
        <f t="shared" ref="T4:T9" si="3">IF(S4=0,0,S4*(P4^2.7/(P4^2.7+Q4^2.7))*P4/L4)</f>
        <v>0</v>
      </c>
      <c r="U4" s="124">
        <f t="shared" ref="U4:U9" si="4">IF(S4=0,0,S4*Q4^2.7/(P4^2.7+Q4^2.7)*Q4/L4)</f>
        <v>0.34235074626865675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0</v>
      </c>
      <c r="Y4" s="121">
        <f t="shared" si="5"/>
        <v>0.19513992537313432</v>
      </c>
      <c r="Z4" s="146"/>
      <c r="AA4" s="120">
        <f t="shared" ref="AA4:AA16" si="6">X4</f>
        <v>0</v>
      </c>
      <c r="AB4" s="119">
        <f t="shared" ref="AB4:AB16" si="7">1-AA4</f>
        <v>1</v>
      </c>
      <c r="AC4" s="119">
        <f>PRODUCT(AB5:AB16)*AA4</f>
        <v>0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0.19513992537313432</v>
      </c>
      <c r="AH4" s="117">
        <f t="shared" ref="AH4:AH16" si="9">(1-AG4)</f>
        <v>0.80486007462686571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2.3992656547442703E-2</v>
      </c>
      <c r="BM4" s="1">
        <v>0</v>
      </c>
      <c r="BN4" s="1">
        <v>0</v>
      </c>
      <c r="BO4" s="2">
        <f>H25*H39</f>
        <v>9.6236156224910486E-3</v>
      </c>
      <c r="BQ4" s="1">
        <v>1</v>
      </c>
      <c r="BR4" s="1">
        <v>0</v>
      </c>
      <c r="BS4" s="2">
        <f>$H$26*H39</f>
        <v>2.3123892335878655E-2</v>
      </c>
    </row>
    <row r="5" spans="1:71" ht="15.75" x14ac:dyDescent="0.25">
      <c r="A5" s="65" t="s">
        <v>97</v>
      </c>
      <c r="B5" s="145">
        <v>352</v>
      </c>
      <c r="C5" s="145">
        <v>352</v>
      </c>
      <c r="D5" s="1">
        <v>352</v>
      </c>
      <c r="E5" s="143" t="s">
        <v>131</v>
      </c>
      <c r="F5" s="143" t="s">
        <v>94</v>
      </c>
      <c r="G5" s="143" t="s">
        <v>94</v>
      </c>
      <c r="H5" s="143" t="s">
        <v>94</v>
      </c>
      <c r="I5" s="143" t="s">
        <v>94</v>
      </c>
      <c r="K5" s="111">
        <v>6</v>
      </c>
      <c r="L5" s="111">
        <v>8</v>
      </c>
      <c r="M5" s="128">
        <v>0.35</v>
      </c>
      <c r="N5" s="128">
        <f t="shared" si="0"/>
        <v>0.58333333333333337</v>
      </c>
      <c r="O5" s="111" t="s">
        <v>96</v>
      </c>
      <c r="P5" s="127">
        <f>COUNTIF(E5:I6,"IMP")</f>
        <v>0</v>
      </c>
      <c r="Q5" s="126">
        <f>COUNTIF(E10:I11,"IMP")</f>
        <v>0</v>
      </c>
      <c r="R5" s="96">
        <f t="shared" si="1"/>
        <v>0</v>
      </c>
      <c r="S5" s="96">
        <f t="shared" si="2"/>
        <v>0</v>
      </c>
      <c r="T5" s="125">
        <f t="shared" si="3"/>
        <v>0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0</v>
      </c>
      <c r="Y5" s="121">
        <f t="shared" si="5"/>
        <v>0</v>
      </c>
      <c r="Z5" s="102"/>
      <c r="AA5" s="120">
        <f t="shared" si="6"/>
        <v>0</v>
      </c>
      <c r="AB5" s="119">
        <f t="shared" si="7"/>
        <v>1</v>
      </c>
      <c r="AC5" s="119">
        <f>PRODUCT(AB6:AB16)*AA5*PRODUCT(AB4)</f>
        <v>0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F5" s="100"/>
      <c r="AG5" s="118">
        <f t="shared" si="8"/>
        <v>0</v>
      </c>
      <c r="AH5" s="117">
        <f t="shared" si="9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0"/>
        <v>2.6803130894904759E-2</v>
      </c>
      <c r="BM5" s="1">
        <v>1</v>
      </c>
      <c r="BN5" s="1">
        <v>1</v>
      </c>
      <c r="BO5" s="2">
        <f>$H$26*H40</f>
        <v>5.7650225094003672E-2</v>
      </c>
      <c r="BQ5" s="1">
        <f>BQ4+1</f>
        <v>2</v>
      </c>
      <c r="BR5" s="1">
        <v>0</v>
      </c>
      <c r="BS5" s="2">
        <f>$H$27*H39</f>
        <v>2.5443469753221294E-2</v>
      </c>
    </row>
    <row r="6" spans="1:71" ht="15.75" x14ac:dyDescent="0.25">
      <c r="A6" s="144" t="s">
        <v>95</v>
      </c>
      <c r="B6" s="135">
        <v>13.5</v>
      </c>
      <c r="C6" s="134">
        <v>11</v>
      </c>
      <c r="D6" s="1">
        <v>11.25</v>
      </c>
      <c r="E6" s="142"/>
      <c r="F6" s="143" t="s">
        <v>87</v>
      </c>
      <c r="G6" s="143" t="s">
        <v>87</v>
      </c>
      <c r="H6" s="143" t="s">
        <v>87</v>
      </c>
      <c r="I6" s="142"/>
      <c r="K6" s="111">
        <v>8</v>
      </c>
      <c r="L6" s="111">
        <v>13</v>
      </c>
      <c r="M6" s="128">
        <v>0.45</v>
      </c>
      <c r="N6" s="128">
        <f t="shared" si="0"/>
        <v>0.75</v>
      </c>
      <c r="O6" s="111" t="s">
        <v>93</v>
      </c>
      <c r="P6" s="127">
        <f>COUNTIF(E4:I6,"IMP")</f>
        <v>0</v>
      </c>
      <c r="Q6" s="126">
        <f>COUNTIF(E9:I11,"IMP")</f>
        <v>2</v>
      </c>
      <c r="R6" s="96">
        <f t="shared" si="1"/>
        <v>0.75</v>
      </c>
      <c r="S6" s="96">
        <f t="shared" si="2"/>
        <v>1.0270522388059702</v>
      </c>
      <c r="T6" s="125">
        <f t="shared" si="3"/>
        <v>0</v>
      </c>
      <c r="U6" s="124">
        <f t="shared" si="4"/>
        <v>0.15800803673938002</v>
      </c>
      <c r="V6" s="123">
        <f>$G$18</f>
        <v>0.45</v>
      </c>
      <c r="W6" s="117">
        <f>$H$18</f>
        <v>0.45</v>
      </c>
      <c r="X6" s="122">
        <f t="shared" si="5"/>
        <v>0</v>
      </c>
      <c r="Y6" s="121">
        <f t="shared" si="5"/>
        <v>7.1103616532721015E-2</v>
      </c>
      <c r="Z6" s="102"/>
      <c r="AA6" s="120">
        <f t="shared" si="6"/>
        <v>0</v>
      </c>
      <c r="AB6" s="119">
        <f t="shared" si="7"/>
        <v>1</v>
      </c>
      <c r="AC6" s="119">
        <f>PRODUCT(AB7:AB16)*AA6*PRODUCT(AB4:AB5)</f>
        <v>0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F6" s="100"/>
      <c r="AG6" s="118">
        <f t="shared" si="8"/>
        <v>7.1103616532721015E-2</v>
      </c>
      <c r="AH6" s="117">
        <f t="shared" si="9"/>
        <v>0.92889638346727899</v>
      </c>
      <c r="AI6" s="117">
        <f>AG6*PRODUCT(AH3:AH5)*PRODUCT(AH7:AH17)</f>
        <v>2.0990248117269645E-2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2.5033487864223103E-2</v>
      </c>
      <c r="AL6" s="98"/>
      <c r="AN6" s="97"/>
      <c r="AO6" s="96"/>
      <c r="BI6" s="1">
        <v>0</v>
      </c>
      <c r="BJ6" s="1">
        <v>3</v>
      </c>
      <c r="BK6" s="2">
        <f t="shared" si="10"/>
        <v>2.4828848553689262E-2</v>
      </c>
      <c r="BM6" s="1">
        <f>BI14+1</f>
        <v>2</v>
      </c>
      <c r="BN6" s="1">
        <v>2</v>
      </c>
      <c r="BO6" s="2">
        <f>$H$27*H41</f>
        <v>7.0863662574214031E-2</v>
      </c>
      <c r="BQ6" s="1">
        <f>BM5+1</f>
        <v>2</v>
      </c>
      <c r="BR6" s="1">
        <v>1</v>
      </c>
      <c r="BS6" s="2">
        <f>$H$27*H40</f>
        <v>6.3433168479589602E-2</v>
      </c>
    </row>
    <row r="7" spans="1:71" ht="15.75" x14ac:dyDescent="0.25">
      <c r="A7" s="141" t="s">
        <v>92</v>
      </c>
      <c r="B7" s="135">
        <v>20.5</v>
      </c>
      <c r="C7" s="134">
        <v>11.5</v>
      </c>
      <c r="D7" s="1">
        <v>13.25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6.6666666666666666E-2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0</v>
      </c>
      <c r="R7" s="96">
        <f t="shared" si="1"/>
        <v>6.6666666666666666E-2</v>
      </c>
      <c r="S7" s="96">
        <f t="shared" si="2"/>
        <v>9.1293532338308461E-2</v>
      </c>
      <c r="T7" s="125">
        <f t="shared" si="3"/>
        <v>2.2823383084577115E-2</v>
      </c>
      <c r="U7" s="124">
        <f t="shared" si="4"/>
        <v>0</v>
      </c>
      <c r="V7" s="123">
        <f>$G$18</f>
        <v>0.45</v>
      </c>
      <c r="W7" s="117">
        <f>$H$18</f>
        <v>0.45</v>
      </c>
      <c r="X7" s="122">
        <f t="shared" si="5"/>
        <v>1.0270522388059701E-2</v>
      </c>
      <c r="Y7" s="121">
        <f t="shared" si="5"/>
        <v>0</v>
      </c>
      <c r="Z7" s="102"/>
      <c r="AA7" s="120">
        <f t="shared" si="6"/>
        <v>1.0270522388059701E-2</v>
      </c>
      <c r="AB7" s="119">
        <f t="shared" si="7"/>
        <v>0.9897294776119403</v>
      </c>
      <c r="AC7" s="119">
        <f>PRODUCT(AB8:AB$16)*AA7*PRODUCT(AB$4:AB6)</f>
        <v>4.9747566642537799E-3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4.0889207740828007E-3</v>
      </c>
      <c r="AF7" s="100"/>
      <c r="AG7" s="118">
        <f t="shared" si="8"/>
        <v>0</v>
      </c>
      <c r="AH7" s="117">
        <f t="shared" si="9"/>
        <v>1</v>
      </c>
      <c r="AI7" s="117">
        <f>AG7*PRODUCT(AH3:AH6)*PRODUCT(AH8:AH17)</f>
        <v>0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L7" s="98"/>
      <c r="AN7" s="97"/>
      <c r="AO7" s="96"/>
      <c r="BI7" s="1">
        <v>0</v>
      </c>
      <c r="BJ7" s="1">
        <v>4</v>
      </c>
      <c r="BK7" s="2">
        <f t="shared" si="10"/>
        <v>1.6442858245379284E-2</v>
      </c>
      <c r="BM7" s="1">
        <f>BI23+1</f>
        <v>3</v>
      </c>
      <c r="BN7" s="1">
        <v>3</v>
      </c>
      <c r="BO7" s="2">
        <f>$H$28*H42</f>
        <v>4.400193602331693E-2</v>
      </c>
      <c r="BQ7" s="1">
        <f>BQ5+1</f>
        <v>3</v>
      </c>
      <c r="BR7" s="1">
        <v>0</v>
      </c>
      <c r="BS7" s="2">
        <f>$H$28*H39</f>
        <v>1.705506874465686E-2</v>
      </c>
    </row>
    <row r="8" spans="1:71" ht="15.75" x14ac:dyDescent="0.25">
      <c r="A8" s="141" t="s">
        <v>90</v>
      </c>
      <c r="B8" s="135">
        <v>21</v>
      </c>
      <c r="C8" s="134">
        <v>11.25</v>
      </c>
      <c r="D8" s="1">
        <v>10.75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0.83333333333333337</v>
      </c>
      <c r="O8" s="111" t="s">
        <v>89</v>
      </c>
      <c r="P8" s="127">
        <f>COUNTIF(E5:I6,"RAP")</f>
        <v>0</v>
      </c>
      <c r="Q8" s="126">
        <f>COUNTIF(E10:I11,"RAP")</f>
        <v>4</v>
      </c>
      <c r="R8" s="96">
        <f t="shared" si="1"/>
        <v>0.83333333333333337</v>
      </c>
      <c r="S8" s="96">
        <f t="shared" si="2"/>
        <v>1.141169154228856</v>
      </c>
      <c r="T8" s="125">
        <f t="shared" si="3"/>
        <v>0</v>
      </c>
      <c r="U8" s="124">
        <f t="shared" si="4"/>
        <v>0.570584577114428</v>
      </c>
      <c r="V8" s="123">
        <f>$G$17</f>
        <v>0.56999999999999995</v>
      </c>
      <c r="W8" s="117">
        <f>$H$17</f>
        <v>0.56999999999999995</v>
      </c>
      <c r="X8" s="122">
        <f t="shared" si="5"/>
        <v>0</v>
      </c>
      <c r="Y8" s="121">
        <f t="shared" si="5"/>
        <v>0.32523320895522395</v>
      </c>
      <c r="Z8" s="102"/>
      <c r="AA8" s="120">
        <f t="shared" si="6"/>
        <v>0</v>
      </c>
      <c r="AB8" s="119">
        <f t="shared" si="7"/>
        <v>1</v>
      </c>
      <c r="AC8" s="119">
        <f>PRODUCT(AB9:AB$16)*AA8*PRODUCT(AB$4:AB7)</f>
        <v>0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F8" s="100"/>
      <c r="AG8" s="118">
        <f t="shared" si="8"/>
        <v>0.32523320895522395</v>
      </c>
      <c r="AH8" s="117">
        <f t="shared" si="9"/>
        <v>0.6747667910447761</v>
      </c>
      <c r="AI8" s="117">
        <f>AG8*PRODUCT(AH3:AH7)*PRODUCT(AH9:AH17)</f>
        <v>0.13217044044439527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9.3924435227587227E-2</v>
      </c>
      <c r="AL8" s="98"/>
      <c r="AN8" s="97"/>
      <c r="AO8" s="96"/>
      <c r="BI8" s="1">
        <v>0</v>
      </c>
      <c r="BJ8" s="1">
        <v>5</v>
      </c>
      <c r="BK8" s="2">
        <f t="shared" si="10"/>
        <v>7.166026380865065E-3</v>
      </c>
      <c r="BM8" s="1">
        <f>BI31+1</f>
        <v>4</v>
      </c>
      <c r="BN8" s="1">
        <v>4</v>
      </c>
      <c r="BO8" s="2">
        <f>$H$29*H43</f>
        <v>1.330952302404188E-2</v>
      </c>
      <c r="BQ8" s="1">
        <f>BQ6+1</f>
        <v>3</v>
      </c>
      <c r="BR8" s="1">
        <v>1</v>
      </c>
      <c r="BS8" s="2">
        <f>$H$28*H40</f>
        <v>4.2520028109524322E-2</v>
      </c>
    </row>
    <row r="9" spans="1:71" ht="15.75" x14ac:dyDescent="0.25">
      <c r="A9" s="141" t="s">
        <v>88</v>
      </c>
      <c r="B9" s="135">
        <v>20.5</v>
      </c>
      <c r="C9" s="134">
        <v>8.5</v>
      </c>
      <c r="D9" s="1">
        <v>12.75</v>
      </c>
      <c r="E9" s="140" t="s">
        <v>93</v>
      </c>
      <c r="F9" s="140" t="s">
        <v>87</v>
      </c>
      <c r="G9" s="140" t="s">
        <v>87</v>
      </c>
      <c r="H9" s="140" t="s">
        <v>87</v>
      </c>
      <c r="I9" s="140" t="s">
        <v>93</v>
      </c>
      <c r="K9" s="111">
        <v>16</v>
      </c>
      <c r="L9" s="111">
        <v>8</v>
      </c>
      <c r="M9" s="128">
        <v>0.5</v>
      </c>
      <c r="N9" s="128">
        <f t="shared" si="0"/>
        <v>0.83333333333333337</v>
      </c>
      <c r="O9" s="111" t="s">
        <v>86</v>
      </c>
      <c r="P9" s="127">
        <f>COUNTIF(E5:I6,"RAP")</f>
        <v>0</v>
      </c>
      <c r="Q9" s="126">
        <f>COUNTIF(E10:I11,"RAP")</f>
        <v>4</v>
      </c>
      <c r="R9" s="96">
        <f t="shared" si="1"/>
        <v>0.83333333333333337</v>
      </c>
      <c r="S9" s="96">
        <f t="shared" si="2"/>
        <v>1.141169154228856</v>
      </c>
      <c r="T9" s="125">
        <f t="shared" si="3"/>
        <v>0</v>
      </c>
      <c r="U9" s="124">
        <f t="shared" si="4"/>
        <v>0.570584577114428</v>
      </c>
      <c r="V9" s="123">
        <f>$G$17</f>
        <v>0.56999999999999995</v>
      </c>
      <c r="W9" s="117">
        <f>$H$17</f>
        <v>0.56999999999999995</v>
      </c>
      <c r="X9" s="122">
        <f t="shared" si="5"/>
        <v>0</v>
      </c>
      <c r="Y9" s="121">
        <f t="shared" si="5"/>
        <v>0.32523320895522395</v>
      </c>
      <c r="Z9" s="102"/>
      <c r="AA9" s="120">
        <f t="shared" si="6"/>
        <v>0</v>
      </c>
      <c r="AB9" s="119">
        <f t="shared" si="7"/>
        <v>1</v>
      </c>
      <c r="AC9" s="119">
        <f>PRODUCT(AB10:AB$16)*AA9*PRODUCT(AB$4:AB8)</f>
        <v>0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F9" s="100"/>
      <c r="AG9" s="118">
        <f t="shared" si="8"/>
        <v>0.32523320895522395</v>
      </c>
      <c r="AH9" s="117">
        <f t="shared" si="9"/>
        <v>0.6747667910447761</v>
      </c>
      <c r="AI9" s="117">
        <f>AG9*PRODUCT(AH3:AH8)*PRODUCT(AH10:AH17)</f>
        <v>0.13217044044439527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3.0219141716923741E-2</v>
      </c>
      <c r="AL9" s="98"/>
      <c r="AN9" s="97"/>
      <c r="AO9" s="96"/>
      <c r="BI9" s="1">
        <v>0</v>
      </c>
      <c r="BJ9" s="1">
        <v>6</v>
      </c>
      <c r="BK9" s="2">
        <f t="shared" si="10"/>
        <v>2.0943681477814322E-3</v>
      </c>
      <c r="BM9" s="1">
        <f>BI38+1</f>
        <v>5</v>
      </c>
      <c r="BN9" s="1">
        <v>5</v>
      </c>
      <c r="BO9" s="2">
        <f>$H$30*H44</f>
        <v>1.9083824829704526E-3</v>
      </c>
      <c r="BQ9" s="1">
        <f>BM6+1</f>
        <v>3</v>
      </c>
      <c r="BR9" s="1">
        <v>2</v>
      </c>
      <c r="BS9" s="2">
        <f>$H$28*H41</f>
        <v>4.7500779116353573E-2</v>
      </c>
    </row>
    <row r="10" spans="1:71" ht="15.75" x14ac:dyDescent="0.25">
      <c r="A10" s="138" t="s">
        <v>85</v>
      </c>
      <c r="B10" s="135">
        <v>1.75</v>
      </c>
      <c r="C10" s="134">
        <v>20.75</v>
      </c>
      <c r="D10" s="1">
        <v>21.25</v>
      </c>
      <c r="E10" s="140" t="s">
        <v>3</v>
      </c>
      <c r="F10" s="140" t="s">
        <v>87</v>
      </c>
      <c r="G10" s="140" t="s">
        <v>3</v>
      </c>
      <c r="H10" s="140" t="s">
        <v>87</v>
      </c>
      <c r="I10" s="140" t="s">
        <v>87</v>
      </c>
      <c r="K10" s="111">
        <v>18</v>
      </c>
      <c r="L10" s="111" t="s">
        <v>84</v>
      </c>
      <c r="M10" s="128">
        <v>0.19</v>
      </c>
      <c r="N10" s="128">
        <f t="shared" si="0"/>
        <v>0.31666666666666665</v>
      </c>
      <c r="O10" s="111" t="s">
        <v>83</v>
      </c>
      <c r="P10" s="127">
        <v>1</v>
      </c>
      <c r="Q10" s="126">
        <v>1</v>
      </c>
      <c r="R10" s="96">
        <f t="shared" si="1"/>
        <v>0.31666666666666665</v>
      </c>
      <c r="S10" s="96">
        <f t="shared" si="2"/>
        <v>0.43364427860696519</v>
      </c>
      <c r="T10" s="125">
        <f>S10*G13</f>
        <v>0.23894684739567468</v>
      </c>
      <c r="U10" s="124">
        <f>S10*G14</f>
        <v>0.19469743121129052</v>
      </c>
      <c r="V10" s="123">
        <f>$G$18</f>
        <v>0.45</v>
      </c>
      <c r="W10" s="117">
        <f>$H$18</f>
        <v>0.45</v>
      </c>
      <c r="X10" s="122">
        <f t="shared" si="5"/>
        <v>0.10752608132805361</v>
      </c>
      <c r="Y10" s="121">
        <f t="shared" si="5"/>
        <v>8.7613844045080741E-2</v>
      </c>
      <c r="Z10" s="102"/>
      <c r="AA10" s="120">
        <f t="shared" si="6"/>
        <v>0.10752608132805361</v>
      </c>
      <c r="AB10" s="119">
        <f t="shared" si="7"/>
        <v>0.89247391867194636</v>
      </c>
      <c r="AC10" s="119">
        <f>PRODUCT(AB11:AB$16)*AA10*PRODUCT(AB$4:AB9)</f>
        <v>5.775825975104016E-2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4.0514698933180403E-2</v>
      </c>
      <c r="AF10" s="100"/>
      <c r="AG10" s="118">
        <f t="shared" si="8"/>
        <v>8.7613844045080741E-2</v>
      </c>
      <c r="AH10" s="117">
        <f t="shared" si="9"/>
        <v>0.91238615595491923</v>
      </c>
      <c r="AI10" s="117">
        <f>AG10*PRODUCT(AH3:AH9)*PRODUCT(AH11:AH17)</f>
        <v>2.6332203452334963E-2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3.4919271749570204E-3</v>
      </c>
      <c r="AL10" s="98"/>
      <c r="AN10" s="97"/>
      <c r="AO10" s="96"/>
      <c r="BI10" s="1">
        <v>0</v>
      </c>
      <c r="BJ10" s="1">
        <v>7</v>
      </c>
      <c r="BK10" s="2">
        <f t="shared" si="10"/>
        <v>4.2342997250852696E-4</v>
      </c>
      <c r="BM10" s="1">
        <f>BI44+1</f>
        <v>6</v>
      </c>
      <c r="BN10" s="1">
        <v>6</v>
      </c>
      <c r="BO10" s="2">
        <f>$H$31*H45</f>
        <v>1.3602414375497225E-4</v>
      </c>
      <c r="BQ10" s="1">
        <f>BQ7+1</f>
        <v>4</v>
      </c>
      <c r="BR10" s="1">
        <v>0</v>
      </c>
      <c r="BS10" s="2">
        <f>$H$29*H39</f>
        <v>7.7897487037004625E-3</v>
      </c>
    </row>
    <row r="11" spans="1:71" ht="15.75" x14ac:dyDescent="0.25">
      <c r="A11" s="138" t="s">
        <v>82</v>
      </c>
      <c r="B11" s="135">
        <v>1.5</v>
      </c>
      <c r="C11" s="134">
        <v>18.5</v>
      </c>
      <c r="D11" s="1">
        <v>11.5</v>
      </c>
      <c r="E11" s="139"/>
      <c r="F11" s="140" t="s">
        <v>3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0.31666666666666665</v>
      </c>
      <c r="O11" s="111" t="s">
        <v>81</v>
      </c>
      <c r="P11" s="127">
        <f>COUNTIF(E4:I6,"CAB")</f>
        <v>7</v>
      </c>
      <c r="Q11" s="126">
        <f>COUNTIF(E9:I11,"CAB")</f>
        <v>0</v>
      </c>
      <c r="R11" s="96">
        <f t="shared" si="1"/>
        <v>0.31666666666666665</v>
      </c>
      <c r="S11" s="96">
        <f t="shared" si="2"/>
        <v>0.43364427860696519</v>
      </c>
      <c r="T11" s="125">
        <f>IF(P11&gt;0,IF(Q11&gt;0,G13^2.7/(G14^2.7+G13^2.7),1),0)*P11/L11*S11</f>
        <v>0.33727888336097295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0.9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0.30355099502487565</v>
      </c>
      <c r="Y11" s="121">
        <f t="shared" si="5"/>
        <v>0</v>
      </c>
      <c r="Z11" s="102"/>
      <c r="AA11" s="120">
        <f t="shared" si="6"/>
        <v>0.30355099502487565</v>
      </c>
      <c r="AB11" s="119">
        <f t="shared" si="7"/>
        <v>0.69644900497512441</v>
      </c>
      <c r="AC11" s="119">
        <f>PRODUCT(AB12:AB$16)*AA11*PRODUCT(AB$4:AB10)</f>
        <v>0.20894796832322227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5.5496077880426348E-2</v>
      </c>
      <c r="AF11" s="100"/>
      <c r="AG11" s="118">
        <f t="shared" si="8"/>
        <v>0</v>
      </c>
      <c r="AH11" s="117">
        <f t="shared" si="9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0"/>
        <v>6.0372877326611693E-5</v>
      </c>
      <c r="BM11" s="1">
        <f>BI50+1</f>
        <v>7</v>
      </c>
      <c r="BN11" s="1">
        <v>7</v>
      </c>
      <c r="BO11" s="2">
        <f>$H$32*H46</f>
        <v>5.0326895597965058E-6</v>
      </c>
      <c r="BQ11" s="1">
        <f>BQ8+1</f>
        <v>4</v>
      </c>
      <c r="BR11" s="1">
        <v>1</v>
      </c>
      <c r="BS11" s="2">
        <f>$H$29*H40</f>
        <v>1.9420639037367793E-2</v>
      </c>
    </row>
    <row r="12" spans="1:71" ht="15.75" x14ac:dyDescent="0.25">
      <c r="A12" s="138" t="s">
        <v>80</v>
      </c>
      <c r="B12" s="135">
        <v>1.5</v>
      </c>
      <c r="C12" s="134">
        <v>10</v>
      </c>
      <c r="D12" s="1">
        <v>21.5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6.6666666666666666E-2</v>
      </c>
      <c r="O12" s="111" t="s">
        <v>79</v>
      </c>
      <c r="P12" s="127">
        <f>COUNTIF(F6:H6,"IMP")+COUNTIF(E5,"IMP")+COUNTIF(I5,"IMP")</f>
        <v>0</v>
      </c>
      <c r="Q12" s="126">
        <f>COUNTIF(F11:H11,"IMP")+COUNTIF(E10,"IMP")+COUNTIF(I10,"IMP")</f>
        <v>0</v>
      </c>
      <c r="R12" s="96">
        <f t="shared" si="1"/>
        <v>0</v>
      </c>
      <c r="S12" s="96">
        <f t="shared" si="2"/>
        <v>0</v>
      </c>
      <c r="T12" s="125">
        <f>IF(S12=0,0,S12*(P12^2.7/(P12^2.7+Q12^2.7))*P12/L12)</f>
        <v>0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0</v>
      </c>
      <c r="Y12" s="121">
        <f t="shared" si="5"/>
        <v>0</v>
      </c>
      <c r="Z12" s="102"/>
      <c r="AA12" s="120">
        <f t="shared" si="6"/>
        <v>0</v>
      </c>
      <c r="AB12" s="119">
        <f t="shared" si="7"/>
        <v>1</v>
      </c>
      <c r="AC12" s="119">
        <f>PRODUCT(AB13:AB$16)*AA12*PRODUCT(AB$4:AB11)</f>
        <v>0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F12" s="100"/>
      <c r="AG12" s="118">
        <f t="shared" si="8"/>
        <v>0</v>
      </c>
      <c r="AH12" s="117">
        <f t="shared" si="9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0"/>
        <v>6.093719225214874E-6</v>
      </c>
      <c r="BM12" s="1">
        <f>BI54+1</f>
        <v>8</v>
      </c>
      <c r="BN12" s="1">
        <v>8</v>
      </c>
      <c r="BO12" s="2">
        <f>$H$33*H47</f>
        <v>9.8497976096916125E-8</v>
      </c>
      <c r="BQ12" s="1">
        <f>BQ9+1</f>
        <v>4</v>
      </c>
      <c r="BR12" s="1">
        <v>2</v>
      </c>
      <c r="BS12" s="2">
        <f>$H$29*H41</f>
        <v>2.1695552101617863E-2</v>
      </c>
    </row>
    <row r="13" spans="1:71" ht="15.75" x14ac:dyDescent="0.25">
      <c r="A13" s="136" t="s">
        <v>78</v>
      </c>
      <c r="B13" s="135">
        <v>13</v>
      </c>
      <c r="C13" s="134">
        <v>14</v>
      </c>
      <c r="D13" s="1">
        <v>14</v>
      </c>
      <c r="E13" s="4"/>
      <c r="F13" s="4" t="s">
        <v>77</v>
      </c>
      <c r="G13" s="137">
        <f>B22</f>
        <v>0.55102040816326525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0.3</v>
      </c>
      <c r="O13" s="111" t="s">
        <v>76</v>
      </c>
      <c r="P13" s="127">
        <f>COUNTIF(E5:I6,"CAB")</f>
        <v>4</v>
      </c>
      <c r="Q13" s="126">
        <f>COUNTIF(E10:I11,"CAB")</f>
        <v>0</v>
      </c>
      <c r="R13" s="96">
        <f t="shared" si="1"/>
        <v>0.3</v>
      </c>
      <c r="S13" s="96">
        <f t="shared" si="2"/>
        <v>0.4108208955223881</v>
      </c>
      <c r="T13" s="125">
        <f>IF((Q13+P13)=0,0,S13*P14/4*P13/L13)</f>
        <v>0.11737739872068231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0.11737739872068231</v>
      </c>
      <c r="Y13" s="121">
        <f t="shared" si="5"/>
        <v>0</v>
      </c>
      <c r="Z13" s="102"/>
      <c r="AA13" s="120">
        <f t="shared" si="6"/>
        <v>0.11737739872068231</v>
      </c>
      <c r="AB13" s="119">
        <f t="shared" si="7"/>
        <v>0.88262260127931769</v>
      </c>
      <c r="AC13" s="119">
        <f>PRODUCT(AB14:AB$16)*AA13*PRODUCT(AB$4:AB12)</f>
        <v>6.3753678864677116E-2</v>
      </c>
      <c r="AD13" s="119">
        <f>AA13*AA14*PRODUCT(AB3:AB12)*PRODUCT(AB15:AB17)+AA13*AA15*PRODUCT(AB3:AB12)*AB14*PRODUCT(AB16:AB17)+AA13*AA16*PRODUCT(AB3:AB12)*AB14*AB15*AB17+AA13*AA17*PRODUCT(AB3:AB12)*AB14*AB15*AB16</f>
        <v>8.4544084635389052E-3</v>
      </c>
      <c r="AF13" s="100"/>
      <c r="AG13" s="118">
        <f t="shared" si="8"/>
        <v>0</v>
      </c>
      <c r="AH13" s="117">
        <f t="shared" si="9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0"/>
        <v>4.2939974397563085E-7</v>
      </c>
      <c r="BM13" s="1">
        <f>BI57+1</f>
        <v>9</v>
      </c>
      <c r="BN13" s="1">
        <v>9</v>
      </c>
      <c r="BO13" s="2">
        <f>$H$34*H48</f>
        <v>1.0106206774887881E-9</v>
      </c>
      <c r="BQ13" s="1">
        <f>BM7+1</f>
        <v>4</v>
      </c>
      <c r="BR13" s="1">
        <v>3</v>
      </c>
      <c r="BS13" s="2">
        <f>$H$29*H42</f>
        <v>2.0097487100738155E-2</v>
      </c>
    </row>
    <row r="14" spans="1:71" ht="15.75" x14ac:dyDescent="0.25">
      <c r="A14" s="136" t="s">
        <v>75</v>
      </c>
      <c r="B14" s="135">
        <v>12.25</v>
      </c>
      <c r="C14" s="134">
        <v>12</v>
      </c>
      <c r="D14" s="1">
        <v>12</v>
      </c>
      <c r="E14" s="4"/>
      <c r="F14" s="4" t="s">
        <v>74</v>
      </c>
      <c r="G14" s="133">
        <f>C22</f>
        <v>0.44897959183673475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0.3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0.3</v>
      </c>
      <c r="S14" s="96">
        <f t="shared" si="2"/>
        <v>0.4108208955223881</v>
      </c>
      <c r="T14" s="125">
        <f>S14*P14^2.7/(Q14^2.7+P14^2.7)</f>
        <v>0.20541044776119405</v>
      </c>
      <c r="U14" s="124">
        <f>S14*Q14^2.7/(Q14^2.7+P14^2.7)</f>
        <v>0.20541044776119405</v>
      </c>
      <c r="V14" s="123">
        <f>$G$17</f>
        <v>0.56999999999999995</v>
      </c>
      <c r="W14" s="117">
        <f>$H$17</f>
        <v>0.56999999999999995</v>
      </c>
      <c r="X14" s="122">
        <f t="shared" si="5"/>
        <v>0.1170839552238806</v>
      </c>
      <c r="Y14" s="121">
        <f t="shared" si="5"/>
        <v>0.1170839552238806</v>
      </c>
      <c r="Z14" s="102"/>
      <c r="AA14" s="120">
        <f t="shared" si="6"/>
        <v>0.1170839552238806</v>
      </c>
      <c r="AB14" s="119">
        <f t="shared" si="7"/>
        <v>0.8829160447761194</v>
      </c>
      <c r="AC14" s="119">
        <f>PRODUCT(AB15:AB$16)*AA14*PRODUCT(AB$4:AB13)</f>
        <v>6.357315864635657E-2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0.1170839552238806</v>
      </c>
      <c r="AH14" s="117">
        <f t="shared" si="9"/>
        <v>0.8829160447761194</v>
      </c>
      <c r="AI14" s="117">
        <f>AG14*PRODUCT(AH3:AH13)*PRODUCT(AH15:AH17)</f>
        <v>3.6363956481514983E-2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6.4403311332358562E-2</v>
      </c>
      <c r="BM14" s="1">
        <f>BQ39+1</f>
        <v>10</v>
      </c>
      <c r="BN14" s="1">
        <v>10</v>
      </c>
      <c r="BO14" s="2">
        <f>$H$35*H49</f>
        <v>5.209681013409432E-12</v>
      </c>
      <c r="BQ14" s="1">
        <f>BQ10+1</f>
        <v>5</v>
      </c>
      <c r="BR14" s="1">
        <v>0</v>
      </c>
      <c r="BS14" s="2">
        <f>$H$30*H39</f>
        <v>2.5628623871442771E-3</v>
      </c>
    </row>
    <row r="15" spans="1:71" ht="15.75" x14ac:dyDescent="0.25">
      <c r="A15" s="70" t="s">
        <v>72</v>
      </c>
      <c r="B15" s="132">
        <v>8.25</v>
      </c>
      <c r="C15" s="131">
        <v>5</v>
      </c>
      <c r="D15" s="1">
        <v>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1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5.9659450595423137E-2</v>
      </c>
      <c r="BQ15" s="1">
        <f>BQ11+1</f>
        <v>5</v>
      </c>
      <c r="BR15" s="1">
        <v>1</v>
      </c>
      <c r="BS15" s="2">
        <f>$H$30*H40</f>
        <v>6.389477660496511E-3</v>
      </c>
    </row>
    <row r="16" spans="1:71" ht="15.75" x14ac:dyDescent="0.25">
      <c r="A16" s="70" t="s">
        <v>70</v>
      </c>
      <c r="B16" s="130">
        <v>12</v>
      </c>
      <c r="C16" s="129">
        <v>12</v>
      </c>
      <c r="D16" s="1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3.9509358922405244E-2</v>
      </c>
      <c r="BQ16" s="1">
        <f>BQ12+1</f>
        <v>5</v>
      </c>
      <c r="BR16" s="1">
        <v>2</v>
      </c>
      <c r="BS16" s="2">
        <f>$H$30*H41</f>
        <v>7.137934298593193E-3</v>
      </c>
    </row>
    <row r="17" spans="1:71" x14ac:dyDescent="0.25">
      <c r="A17" s="116" t="s">
        <v>67</v>
      </c>
      <c r="B17" s="115" t="s">
        <v>139</v>
      </c>
      <c r="C17" s="114" t="s">
        <v>483</v>
      </c>
      <c r="D17" s="1" t="s">
        <v>477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1.7218728283361889E-2</v>
      </c>
      <c r="BQ17" s="1">
        <f>BQ13+1</f>
        <v>5</v>
      </c>
      <c r="BR17" s="1">
        <v>3</v>
      </c>
      <c r="BS17" s="2">
        <f>$H$30*H42</f>
        <v>6.6121637200094842E-3</v>
      </c>
    </row>
    <row r="18" spans="1:71" x14ac:dyDescent="0.25">
      <c r="A18" s="116" t="s">
        <v>64</v>
      </c>
      <c r="B18" s="115">
        <v>20</v>
      </c>
      <c r="C18" s="114">
        <v>17</v>
      </c>
      <c r="D18" s="1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0.47939755433302617</v>
      </c>
      <c r="AC18" s="107">
        <f>SUM(AC4:AC16)</f>
        <v>0.39900782224954989</v>
      </c>
      <c r="AD18" s="107">
        <f>SUM(AD3:AD17)</f>
        <v>0.10855410605122845</v>
      </c>
      <c r="AE18" s="107">
        <f>IF((1-AB18-AC18-AD18)&lt;0,(1-AB18-AC18-AD18)-1,1-AB18-AC18-AD18)</f>
        <v>1.3040517366195437E-2</v>
      </c>
      <c r="AF18" s="100"/>
      <c r="AG18" s="4"/>
      <c r="AH18" s="108">
        <f>PRODUCT(AH3:AH17)</f>
        <v>0.27421622858297234</v>
      </c>
      <c r="AI18" s="107">
        <f>SUM(AI3:AI17)</f>
        <v>0.34802728893991008</v>
      </c>
      <c r="AJ18" s="107">
        <f>SUM(AJ3:AJ17)</f>
        <v>0.1526689919836911</v>
      </c>
      <c r="AK18" s="107">
        <f>IF((1-AH18-AI18-AJ18)&lt;0,(1-AH18-AI18-AJ18)-1,(1-AH18-AI18-AJ18))</f>
        <v>0.22508749049342647</v>
      </c>
      <c r="AL18" s="98"/>
      <c r="AN18" s="97"/>
      <c r="AO18" s="96"/>
      <c r="BI18" s="1">
        <v>1</v>
      </c>
      <c r="BJ18" s="1">
        <v>6</v>
      </c>
      <c r="BK18" s="2">
        <f t="shared" si="11"/>
        <v>5.0324062660822965E-3</v>
      </c>
      <c r="BQ18" s="1">
        <f>BM8+1</f>
        <v>5</v>
      </c>
      <c r="BR18" s="1">
        <v>4</v>
      </c>
      <c r="BS18" s="2">
        <f>$H$30*H43</f>
        <v>4.37889298443527E-3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1.0174293612878909E-3</v>
      </c>
      <c r="BQ19" s="1">
        <f>BQ15+1</f>
        <v>6</v>
      </c>
      <c r="BR19" s="1">
        <v>1</v>
      </c>
      <c r="BS19" s="2">
        <f>$H$31*H40</f>
        <v>1.5582649911526486E-3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1.4506563541930126E-4</v>
      </c>
      <c r="BQ20" s="1">
        <f>BQ16+1</f>
        <v>6</v>
      </c>
      <c r="BR20" s="1">
        <v>2</v>
      </c>
      <c r="BS20" s="2">
        <f>$H$31*H41</f>
        <v>1.7407984999169999E-3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1.4642158707962645E-5</v>
      </c>
      <c r="BQ21" s="1">
        <f>BQ17+1</f>
        <v>6</v>
      </c>
      <c r="BR21" s="1">
        <v>3</v>
      </c>
      <c r="BS21" s="2">
        <f>$H$31*H42</f>
        <v>1.6125736387440132E-3</v>
      </c>
    </row>
    <row r="22" spans="1:71" x14ac:dyDescent="0.25">
      <c r="A22" s="67" t="s">
        <v>60</v>
      </c>
      <c r="B22" s="74">
        <f>(B6)/((B6)+(C6))</f>
        <v>0.55102040816326525</v>
      </c>
      <c r="C22" s="73">
        <f>1-B22</f>
        <v>0.44897959183673475</v>
      </c>
      <c r="V22" s="52">
        <f>SUM(V25:V35)</f>
        <v>1</v>
      </c>
      <c r="AS22" s="56">
        <f>Y23+AA23+AC23+AE23+AG23+AI23+AK23+AM23+AO23+AQ23+AS23</f>
        <v>1.0000000000000004</v>
      </c>
      <c r="BI22" s="1">
        <v>1</v>
      </c>
      <c r="BJ22" s="1">
        <v>10</v>
      </c>
      <c r="BK22" s="2">
        <f t="shared" si="11"/>
        <v>1.0317736948616979E-6</v>
      </c>
      <c r="BQ22" s="1">
        <f>BQ18+1</f>
        <v>6</v>
      </c>
      <c r="BR22" s="1">
        <v>4</v>
      </c>
      <c r="BS22" s="2">
        <f>$H$31*H43</f>
        <v>1.0679238586021106E-3</v>
      </c>
    </row>
    <row r="23" spans="1:71" ht="15.75" thickBot="1" x14ac:dyDescent="0.3">
      <c r="A23" s="65" t="s">
        <v>59</v>
      </c>
      <c r="B23" s="64">
        <f>((B22^2.8)/((B22^2.8)+(C22^2.8)))*B21</f>
        <v>3.1977647561766225</v>
      </c>
      <c r="C23" s="63">
        <f>B21-B23</f>
        <v>1.8022352438233775</v>
      </c>
      <c r="D23" s="88">
        <f>SUM(D25:D30)</f>
        <v>1.0005000000000002</v>
      </c>
      <c r="E23" s="88">
        <f>SUM(E25:E30)</f>
        <v>1</v>
      </c>
      <c r="H23" s="50">
        <f>SUM(H25:H35)</f>
        <v>0.99999993050790181</v>
      </c>
      <c r="I23" s="51"/>
      <c r="J23" s="50">
        <f>SUM(J25:J35)</f>
        <v>1.0000000000000004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1.0000000000000002</v>
      </c>
      <c r="S23" s="51"/>
      <c r="T23" s="50">
        <f>SUM(T25:T35)</f>
        <v>1</v>
      </c>
      <c r="V23" s="52">
        <f>SUM(V25:V34)</f>
        <v>0.98790333438122691</v>
      </c>
      <c r="Y23" s="50">
        <f>SUM(Y25:Y35)</f>
        <v>3.664889640889641E-5</v>
      </c>
      <c r="Z23" s="51"/>
      <c r="AA23" s="50">
        <f>SUM(AA25:AA35)</f>
        <v>6.5064164921299205E-4</v>
      </c>
      <c r="AB23" s="51"/>
      <c r="AC23" s="50">
        <f>SUM(AC25:AC35)</f>
        <v>5.1986415186654859E-3</v>
      </c>
      <c r="AD23" s="51"/>
      <c r="AE23" s="50">
        <f>SUM(AE25:AE35)</f>
        <v>2.4618922430647072E-2</v>
      </c>
      <c r="AF23" s="51"/>
      <c r="AG23" s="50">
        <f>SUM(AG25:AG35)</f>
        <v>7.65287269727392E-2</v>
      </c>
      <c r="AH23" s="51"/>
      <c r="AI23" s="50">
        <f>SUM(AI25:AI35)</f>
        <v>0.16318618704352469</v>
      </c>
      <c r="AJ23" s="51"/>
      <c r="AK23" s="50">
        <f>SUM(AK25:AK35)</f>
        <v>0.24178859327027391</v>
      </c>
      <c r="AL23" s="51"/>
      <c r="AM23" s="50">
        <f>SUM(AM25:AM35)</f>
        <v>0.24591121742085498</v>
      </c>
      <c r="AN23" s="51"/>
      <c r="AO23" s="50">
        <f>SUM(AO25:AO35)</f>
        <v>0.16446765957750487</v>
      </c>
      <c r="AP23" s="51"/>
      <c r="AQ23" s="50">
        <f>SUM(AQ25:AQ35)</f>
        <v>6.5516095601395208E-2</v>
      </c>
      <c r="AR23" s="51"/>
      <c r="AS23" s="50">
        <f>SUM(AS25:AS35)</f>
        <v>1.20966656187731E-2</v>
      </c>
      <c r="BI23" s="1">
        <f t="shared" ref="BI23:BI30" si="12">BI15+1</f>
        <v>2</v>
      </c>
      <c r="BJ23" s="1">
        <v>3</v>
      </c>
      <c r="BK23" s="2">
        <f t="shared" ref="BK23:BK30" si="13">$H$27*H42</f>
        <v>6.5643941109483211E-2</v>
      </c>
      <c r="BQ23" s="1">
        <f>BM9+1</f>
        <v>6</v>
      </c>
      <c r="BR23" s="1">
        <v>5</v>
      </c>
      <c r="BS23" s="2">
        <f>$H$31*H44</f>
        <v>4.6541607482680167E-4</v>
      </c>
    </row>
    <row r="24" spans="1:71" ht="15.75" thickBot="1" x14ac:dyDescent="0.3">
      <c r="A24" s="67" t="s">
        <v>58</v>
      </c>
      <c r="B24" s="87">
        <f>B23/B21</f>
        <v>0.63955295123532452</v>
      </c>
      <c r="C24" s="86">
        <f>C23/B21</f>
        <v>0.36044704876467548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4.3472576507011494E-2</v>
      </c>
      <c r="BQ24" s="1">
        <f>BI49+1</f>
        <v>7</v>
      </c>
      <c r="BR24" s="1">
        <v>0</v>
      </c>
      <c r="BS24" s="2">
        <f t="shared" ref="BS24:BS30" si="14">$H$32*H39</f>
        <v>1.1438177034061972E-4</v>
      </c>
    </row>
    <row r="25" spans="1:71" x14ac:dyDescent="0.25">
      <c r="A25" s="67" t="s">
        <v>32</v>
      </c>
      <c r="B25" s="77">
        <f>1/(1+EXP(-3.1416*4*((B11/(B11+C8))-(3.1416/6))))</f>
        <v>6.0515732571758451E-3</v>
      </c>
      <c r="C25" s="73">
        <f>1/(1+EXP(-3.1416*4*((C11/(C11+B8))-(3.1416/6))))</f>
        <v>0.33309098952081945</v>
      </c>
      <c r="D25" s="8">
        <f>IF(B17="AOW",0.36-0.08,IF(B17="AIM",0.36+0.08,IF(B17="TL",(0.361)-(0.36*B32),0.36)))</f>
        <v>0.18099999999999999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0.11144185128373486</v>
      </c>
      <c r="I25" s="36">
        <v>0</v>
      </c>
      <c r="J25" s="34">
        <f t="shared" ref="J25:J35" si="15">Y25+AA25+AC25+AE25+AG25+AI25+AK25+AM25+AO25+AQ25+AS25</f>
        <v>0.23246228579280329</v>
      </c>
      <c r="K25" s="36">
        <v>0</v>
      </c>
      <c r="L25" s="34">
        <f>AB18</f>
        <v>0.47939755433302617</v>
      </c>
      <c r="M25" s="17">
        <v>0</v>
      </c>
      <c r="N25" s="32">
        <f>(1-$B$24)^$B$21</f>
        <v>6.0842544719861315E-3</v>
      </c>
      <c r="O25" s="16">
        <v>0</v>
      </c>
      <c r="P25" s="32">
        <f t="shared" ref="P25:P30" si="16">N25</f>
        <v>6.0842544719861315E-3</v>
      </c>
      <c r="Q25" s="10">
        <v>0</v>
      </c>
      <c r="R25" s="11">
        <f>P25*N25</f>
        <v>3.7018152479883243E-5</v>
      </c>
      <c r="S25" s="16">
        <v>0</v>
      </c>
      <c r="T25" s="15">
        <f>(1-$B$33)^(INT(C23*2*(1-C31)))</f>
        <v>0.99002500000000004</v>
      </c>
      <c r="U25" s="24">
        <v>0</v>
      </c>
      <c r="V25" s="23">
        <f>R25*T25</f>
        <v>3.664889640889641E-5</v>
      </c>
      <c r="W25" s="33">
        <f>B31</f>
        <v>0.21198519298475677</v>
      </c>
      <c r="X25" s="10">
        <v>0</v>
      </c>
      <c r="Y25" s="9">
        <f>V25</f>
        <v>3.664889640889641E-5</v>
      </c>
      <c r="Z25" s="10">
        <v>0</v>
      </c>
      <c r="AA25" s="9">
        <f>((1-W25)^Z26)*V26</f>
        <v>5.1271525364065553E-4</v>
      </c>
      <c r="AB25" s="10">
        <v>0</v>
      </c>
      <c r="AC25" s="9">
        <f>(((1-$W$25)^AB27))*V27</f>
        <v>3.2281865750560085E-3</v>
      </c>
      <c r="AD25" s="10">
        <v>0</v>
      </c>
      <c r="AE25" s="9">
        <f>(((1-$W$25)^AB28))*V28</f>
        <v>1.2046813145833193E-2</v>
      </c>
      <c r="AF25" s="10">
        <v>0</v>
      </c>
      <c r="AG25" s="9">
        <f>(((1-$W$25)^AB29))*V29</f>
        <v>2.9509510217251886E-2</v>
      </c>
      <c r="AH25" s="10">
        <v>0</v>
      </c>
      <c r="AI25" s="9">
        <f>(((1-$W$25)^AB30))*V30</f>
        <v>4.9585567192899818E-2</v>
      </c>
      <c r="AJ25" s="10">
        <v>0</v>
      </c>
      <c r="AK25" s="9">
        <f>(((1-$W$25)^AB31))*V31</f>
        <v>5.7895135806547024E-2</v>
      </c>
      <c r="AL25" s="10">
        <v>0</v>
      </c>
      <c r="AM25" s="9">
        <f>(((1-$W$25)^AB32))*V32</f>
        <v>4.6400107465254803E-2</v>
      </c>
      <c r="AN25" s="10">
        <v>0</v>
      </c>
      <c r="AO25" s="9">
        <f>(((1-$W$25)^AB33))*V33</f>
        <v>2.4454316961691366E-2</v>
      </c>
      <c r="AP25" s="10">
        <v>0</v>
      </c>
      <c r="AQ25" s="9">
        <f>(((1-$W$25)^AB34))*V34</f>
        <v>7.6763967107637632E-3</v>
      </c>
      <c r="AR25" s="10">
        <v>0</v>
      </c>
      <c r="AS25" s="9">
        <f>(((1-$W$25)^AB35))*V35</f>
        <v>1.1168875674558928E-3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1.8945953644097315E-2</v>
      </c>
      <c r="BQ25" s="1">
        <f>BQ19+1</f>
        <v>7</v>
      </c>
      <c r="BR25" s="1">
        <v>1</v>
      </c>
      <c r="BS25" s="2">
        <f t="shared" si="14"/>
        <v>2.8516543456466484E-4</v>
      </c>
    </row>
    <row r="26" spans="1:71" x14ac:dyDescent="0.25">
      <c r="A26" s="65" t="s">
        <v>31</v>
      </c>
      <c r="B26" s="74">
        <f>1/(1+EXP(-3.1416*4*((B10/(B10+C9))-(3.1416/6))))</f>
        <v>1.1724462021937006E-2</v>
      </c>
      <c r="C26" s="73">
        <f>1/(1+EXP(-3.1416*4*((C10/(C10+B9))-(3.1416/6))))</f>
        <v>0.43573566358006016</v>
      </c>
      <c r="D26" s="8">
        <f>IF(B17="AOW",0.257+0.04,IF(B17="AIM",0.257-0.04,IF(B17="TL",(0.257)-(0.257*B32),0.257)))</f>
        <v>0.1285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0.26777559203149509</v>
      </c>
      <c r="I26" s="24">
        <v>1</v>
      </c>
      <c r="J26" s="23">
        <f t="shared" si="15"/>
        <v>0.36508597100721335</v>
      </c>
      <c r="K26" s="24">
        <v>1</v>
      </c>
      <c r="L26" s="23">
        <f>AC18</f>
        <v>0.39900782224954989</v>
      </c>
      <c r="M26" s="17">
        <v>1</v>
      </c>
      <c r="N26" s="32">
        <f>(($B$24)^M26)*((1-($B$24))^($B$21-M26))*HLOOKUP($B$21,$AV$24:$BF$34,M26+1)</f>
        <v>5.3977455453739831E-2</v>
      </c>
      <c r="O26" s="16">
        <v>1</v>
      </c>
      <c r="P26" s="32">
        <f t="shared" si="16"/>
        <v>5.3977455453739831E-2</v>
      </c>
      <c r="Q26" s="10">
        <v>1</v>
      </c>
      <c r="R26" s="11">
        <f>N26*P25+P26*N25</f>
        <v>6.5682514946169756E-4</v>
      </c>
      <c r="S26" s="16">
        <v>1</v>
      </c>
      <c r="T26" s="15">
        <f t="shared" ref="T26:T35" si="17">(($B$33)^S26)*((1-($B$33))^(INT($C$23*2*(1-$C$31))-S26))*HLOOKUP(INT($C$23*2*(1-$C$31)),$AV$24:$BF$34,S26+1)</f>
        <v>9.9500000000000005E-3</v>
      </c>
      <c r="U26" s="24">
        <v>1</v>
      </c>
      <c r="V26" s="23">
        <f>R26*T25+T26*R25</f>
        <v>6.5064164921299205E-4</v>
      </c>
      <c r="W26" s="12"/>
      <c r="X26" s="10">
        <v>1</v>
      </c>
      <c r="Y26" s="11"/>
      <c r="Z26" s="10">
        <v>1</v>
      </c>
      <c r="AA26" s="9">
        <f>(1-((1-W25)^Z26))*V26</f>
        <v>1.3792639557233649E-4</v>
      </c>
      <c r="AB26" s="10">
        <v>1</v>
      </c>
      <c r="AC26" s="9">
        <f>((($W$25)^M26)*((1-($W$25))^($U$27-M26))*HLOOKUP($U$27,$AV$24:$BF$34,M26+1))*V27</f>
        <v>1.7368398360332116E-3</v>
      </c>
      <c r="AD26" s="10">
        <v>1</v>
      </c>
      <c r="AE26" s="9">
        <f>((($W$25)^M26)*((1-($W$25))^($U$28-M26))*HLOOKUP($U$28,$AV$24:$BF$34,M26+1))*V28</f>
        <v>9.7222005989083711E-3</v>
      </c>
      <c r="AF26" s="10">
        <v>1</v>
      </c>
      <c r="AG26" s="9">
        <f>((($W$25)^M26)*((1-($W$25))^($U$29-M26))*HLOOKUP($U$29,$AV$24:$BF$34,M26+1))*V29</f>
        <v>3.1753612559560877E-2</v>
      </c>
      <c r="AH26" s="10">
        <v>1</v>
      </c>
      <c r="AI26" s="9">
        <f>((($W$25)^M26)*((1-($W$25))^($U$30-M26))*HLOOKUP($U$30,$AV$24:$BF$34,M26+1))*V30</f>
        <v>6.6695485523041456E-2</v>
      </c>
      <c r="AJ26" s="10">
        <v>1</v>
      </c>
      <c r="AK26" s="9">
        <f>((($W$25)^M26)*((1-($W$25))^($U$31-M26))*HLOOKUP($U$31,$AV$24:$BF$34,M26+1))*V31</f>
        <v>9.3446809076968257E-2</v>
      </c>
      <c r="AL26" s="10">
        <v>1</v>
      </c>
      <c r="AM26" s="9">
        <f>((($W$25)^Q26)*((1-($W$25))^($U$32-Q26))*HLOOKUP($U$32,$AV$24:$BF$34,Q26+1))*V32</f>
        <v>8.7375198455397263E-2</v>
      </c>
      <c r="AN26" s="10">
        <v>1</v>
      </c>
      <c r="AO26" s="9">
        <f>((($W$25)^Q26)*((1-($W$25))^($U$33-Q26))*HLOOKUP($U$33,$AV$24:$BF$34,Q26+1))*V33</f>
        <v>5.26279765738897E-2</v>
      </c>
      <c r="AP26" s="10">
        <v>1</v>
      </c>
      <c r="AQ26" s="9">
        <f>((($W$25)^Q26)*((1-($W$25))^($U$34-Q26))*HLOOKUP($U$34,$AV$24:$BF$34,Q26+1))*V34</f>
        <v>1.8585363895511138E-2</v>
      </c>
      <c r="AR26" s="10">
        <v>1</v>
      </c>
      <c r="AS26" s="9">
        <f>((($W$25)^Q26)*((1-($W$25))^($U$35-Q26))*HLOOKUP($U$35,$AV$24:$BF$34,Q26+1))*V35</f>
        <v>3.0045580923307833E-3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5.5372112426902509E-3</v>
      </c>
      <c r="BQ26" s="1">
        <f>BQ20+1</f>
        <v>7</v>
      </c>
      <c r="BR26" s="1">
        <v>2</v>
      </c>
      <c r="BS26" s="2">
        <f t="shared" si="14"/>
        <v>3.1856941119568459E-4</v>
      </c>
    </row>
    <row r="27" spans="1:71" x14ac:dyDescent="0.25">
      <c r="A27" s="67" t="s">
        <v>30</v>
      </c>
      <c r="B27" s="74">
        <f>1/(1+EXP(-3.1416*4*((B12/(B12+C7))-(3.1416/6))))</f>
        <v>5.8829430419474358E-3</v>
      </c>
      <c r="C27" s="73">
        <f>1/(1+EXP(-3.1416*4*((C12/(C12+B7))-(3.1416/6))))</f>
        <v>7.8736744486601007E-2</v>
      </c>
      <c r="D27" s="8">
        <f>D26</f>
        <v>0.1285</v>
      </c>
      <c r="E27" s="8">
        <f>E26</f>
        <v>0.25700000000000001</v>
      </c>
      <c r="G27" s="62">
        <v>2</v>
      </c>
      <c r="H27" s="61">
        <f>L25*J27+J26*L26+J25*L27</f>
        <v>0.29463639068813308</v>
      </c>
      <c r="I27" s="24">
        <v>2</v>
      </c>
      <c r="J27" s="23">
        <f t="shared" si="15"/>
        <v>0.25809371724885283</v>
      </c>
      <c r="K27" s="24">
        <v>2</v>
      </c>
      <c r="L27" s="23">
        <f>AD18</f>
        <v>0.10855410605122845</v>
      </c>
      <c r="M27" s="17">
        <v>2</v>
      </c>
      <c r="N27" s="32">
        <f>(($B$24)^M27)*((1-($B$24))^($B$21-M27))*HLOOKUP($B$21,$AV$24:$BF$34,M27+1)</f>
        <v>0.19154791836373464</v>
      </c>
      <c r="O27" s="16">
        <v>2</v>
      </c>
      <c r="P27" s="32">
        <f t="shared" si="16"/>
        <v>0.19154791836373464</v>
      </c>
      <c r="Q27" s="10">
        <v>2</v>
      </c>
      <c r="R27" s="11">
        <f>P25*N27+P26*N26+P27*N25</f>
        <v>5.2444182550688417E-3</v>
      </c>
      <c r="S27" s="16">
        <v>2</v>
      </c>
      <c r="T27" s="15">
        <f t="shared" si="17"/>
        <v>2.5000000000000001E-5</v>
      </c>
      <c r="U27" s="24">
        <v>2</v>
      </c>
      <c r="V27" s="23">
        <f>R27*T25+T26*R26+R25*T27</f>
        <v>5.1986415186654859E-3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2.3361510757626634E-4</v>
      </c>
      <c r="AD27" s="10">
        <v>2</v>
      </c>
      <c r="AE27" s="9">
        <f>((($W$25)^M27)*((1-($W$25))^($U$28-M27))*HLOOKUP($U$28,$AV$24:$BF$34,M27+1))*V28</f>
        <v>2.6153855890124686E-3</v>
      </c>
      <c r="AF27" s="10">
        <v>2</v>
      </c>
      <c r="AG27" s="9">
        <f>((($W$25)^M27)*((1-($W$25))^($U$29-M27))*HLOOKUP($U$29,$AV$24:$BF$34,M27+1))*V29</f>
        <v>1.281313934676769E-2</v>
      </c>
      <c r="AH27" s="10">
        <v>2</v>
      </c>
      <c r="AI27" s="9">
        <f>((($W$25)^M27)*((1-($W$25))^($U$30-M27))*HLOOKUP($U$30,$AV$24:$BF$34,M27+1))*V30</f>
        <v>3.5883730214070708E-2</v>
      </c>
      <c r="AJ27" s="10">
        <v>2</v>
      </c>
      <c r="AK27" s="9">
        <f>((($W$25)^M27)*((1-($W$25))^($U$31-M27))*HLOOKUP($U$31,$AV$24:$BF$34,M27+1))*V31</f>
        <v>6.2845709495683535E-2</v>
      </c>
      <c r="AL27" s="10">
        <v>2</v>
      </c>
      <c r="AM27" s="9">
        <f>((($W$25)^Q27)*((1-($W$25))^($U$32-Q27))*HLOOKUP($U$32,$AV$24:$BF$34,Q27+1))*V32</f>
        <v>7.0514848737952121E-2</v>
      </c>
      <c r="AN27" s="10">
        <v>2</v>
      </c>
      <c r="AO27" s="9">
        <f>((($W$25)^Q27)*((1-($W$25))^($U$33-Q27))*HLOOKUP($U$33,$AV$24:$BF$34,Q27+1))*V33</f>
        <v>4.9551392751546491E-2</v>
      </c>
      <c r="AP27" s="10">
        <v>2</v>
      </c>
      <c r="AQ27" s="9">
        <f>((($W$25)^Q27)*((1-($W$25))^($U$34-Q27))*HLOOKUP($U$34,$AV$24:$BF$34,Q27+1))*V34</f>
        <v>1.9998720414935792E-2</v>
      </c>
      <c r="AR27" s="10">
        <v>2</v>
      </c>
      <c r="AS27" s="9">
        <f>((($W$25)^Q27)*((1-($W$25))^($U$35-Q27))*HLOOKUP($U$35,$AV$24:$BF$34,Q27+1))*V35</f>
        <v>3.6371755913077656E-3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1.1194885706936962E-3</v>
      </c>
      <c r="BQ27" s="1">
        <f>BQ21+1</f>
        <v>7</v>
      </c>
      <c r="BR27" s="1">
        <v>3</v>
      </c>
      <c r="BS27" s="2">
        <f t="shared" si="14"/>
        <v>2.9510401958001255E-4</v>
      </c>
    </row>
    <row r="28" spans="1:71" x14ac:dyDescent="0.25">
      <c r="A28" s="67" t="s">
        <v>29</v>
      </c>
      <c r="B28" s="72">
        <v>0.45</v>
      </c>
      <c r="C28" s="71">
        <v>0.4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0.19749837371247236</v>
      </c>
      <c r="I28" s="24">
        <v>3</v>
      </c>
      <c r="J28" s="23">
        <f t="shared" si="15"/>
        <v>0.10816482374312554</v>
      </c>
      <c r="K28" s="24">
        <v>3</v>
      </c>
      <c r="L28" s="23">
        <f>AE18</f>
        <v>1.3040517366195437E-2</v>
      </c>
      <c r="M28" s="17">
        <v>3</v>
      </c>
      <c r="N28" s="32">
        <f>(($B$24)^M28)*((1-($B$24))^($B$21-M28))*HLOOKUP($B$21,$AV$24:$BF$34,M28+1)</f>
        <v>0.33986971709813935</v>
      </c>
      <c r="O28" s="16">
        <v>3</v>
      </c>
      <c r="P28" s="32">
        <f t="shared" si="16"/>
        <v>0.33986971709813935</v>
      </c>
      <c r="Q28" s="10">
        <v>3</v>
      </c>
      <c r="R28" s="11">
        <f>P25*N28+P26*N27+P27*N26+P28*N25</f>
        <v>2.4814246153764194E-2</v>
      </c>
      <c r="S28" s="16">
        <v>3</v>
      </c>
      <c r="T28" s="15">
        <f t="shared" si="17"/>
        <v>0</v>
      </c>
      <c r="U28" s="24">
        <v>3</v>
      </c>
      <c r="V28" s="23">
        <f>R28*T25+R27*T26+R26*T27+R25*T28</f>
        <v>2.4618922430647068E-2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2.3452309689304067E-4</v>
      </c>
      <c r="AF28" s="10">
        <v>3</v>
      </c>
      <c r="AG28" s="9">
        <f>((($W$25)^M28)*((1-($W$25))^($U$29-M28))*HLOOKUP($U$29,$AV$24:$BF$34,M28+1))*V29</f>
        <v>2.2979228249557396E-3</v>
      </c>
      <c r="AH28" s="10">
        <v>3</v>
      </c>
      <c r="AI28" s="9">
        <f>((($W$25)^M28)*((1-($W$25))^($U$30-M28))*HLOOKUP($U$30,$AV$24:$BF$34,M28+1))*V30</f>
        <v>9.6531428175252315E-3</v>
      </c>
      <c r="AJ28" s="10">
        <v>3</v>
      </c>
      <c r="AK28" s="9">
        <f>((($W$25)^M28)*((1-($W$25))^($U$31-M28))*HLOOKUP($U$31,$AV$24:$BF$34,M28+1))*V31</f>
        <v>2.2541640482057135E-2</v>
      </c>
      <c r="AL28" s="10">
        <v>3</v>
      </c>
      <c r="AM28" s="9">
        <f>((($W$25)^Q28)*((1-($W$25))^($U$32-Q28))*HLOOKUP($U$32,$AV$24:$BF$34,Q28+1))*V32</f>
        <v>3.1615530750884656E-2</v>
      </c>
      <c r="AN28" s="10">
        <v>3</v>
      </c>
      <c r="AO28" s="9">
        <f>((($W$25)^Q28)*((1-($W$25))^($U$33-Q28))*HLOOKUP($U$33,$AV$24:$BF$34,Q28+1))*V33</f>
        <v>2.6659807560943129E-2</v>
      </c>
      <c r="AP28" s="10">
        <v>3</v>
      </c>
      <c r="AQ28" s="9">
        <f>((($W$25)^Q28)*((1-($W$25))^($U$34-Q28))*HLOOKUP($U$34,$AV$24:$BF$34,Q28+1))*V34</f>
        <v>1.2553075560708536E-2</v>
      </c>
      <c r="AR28" s="10">
        <v>3</v>
      </c>
      <c r="AS28" s="9">
        <f>((($W$25)^Q28)*((1-($W$25))^($U$35-Q28))*HLOOKUP($U$35,$AV$24:$BF$34,Q28+1))*V35</f>
        <v>2.6091806491580602E-3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1.5961729337824173E-4</v>
      </c>
      <c r="BQ28" s="1">
        <f>BQ22+1</f>
        <v>7</v>
      </c>
      <c r="BR28" s="1">
        <v>4</v>
      </c>
      <c r="BS28" s="2">
        <f t="shared" si="14"/>
        <v>1.9543208180206886E-4</v>
      </c>
    </row>
    <row r="29" spans="1:71" x14ac:dyDescent="0.25">
      <c r="A29" s="67" t="s">
        <v>28</v>
      </c>
      <c r="B29" s="74">
        <f>1/(1+EXP(-3.1416*4*((B14/(B14+C13))-(3.1416/6))))</f>
        <v>0.32839636256027932</v>
      </c>
      <c r="C29" s="73">
        <f>1/(1+EXP(-3.1416*4*((C14/(C14+B13))-(3.1416/6))))</f>
        <v>0.36635291354679422</v>
      </c>
      <c r="D29" s="8">
        <v>0.04</v>
      </c>
      <c r="E29" s="8">
        <v>0.04</v>
      </c>
      <c r="G29" s="62">
        <v>4</v>
      </c>
      <c r="H29" s="61">
        <f>J29*L25+J28*L26+J27*L27+J26*L28</f>
        <v>9.0205599499073391E-2</v>
      </c>
      <c r="I29" s="24">
        <v>4</v>
      </c>
      <c r="J29" s="23">
        <f t="shared" si="15"/>
        <v>2.9764327969325717E-2</v>
      </c>
      <c r="K29" s="24">
        <v>4</v>
      </c>
      <c r="L29" s="23"/>
      <c r="M29" s="17">
        <v>4</v>
      </c>
      <c r="N29" s="32">
        <f>(($B$24)^M29)*((1-($B$24))^($B$21-M29))*HLOOKUP($B$21,$AV$24:$BF$34,M29+1)</f>
        <v>0.3015209603610049</v>
      </c>
      <c r="O29" s="16">
        <v>4</v>
      </c>
      <c r="P29" s="32">
        <f t="shared" si="16"/>
        <v>0.3015209603610049</v>
      </c>
      <c r="Q29" s="10">
        <v>4</v>
      </c>
      <c r="R29" s="11">
        <f>P25*N29+P26*N28+P27*N27+P28*N26+P29*N25</f>
        <v>7.7050270561907885E-2</v>
      </c>
      <c r="S29" s="16">
        <v>4</v>
      </c>
      <c r="T29" s="15">
        <f t="shared" si="17"/>
        <v>0</v>
      </c>
      <c r="U29" s="24">
        <v>4</v>
      </c>
      <c r="V29" s="23">
        <f>T29*R25+T28*R26+T27*R27+T26*R28+T25*R29</f>
        <v>7.6528726972739186E-2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1.5454202420300996E-4</v>
      </c>
      <c r="AH29" s="10">
        <v>4</v>
      </c>
      <c r="AI29" s="9">
        <f>((($W$25)^M29)*((1-($W$25))^($U$30-M29))*HLOOKUP($U$30,$AV$24:$BF$34,M29+1))*V30</f>
        <v>1.2984041193549053E-3</v>
      </c>
      <c r="AJ29" s="10">
        <v>4</v>
      </c>
      <c r="AK29" s="9">
        <f>((($W$25)^M29)*((1-($W$25))^($U$31-M29))*HLOOKUP($U$31,$AV$24:$BF$34,M29+1))*V31</f>
        <v>4.5479735582774263E-3</v>
      </c>
      <c r="AL29" s="10">
        <v>4</v>
      </c>
      <c r="AM29" s="9">
        <f>((($W$25)^Q29)*((1-($W$25))^($U$32-Q29))*HLOOKUP($U$32,$AV$24:$BF$34,Q29+1))*V32</f>
        <v>8.5049472774845359E-3</v>
      </c>
      <c r="AN29" s="10">
        <v>4</v>
      </c>
      <c r="AO29" s="9">
        <f>((($W$25)^Q29)*((1-($W$25))^($U$33-Q29))*HLOOKUP($U$33,$AV$24:$BF$34,Q29+1))*V33</f>
        <v>8.9647497744190299E-3</v>
      </c>
      <c r="AP29" s="10">
        <v>4</v>
      </c>
      <c r="AQ29" s="9">
        <f>((($W$25)^Q29)*((1-($W$25))^($U$34-Q29))*HLOOKUP($U$34,$AV$24:$BF$34,Q29+1))*V34</f>
        <v>5.0653860592448684E-3</v>
      </c>
      <c r="AR29" s="10">
        <v>4</v>
      </c>
      <c r="AS29" s="9">
        <f>((($W$25)^Q29)*((1-($W$25))^($U$35-Q29))*HLOOKUP($U$35,$AV$24:$BF$34,Q29+1))*V35</f>
        <v>1.22832515634194E-3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1.6110926170931652E-5</v>
      </c>
      <c r="BQ29" s="1">
        <f>BQ23+1</f>
        <v>7</v>
      </c>
      <c r="BR29" s="1">
        <v>5</v>
      </c>
      <c r="BS29" s="2">
        <f t="shared" si="14"/>
        <v>8.5172020153768618E-5</v>
      </c>
    </row>
    <row r="30" spans="1:71" x14ac:dyDescent="0.25">
      <c r="A30" s="67" t="s">
        <v>27</v>
      </c>
      <c r="B30" s="72">
        <v>0.45</v>
      </c>
      <c r="C30" s="71">
        <f>IF(C17="TL",0.55,0.15)</f>
        <v>0.15</v>
      </c>
      <c r="D30" s="8">
        <f>IF(B17="TL",0.875*B32,0.001)</f>
        <v>0.4375</v>
      </c>
      <c r="E30" s="8">
        <f>IF(C17="TL",0.875*C32,0.001)</f>
        <v>1E-3</v>
      </c>
      <c r="G30" s="62">
        <v>5</v>
      </c>
      <c r="H30" s="61">
        <f>J30*L25+J29*L26+J28*L27+J27*L28</f>
        <v>2.9678048273386964E-2</v>
      </c>
      <c r="I30" s="24">
        <v>5</v>
      </c>
      <c r="J30" s="23">
        <f t="shared" si="15"/>
        <v>5.6204651353725854E-3</v>
      </c>
      <c r="K30" s="24">
        <v>5</v>
      </c>
      <c r="L30" s="23"/>
      <c r="M30" s="17">
        <v>5</v>
      </c>
      <c r="N30" s="32">
        <f>(($B$24)^M30)*((1-($B$24))^($B$21-M30))*HLOOKUP($B$21,$AV$24:$BF$34,M30+1)</f>
        <v>0.10699969425139516</v>
      </c>
      <c r="O30" s="16">
        <v>5</v>
      </c>
      <c r="P30" s="32">
        <f t="shared" si="16"/>
        <v>0.10699969425139516</v>
      </c>
      <c r="Q30" s="10">
        <v>5</v>
      </c>
      <c r="R30" s="11">
        <f>P25*N30+P26*N29+P27*N28+P28*N27+P29*N26+P30*N25</f>
        <v>0.16405536879905033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0.16318618704352464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6.9857176632552394E-5</v>
      </c>
      <c r="AJ30" s="10">
        <v>5</v>
      </c>
      <c r="AK30" s="9">
        <f>((($W$25)^M30)*((1-($W$25))^($U$31-M30))*HLOOKUP($U$31,$AV$24:$BF$34,M30+1))*V31</f>
        <v>4.8938321658839666E-4</v>
      </c>
      <c r="AL30" s="10">
        <v>5</v>
      </c>
      <c r="AM30" s="9">
        <f>((($W$25)^Q30)*((1-($W$25))^($U$32-Q30))*HLOOKUP($U$32,$AV$24:$BF$34,Q30+1))*V32</f>
        <v>1.3727581313642996E-3</v>
      </c>
      <c r="AN30" s="10">
        <v>5</v>
      </c>
      <c r="AO30" s="9">
        <f>((($W$25)^Q30)*((1-($W$25))^($U$33-Q30))*HLOOKUP($U$33,$AV$24:$BF$34,Q30+1))*V33</f>
        <v>1.9292979716341919E-3</v>
      </c>
      <c r="AP30" s="10">
        <v>5</v>
      </c>
      <c r="AQ30" s="9">
        <f>((($W$25)^Q30)*((1-($W$25))^($U$34-Q30))*HLOOKUP($U$34,$AV$24:$BF$34,Q30+1))*V34</f>
        <v>1.3626480514731607E-3</v>
      </c>
      <c r="AR30" s="10">
        <v>5</v>
      </c>
      <c r="AS30" s="9">
        <f>((($W$25)^Q30)*((1-($W$25))^($U$35-Q30))*HLOOKUP($U$35,$AV$24:$BF$34,Q30+1))*V35</f>
        <v>3.965205876799837E-4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1.1352717966365445E-6</v>
      </c>
      <c r="BQ30" s="1">
        <f>BM10+1</f>
        <v>7</v>
      </c>
      <c r="BR30" s="1">
        <v>6</v>
      </c>
      <c r="BS30" s="2">
        <f t="shared" si="14"/>
        <v>2.4892675049113818E-5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0.21198519298475677</v>
      </c>
      <c r="C31" s="68">
        <f>(C25*E25)+(C26*E26)+(C27*E27)+(C28*E28)+(C29*E29)+(C30*E30)/(C25+C26+C27+C28+C29+C30)</f>
        <v>0.30087131969053593</v>
      </c>
      <c r="G31" s="62">
        <v>6</v>
      </c>
      <c r="H31" s="61">
        <f>J31*L25+J30*L26+J29*L27+J28*L28</f>
        <v>7.2378786009502268E-3</v>
      </c>
      <c r="I31" s="24">
        <v>6</v>
      </c>
      <c r="J31" s="23">
        <f t="shared" si="15"/>
        <v>7.3780887428256177E-4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0.24257399166077548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0.24178859327027385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2.194163415214132E-5</v>
      </c>
      <c r="AL31" s="10">
        <v>6</v>
      </c>
      <c r="AM31" s="9">
        <f>((($W$25)^Q31)*((1-($W$25))^($U$32-Q31))*HLOOKUP($U$32,$AV$24:$BF$34,Q31+1))*V32</f>
        <v>1.2309599380113593E-4</v>
      </c>
      <c r="AN31" s="10">
        <v>6</v>
      </c>
      <c r="AO31" s="9">
        <f>((($W$25)^Q31)*((1-($W$25))^($U$33-Q31))*HLOOKUP($U$33,$AV$24:$BF$34,Q31+1))*V33</f>
        <v>2.5950185148872635E-4</v>
      </c>
      <c r="AP31" s="10">
        <v>6</v>
      </c>
      <c r="AQ31" s="9">
        <f>((($W$25)^Q31)*((1-($W$25))^($U$34-Q31))*HLOOKUP($U$34,$AV$24:$BF$34,Q31+1))*V34</f>
        <v>2.443788345009724E-4</v>
      </c>
      <c r="AR31" s="10">
        <v>6</v>
      </c>
      <c r="AS31" s="9">
        <f>((($W$25)^Q31)*((1-($W$25))^($U$35-Q31))*HLOOKUP($U$35,$AV$24:$BF$34,Q31+1))*V35</f>
        <v>8.8890560339585669E-5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2.9140199352746168E-2</v>
      </c>
      <c r="BQ31" s="1">
        <f t="shared" ref="BQ31:BQ37" si="21">BQ24+1</f>
        <v>8</v>
      </c>
      <c r="BR31" s="1">
        <v>0</v>
      </c>
      <c r="BS31" s="2">
        <f t="shared" ref="BS31:BS38" si="22">$H$33*H39</f>
        <v>1.5700869389112339E-5</v>
      </c>
    </row>
    <row r="32" spans="1:71" x14ac:dyDescent="0.25">
      <c r="A32" s="67" t="s">
        <v>25</v>
      </c>
      <c r="B32" s="66">
        <v>0.5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1.3245454452772659E-3</v>
      </c>
      <c r="I32" s="24">
        <v>7</v>
      </c>
      <c r="J32" s="23">
        <f t="shared" si="15"/>
        <v>6.6515001350302258E-5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0.24594682439292964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0.24591121742085487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4.730608716137896E-6</v>
      </c>
      <c r="AN32" s="10">
        <v>7</v>
      </c>
      <c r="AO32" s="9">
        <f>((($W$25)^Q32)*((1-($W$25))^($U$33-Q32))*HLOOKUP($U$33,$AV$24:$BF$34,Q32+1))*V33</f>
        <v>1.9945437419997701E-5</v>
      </c>
      <c r="AP32" s="10">
        <v>7</v>
      </c>
      <c r="AQ32" s="9">
        <f>((($W$25)^Q32)*((1-($W$25))^($U$34-Q32))*HLOOKUP($U$34,$AV$24:$BF$34,Q32+1))*V34</f>
        <v>2.8174612564505385E-5</v>
      </c>
      <c r="AR32" s="10">
        <v>7</v>
      </c>
      <c r="AS32" s="9">
        <f>((($W$25)^Q32)*((1-($W$25))^($U$35-Q32))*HLOOKUP($U$35,$AV$24:$BF$34,Q32+1))*V35</f>
        <v>1.3664342649661278E-5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1.2699704284328294E-2</v>
      </c>
      <c r="BQ32" s="1">
        <f t="shared" si="21"/>
        <v>8</v>
      </c>
      <c r="BR32" s="1">
        <v>1</v>
      </c>
      <c r="BS32" s="2">
        <f t="shared" si="22"/>
        <v>3.9143870820114858E-5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1.8181669136884004E-4</v>
      </c>
      <c r="I33" s="24">
        <v>8</v>
      </c>
      <c r="J33" s="23">
        <f t="shared" si="15"/>
        <v>3.94396994250775E-6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0.16364680116664085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0.16446765957750478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6.7069447220453892E-7</v>
      </c>
      <c r="AP33" s="10">
        <v>8</v>
      </c>
      <c r="AQ33" s="9">
        <f>((($W$25)^Q33)*((1-($W$25))^($U$34-Q33))*HLOOKUP($U$34,$AV$24:$BF$34,Q33+1))*V34</f>
        <v>1.8948250174320305E-6</v>
      </c>
      <c r="AR33" s="10">
        <v>8</v>
      </c>
      <c r="AS33" s="9">
        <f>((($W$25)^Q33)*((1-($W$25))^($U$35-Q33))*HLOOKUP($U$35,$AV$24:$BF$34,Q33+1))*V35</f>
        <v>1.3784504528711806E-6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3.711660371550257E-3</v>
      </c>
      <c r="BQ33" s="1">
        <f t="shared" si="21"/>
        <v>8</v>
      </c>
      <c r="BR33" s="1">
        <v>2</v>
      </c>
      <c r="BS33" s="2">
        <f t="shared" si="22"/>
        <v>4.372914234195587E-5</v>
      </c>
    </row>
    <row r="34" spans="1:71" x14ac:dyDescent="0.25">
      <c r="A34" s="65" t="s">
        <v>23</v>
      </c>
      <c r="B34" s="64">
        <f>B23*2</f>
        <v>6.395529512353245</v>
      </c>
      <c r="C34" s="63">
        <f>C23*2</f>
        <v>3.604470487646755</v>
      </c>
      <c r="G34" s="62">
        <v>9</v>
      </c>
      <c r="H34" s="61">
        <f>J34*L25+J33*L26+J32*L27+J31*L28</f>
        <v>1.8482216702559272E-5</v>
      </c>
      <c r="I34" s="24">
        <v>9</v>
      </c>
      <c r="J34" s="23">
        <f t="shared" si="15"/>
        <v>1.3904096002563291E-7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6.4525301138029123E-2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6.551609560139518E-2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5.66366750439478E-8</v>
      </c>
      <c r="AR34" s="10">
        <v>9</v>
      </c>
      <c r="AS34" s="9">
        <f>((($W$25)^Q34)*((1-($W$25))^($U$35-Q34))*HLOOKUP($U$35,$AV$24:$BF$34,Q34+1))*V35</f>
        <v>8.2404284981685099E-8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7.5040687128064985E-4</v>
      </c>
      <c r="BQ34" s="1">
        <f t="shared" si="21"/>
        <v>8</v>
      </c>
      <c r="BR34" s="1">
        <v>3</v>
      </c>
      <c r="BS34" s="2">
        <f t="shared" si="22"/>
        <v>4.0508112908464044E-5</v>
      </c>
    </row>
    <row r="35" spans="1:71" ht="15.75" thickBot="1" x14ac:dyDescent="0.3">
      <c r="G35" s="60">
        <v>10</v>
      </c>
      <c r="H35" s="59">
        <f>J35*L25+J34*L26+J33*L27+J32*L28</f>
        <v>1.3520653071582171E-6</v>
      </c>
      <c r="I35" s="14">
        <v>10</v>
      </c>
      <c r="J35" s="13">
        <f t="shared" si="15"/>
        <v>2.2167715757497818E-9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1.1448934569892046E-2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1.2096665618773095E-2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2.2167715757497818E-9</v>
      </c>
      <c r="BI35" s="1">
        <f t="shared" si="19"/>
        <v>3</v>
      </c>
      <c r="BJ35" s="1">
        <v>8</v>
      </c>
      <c r="BK35" s="2">
        <f t="shared" si="20"/>
        <v>1.0699342258762949E-4</v>
      </c>
      <c r="BQ35" s="1">
        <f t="shared" si="21"/>
        <v>8</v>
      </c>
      <c r="BR35" s="1">
        <v>4</v>
      </c>
      <c r="BS35" s="2">
        <f t="shared" si="22"/>
        <v>2.6826421567693816E-5</v>
      </c>
    </row>
    <row r="36" spans="1:71" ht="15.75" x14ac:dyDescent="0.25">
      <c r="A36" s="58" t="s">
        <v>22</v>
      </c>
      <c r="B36" s="48">
        <f>SUM(BO4:BO14)</f>
        <v>0.19749850116815923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19"/>
        <v>3</v>
      </c>
      <c r="BJ36" s="1">
        <v>9</v>
      </c>
      <c r="BK36" s="2">
        <f t="shared" si="20"/>
        <v>1.0799350719472637E-5</v>
      </c>
      <c r="BQ36" s="1">
        <f t="shared" si="21"/>
        <v>8</v>
      </c>
      <c r="BR36" s="1">
        <v>5</v>
      </c>
      <c r="BS36" s="2">
        <f t="shared" si="22"/>
        <v>1.1691327735694842E-5</v>
      </c>
    </row>
    <row r="37" spans="1:71" ht="16.5" thickBot="1" x14ac:dyDescent="0.3">
      <c r="A37" s="55" t="s">
        <v>21</v>
      </c>
      <c r="B37" s="48">
        <f>SUM(BK4:BK59)</f>
        <v>0.479374841879882</v>
      </c>
      <c r="G37" s="4"/>
      <c r="H37" s="50">
        <f>SUM(H39:H49)</f>
        <v>0.99999981225745316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0.99994539553750006</v>
      </c>
      <c r="W37" s="4"/>
      <c r="X37" s="4"/>
      <c r="Y37" s="50">
        <f>SUM(Y39:Y49)</f>
        <v>1.1165559163861149E-2</v>
      </c>
      <c r="Z37" s="51"/>
      <c r="AA37" s="50">
        <f>SUM(AA39:AA49)</f>
        <v>6.3208761167210609E-2</v>
      </c>
      <c r="AB37" s="51"/>
      <c r="AC37" s="50">
        <f>SUM(AC39:AC49)</f>
        <v>0.16118026934680041</v>
      </c>
      <c r="AD37" s="51"/>
      <c r="AE37" s="50">
        <f>SUM(AE39:AE49)</f>
        <v>0.24388519681620094</v>
      </c>
      <c r="AF37" s="51"/>
      <c r="AG37" s="50">
        <f>SUM(AG39:AG49)</f>
        <v>0.24263698031041972</v>
      </c>
      <c r="AH37" s="51"/>
      <c r="AI37" s="50">
        <f>SUM(AI39:AI49)</f>
        <v>0.16599953501201969</v>
      </c>
      <c r="AJ37" s="51"/>
      <c r="AK37" s="50">
        <f>SUM(AK39:AK49)</f>
        <v>7.9223193250335083E-2</v>
      </c>
      <c r="AL37" s="51"/>
      <c r="AM37" s="50">
        <f>SUM(AM39:AM49)</f>
        <v>2.6128784890100318E-2</v>
      </c>
      <c r="AN37" s="51"/>
      <c r="AO37" s="50">
        <f>SUM(AO39:AO49)</f>
        <v>5.7418329885837631E-3</v>
      </c>
      <c r="AP37" s="51"/>
      <c r="AQ37" s="50">
        <f>SUM(AQ39:AQ49)</f>
        <v>7.7528259196835104E-4</v>
      </c>
      <c r="AR37" s="51"/>
      <c r="AS37" s="50">
        <f>SUM(AS39:AS49)</f>
        <v>5.4604462499940887E-5</v>
      </c>
      <c r="BI37" s="1">
        <f t="shared" si="19"/>
        <v>3</v>
      </c>
      <c r="BJ37" s="1">
        <v>10</v>
      </c>
      <c r="BK37" s="2">
        <f t="shared" si="20"/>
        <v>7.6098656053209916E-7</v>
      </c>
      <c r="BQ37" s="1">
        <f t="shared" si="21"/>
        <v>8</v>
      </c>
      <c r="BR37" s="1">
        <v>6</v>
      </c>
      <c r="BS37" s="2">
        <f t="shared" si="22"/>
        <v>3.4169486844614448E-6</v>
      </c>
    </row>
    <row r="38" spans="1:71" ht="16.5" thickBot="1" x14ac:dyDescent="0.3">
      <c r="A38" s="49" t="s">
        <v>20</v>
      </c>
      <c r="B38" s="48">
        <f>SUM(BS4:BS47)</f>
        <v>0.32312504765748329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5.8004752995919938E-3</v>
      </c>
      <c r="BQ38" s="1">
        <f>BM11+1</f>
        <v>8</v>
      </c>
      <c r="BR38" s="1">
        <v>7</v>
      </c>
      <c r="BS38" s="2">
        <f t="shared" si="22"/>
        <v>6.9082338224881596E-7</v>
      </c>
    </row>
    <row r="39" spans="1:71" x14ac:dyDescent="0.25">
      <c r="G39" s="38">
        <v>0</v>
      </c>
      <c r="H39" s="37">
        <f>L39*J39</f>
        <v>8.6355489536771829E-2</v>
      </c>
      <c r="I39" s="36">
        <v>0</v>
      </c>
      <c r="J39" s="34">
        <f t="shared" ref="J39:J49" si="26">Y39+AA39+AC39+AE39+AG39+AI39+AK39+AM39+AO39+AQ39+AS39</f>
        <v>0.31491750135657048</v>
      </c>
      <c r="K39" s="35">
        <v>0</v>
      </c>
      <c r="L39" s="34">
        <f>AH18</f>
        <v>0.27421622858297234</v>
      </c>
      <c r="M39" s="17">
        <v>0</v>
      </c>
      <c r="N39" s="32">
        <f>(1-$C$24)^$B$21</f>
        <v>0.10699969425139516</v>
      </c>
      <c r="O39" s="16">
        <v>0</v>
      </c>
      <c r="P39" s="32">
        <f t="shared" ref="P39:P44" si="27">N39</f>
        <v>0.10699969425139516</v>
      </c>
      <c r="Q39" s="10">
        <v>0</v>
      </c>
      <c r="R39" s="11">
        <f>P39*N39</f>
        <v>1.1448934569892046E-2</v>
      </c>
      <c r="S39" s="16">
        <v>0</v>
      </c>
      <c r="T39" s="15">
        <f>(1-$C$33)^(INT(B23*2*(1-B31)))</f>
        <v>0.97524875312187509</v>
      </c>
      <c r="U39" s="24">
        <v>0</v>
      </c>
      <c r="V39" s="23">
        <f>R39*T39</f>
        <v>1.1165559163861149E-2</v>
      </c>
      <c r="W39" s="33">
        <f>C31</f>
        <v>0.30087131969053593</v>
      </c>
      <c r="X39" s="10">
        <v>0</v>
      </c>
      <c r="Y39" s="9">
        <f>V39</f>
        <v>1.1165559163861149E-2</v>
      </c>
      <c r="Z39" s="10">
        <v>0</v>
      </c>
      <c r="AA39" s="9">
        <f>((1-W39)^Z40)*V40</f>
        <v>4.419105777882805E-2</v>
      </c>
      <c r="AB39" s="10">
        <v>0</v>
      </c>
      <c r="AC39" s="9">
        <f>(((1-$W$39)^AB41))*V41</f>
        <v>7.8781838988299976E-2</v>
      </c>
      <c r="AD39" s="10">
        <v>0</v>
      </c>
      <c r="AE39" s="9">
        <f>(((1-$W$39)^AB42))*V42</f>
        <v>8.3340633274552336E-2</v>
      </c>
      <c r="AF39" s="10">
        <v>0</v>
      </c>
      <c r="AG39" s="9">
        <f>(((1-$W$39)^AB43))*V43</f>
        <v>5.7967619571784125E-2</v>
      </c>
      <c r="AH39" s="10">
        <v>0</v>
      </c>
      <c r="AI39" s="9">
        <f>(((1-$W$39)^AB44))*V44</f>
        <v>2.7726334867184451E-2</v>
      </c>
      <c r="AJ39" s="10">
        <v>0</v>
      </c>
      <c r="AK39" s="9">
        <f>(((1-$W$39)^AB45))*V45</f>
        <v>9.2511357695614638E-3</v>
      </c>
      <c r="AL39" s="10">
        <v>0</v>
      </c>
      <c r="AM39" s="9">
        <f>(((1-$W$39)^AB46))*V46</f>
        <v>2.1331384461213501E-3</v>
      </c>
      <c r="AN39" s="10">
        <v>0</v>
      </c>
      <c r="AO39" s="9">
        <f>(((1-$W$39)^AB47))*V47</f>
        <v>3.2772343961662596E-4</v>
      </c>
      <c r="AP39" s="10">
        <v>0</v>
      </c>
      <c r="AQ39" s="9">
        <f>(((1-$W$39)^AB48))*V48</f>
        <v>3.0936708076881237E-5</v>
      </c>
      <c r="AR39" s="10">
        <v>0</v>
      </c>
      <c r="AS39" s="9">
        <f>(((1-$W$39)^AB49))*V49</f>
        <v>1.5233486841174103E-6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1.6952673718725433E-3</v>
      </c>
      <c r="BQ39" s="1">
        <f t="shared" ref="BQ39:BQ46" si="28">BQ31+1</f>
        <v>9</v>
      </c>
      <c r="BR39" s="1">
        <v>0</v>
      </c>
      <c r="BS39" s="2">
        <f t="shared" ref="BS39:BS47" si="29">$H$34*H39</f>
        <v>1.5960408710742066E-6</v>
      </c>
    </row>
    <row r="40" spans="1:71" x14ac:dyDescent="0.25">
      <c r="G40" s="27">
        <v>1</v>
      </c>
      <c r="H40" s="26">
        <f>L39*J40+L40*J39</f>
        <v>0.2152930543692832</v>
      </c>
      <c r="I40" s="24">
        <v>1</v>
      </c>
      <c r="J40" s="23">
        <f t="shared" si="26"/>
        <v>0.3854373268810562</v>
      </c>
      <c r="K40" s="25">
        <v>1</v>
      </c>
      <c r="L40" s="23">
        <f>AI18</f>
        <v>0.34802728893991008</v>
      </c>
      <c r="M40" s="17">
        <v>1</v>
      </c>
      <c r="N40" s="32">
        <f>(($C$24)^M26)*((1-($C$24))^($B$21-M26))*HLOOKUP($B$21,$AV$24:$BF$34,M26+1)</f>
        <v>0.3015209603610049</v>
      </c>
      <c r="O40" s="16">
        <v>1</v>
      </c>
      <c r="P40" s="32">
        <f t="shared" si="27"/>
        <v>0.3015209603610049</v>
      </c>
      <c r="Q40" s="10">
        <v>1</v>
      </c>
      <c r="R40" s="11">
        <f>P40*N39+P39*N40</f>
        <v>6.4525301138029123E-2</v>
      </c>
      <c r="S40" s="16">
        <v>1</v>
      </c>
      <c r="T40" s="15">
        <f t="shared" ref="T40:T49" si="30">(($C$33)^S40)*((1-($C$33))^(INT($B$23*2*(1-$B$31))-S40))*HLOOKUP(INT($B$23*2*(1-$B$31)),$AV$24:$BF$34,S40+1)</f>
        <v>2.4503737515625002E-2</v>
      </c>
      <c r="U40" s="24">
        <v>1</v>
      </c>
      <c r="V40" s="23">
        <f>R40*T39+T40*R39</f>
        <v>6.3208761167210609E-2</v>
      </c>
      <c r="W40" s="12"/>
      <c r="X40" s="10">
        <v>1</v>
      </c>
      <c r="Y40" s="11"/>
      <c r="Z40" s="10">
        <v>1</v>
      </c>
      <c r="AA40" s="9">
        <f>(1-((1-W39)^Z40))*V40</f>
        <v>1.9017703388382556E-2</v>
      </c>
      <c r="AB40" s="10">
        <v>1</v>
      </c>
      <c r="AC40" s="9">
        <f>((($W$39)^M40)*((1-($W$39))^($U$27-M40))*HLOOKUP($U$27,$AV$24:$BF$34,M40+1))*V41</f>
        <v>6.7807820024105112E-2</v>
      </c>
      <c r="AD40" s="10">
        <v>1</v>
      </c>
      <c r="AE40" s="9">
        <f>((($W$39)^M40)*((1-($W$39))^($U$28-M40))*HLOOKUP($U$28,$AV$24:$BF$34,M40+1))*V42</f>
        <v>0.10759738667591368</v>
      </c>
      <c r="AF40" s="10">
        <v>1</v>
      </c>
      <c r="AG40" s="9">
        <f>((($W$39)^M40)*((1-($W$39))^($U$29-M40))*HLOOKUP($U$29,$AV$24:$BF$34,M40+1))*V43</f>
        <v>9.9785888870481412E-2</v>
      </c>
      <c r="AH40" s="10">
        <v>1</v>
      </c>
      <c r="AI40" s="9">
        <f>((($W$39)^M40)*((1-($W$39))^($U$30-M40))*HLOOKUP($U$30,$AV$24:$BF$34,M40+1))*V44</f>
        <v>5.966039726748841E-2</v>
      </c>
      <c r="AJ40" s="10">
        <v>1</v>
      </c>
      <c r="AK40" s="9">
        <f>((($W$39)^M40)*((1-($W$39))^($U$31-M40))*HLOOKUP($U$31,$AV$24:$BF$34,M40+1))*V45</f>
        <v>2.3887460257464143E-2</v>
      </c>
      <c r="AL40" s="10">
        <v>1</v>
      </c>
      <c r="AM40" s="9">
        <f>((($W$39)^Q40)*((1-($W$39))^($U$32-Q40))*HLOOKUP($U$32,$AV$24:$BF$34,Q40+1))*V46</f>
        <v>6.4260005090642711E-3</v>
      </c>
      <c r="AN40" s="10">
        <v>1</v>
      </c>
      <c r="AO40" s="9">
        <f>((($W$39)^Q40)*((1-($W$39))^($U$33-Q40))*HLOOKUP($U$33,$AV$24:$BF$34,Q40+1))*V47</f>
        <v>1.1282911034612994E-3</v>
      </c>
      <c r="AP40" s="10">
        <v>1</v>
      </c>
      <c r="AQ40" s="9">
        <f>((($W$39)^Q40)*((1-($W$39))^($U$34-Q40))*HLOOKUP($U$34,$AV$24:$BF$34,Q40+1))*V48</f>
        <v>1.1982302547889774E-4</v>
      </c>
      <c r="AR40" s="10">
        <v>1</v>
      </c>
      <c r="AS40" s="9">
        <f>((($W$39)^Q40)*((1-($W$39))^($U$35-Q40))*HLOOKUP($U$35,$AV$24:$BF$34,Q40+1))*V49</f>
        <v>6.5557592164059035E-6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3.4274156500469568E-4</v>
      </c>
      <c r="BQ40" s="1">
        <f t="shared" si="28"/>
        <v>9</v>
      </c>
      <c r="BR40" s="1">
        <v>1</v>
      </c>
      <c r="BS40" s="2">
        <f t="shared" si="29"/>
        <v>3.9790928854089671E-6</v>
      </c>
    </row>
    <row r="41" spans="1:71" x14ac:dyDescent="0.25">
      <c r="G41" s="27">
        <v>2</v>
      </c>
      <c r="H41" s="26">
        <f>L39*J41+J40*L40+J39*L41</f>
        <v>0.24051225447307983</v>
      </c>
      <c r="I41" s="24">
        <v>2</v>
      </c>
      <c r="J41" s="23">
        <f t="shared" si="26"/>
        <v>0.21257461439650654</v>
      </c>
      <c r="K41" s="25">
        <v>2</v>
      </c>
      <c r="L41" s="23">
        <f>AJ18</f>
        <v>0.1526689919836911</v>
      </c>
      <c r="M41" s="17">
        <v>2</v>
      </c>
      <c r="N41" s="32">
        <f>(($C$24)^M27)*((1-($C$24))^($B$21-M27))*HLOOKUP($B$21,$AV$24:$BF$34,M27+1)</f>
        <v>0.33986971709813935</v>
      </c>
      <c r="O41" s="16">
        <v>2</v>
      </c>
      <c r="P41" s="32">
        <f t="shared" si="27"/>
        <v>0.33986971709813935</v>
      </c>
      <c r="Q41" s="10">
        <v>2</v>
      </c>
      <c r="R41" s="11">
        <f>P41*N39+P40*N40+P39*N41</f>
        <v>0.16364680116664085</v>
      </c>
      <c r="S41" s="16">
        <v>2</v>
      </c>
      <c r="T41" s="15">
        <f t="shared" si="30"/>
        <v>2.4626871875000001E-4</v>
      </c>
      <c r="U41" s="24">
        <v>2</v>
      </c>
      <c r="V41" s="23">
        <f>R41*T39+T40*R40+R39*T41</f>
        <v>0.16118026934680041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1.4590610334395317E-2</v>
      </c>
      <c r="AD41" s="10">
        <v>2</v>
      </c>
      <c r="AE41" s="9">
        <f>((($W$39)^M41)*((1-($W$39))^($U$28-M41))*HLOOKUP($U$28,$AV$24:$BF$34,M41+1))*V42</f>
        <v>4.6304734215889112E-2</v>
      </c>
      <c r="AF41" s="10">
        <v>2</v>
      </c>
      <c r="AG41" s="9">
        <f>((($W$39)^M41)*((1-($W$39))^($U$29-M41))*HLOOKUP($U$29,$AV$24:$BF$34,M41+1))*V43</f>
        <v>6.4414562547338738E-2</v>
      </c>
      <c r="AH41" s="10">
        <v>2</v>
      </c>
      <c r="AI41" s="9">
        <f>((($W$39)^M41)*((1-($W$39))^($U$30-M41))*HLOOKUP($U$30,$AV$24:$BF$34,M41+1))*V44</f>
        <v>5.1349924455067135E-2</v>
      </c>
      <c r="AJ41" s="10">
        <v>2</v>
      </c>
      <c r="AK41" s="9">
        <f>((($W$39)^M41)*((1-($W$39))^($U$31-M41))*HLOOKUP($U$31,$AV$24:$BF$34,M41+1))*V45</f>
        <v>2.5700031675632194E-2</v>
      </c>
      <c r="AL41" s="10">
        <v>2</v>
      </c>
      <c r="AM41" s="9">
        <f>((($W$39)^Q41)*((1-($W$39))^($U$32-Q41))*HLOOKUP($U$32,$AV$24:$BF$34,Q41+1))*V46</f>
        <v>8.2963235865466944E-3</v>
      </c>
      <c r="AN41" s="10">
        <v>2</v>
      </c>
      <c r="AO41" s="9">
        <f>((($W$39)^Q41)*((1-($W$39))^($U$33-Q41))*HLOOKUP($U$33,$AV$24:$BF$34,Q41+1))*V47</f>
        <v>1.6994675658296532E-3</v>
      </c>
      <c r="AP41" s="10">
        <v>2</v>
      </c>
      <c r="AQ41" s="9">
        <f>((($W$39)^Q41)*((1-($W$39))^($U$34-Q41))*HLOOKUP($U$34,$AV$24:$BF$34,Q41+1))*V48</f>
        <v>2.0626424187999745E-4</v>
      </c>
      <c r="AR41" s="10">
        <v>2</v>
      </c>
      <c r="AS41" s="9">
        <f>((($W$39)^Q41)*((1-($W$39))^($U$35-Q41))*HLOOKUP($U$35,$AV$24:$BF$34,Q41+1))*V49</f>
        <v>1.2695773927671777E-5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4.8868280004299173E-5</v>
      </c>
      <c r="BQ41" s="1">
        <f t="shared" si="28"/>
        <v>9</v>
      </c>
      <c r="BR41" s="1">
        <v>2</v>
      </c>
      <c r="BS41" s="2">
        <f t="shared" si="29"/>
        <v>4.4451996067925423E-6</v>
      </c>
    </row>
    <row r="42" spans="1:71" ht="15" customHeight="1" x14ac:dyDescent="0.25">
      <c r="G42" s="27">
        <v>3</v>
      </c>
      <c r="H42" s="26">
        <f>J42*L39+J41*L40+L42*J39+L41*J40</f>
        <v>0.22279644736405305</v>
      </c>
      <c r="I42" s="24">
        <v>3</v>
      </c>
      <c r="J42" s="23">
        <f t="shared" si="26"/>
        <v>6.9603328935672365E-2</v>
      </c>
      <c r="K42" s="25">
        <v>3</v>
      </c>
      <c r="L42" s="23">
        <f>AK18</f>
        <v>0.22508749049342647</v>
      </c>
      <c r="M42" s="17">
        <v>3</v>
      </c>
      <c r="N42" s="32">
        <f>(($C$24)^M28)*((1-($C$24))^($B$21-M28))*HLOOKUP($B$21,$AV$24:$BF$34,M28+1)</f>
        <v>0.19154791836373464</v>
      </c>
      <c r="O42" s="16">
        <v>3</v>
      </c>
      <c r="P42" s="32">
        <f t="shared" si="27"/>
        <v>0.19154791836373464</v>
      </c>
      <c r="Q42" s="10">
        <v>3</v>
      </c>
      <c r="R42" s="11">
        <f>P42*N39+P41*N40+P40*N41+P39*N42</f>
        <v>0.24594682439292964</v>
      </c>
      <c r="S42" s="16">
        <v>3</v>
      </c>
      <c r="T42" s="15">
        <f t="shared" si="30"/>
        <v>1.2375312500000001E-6</v>
      </c>
      <c r="U42" s="24">
        <v>3</v>
      </c>
      <c r="V42" s="23">
        <f>R42*T39+R41*T40+R40*T41+R39*T42</f>
        <v>0.24388519681620097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6.6424426498458422E-3</v>
      </c>
      <c r="AF42" s="10">
        <v>3</v>
      </c>
      <c r="AG42" s="9">
        <f>((($W$39)^M42)*((1-($W$39))^($U$29-M42))*HLOOKUP($U$29,$AV$24:$BF$34,M42+1))*V43</f>
        <v>1.8480617361530397E-2</v>
      </c>
      <c r="AH42" s="10">
        <v>3</v>
      </c>
      <c r="AI42" s="9">
        <f>((($W$39)^M42)*((1-($W$39))^($U$30-M42))*HLOOKUP($U$30,$AV$24:$BF$34,M42+1))*V44</f>
        <v>2.2098534893414283E-2</v>
      </c>
      <c r="AJ42" s="10">
        <v>3</v>
      </c>
      <c r="AK42" s="9">
        <f>((($W$39)^M42)*((1-($W$39))^($U$31-M42))*HLOOKUP($U$31,$AV$24:$BF$34,M42+1))*V45</f>
        <v>1.4746741506705834E-2</v>
      </c>
      <c r="AL42" s="10">
        <v>3</v>
      </c>
      <c r="AM42" s="9">
        <f>((($W$39)^Q42)*((1-($W$39))^($U$32-Q42))*HLOOKUP($U$32,$AV$24:$BF$34,Q42+1))*V46</f>
        <v>5.9505636476896084E-3</v>
      </c>
      <c r="AN42" s="10">
        <v>3</v>
      </c>
      <c r="AO42" s="9">
        <f>((($W$39)^Q42)*((1-($W$39))^($U$33-Q42))*HLOOKUP($U$33,$AV$24:$BF$34,Q42+1))*V47</f>
        <v>1.462738015771569E-3</v>
      </c>
      <c r="AP42" s="10">
        <v>3</v>
      </c>
      <c r="AQ42" s="9">
        <f>((($W$39)^Q42)*((1-($W$39))^($U$34-Q42))*HLOOKUP($U$34,$AV$24:$BF$34,Q42+1))*V48</f>
        <v>2.0712112798439795E-4</v>
      </c>
      <c r="AR42" s="10">
        <v>3</v>
      </c>
      <c r="AS42" s="9">
        <f>((($W$39)^Q42)*((1-($W$39))^($U$35-Q42))*HLOOKUP($U$35,$AV$24:$BF$34,Q42+1))*V49</f>
        <v>1.4569732730443854E-5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4.9325059621453416E-6</v>
      </c>
      <c r="BQ42" s="1">
        <f t="shared" si="28"/>
        <v>9</v>
      </c>
      <c r="BR42" s="1">
        <v>3</v>
      </c>
      <c r="BS42" s="2">
        <f t="shared" si="29"/>
        <v>4.1177722207427685E-6</v>
      </c>
    </row>
    <row r="43" spans="1:71" ht="15" customHeight="1" x14ac:dyDescent="0.25">
      <c r="G43" s="27">
        <v>4</v>
      </c>
      <c r="H43" s="26">
        <f>J43*L39+J42*L40+J41*L41+J40*L42</f>
        <v>0.14754652813075753</v>
      </c>
      <c r="I43" s="24">
        <v>4</v>
      </c>
      <c r="J43" s="23">
        <f t="shared" si="26"/>
        <v>1.4995456432114675E-2</v>
      </c>
      <c r="K43" s="25">
        <v>4</v>
      </c>
      <c r="L43" s="23"/>
      <c r="M43" s="17">
        <v>4</v>
      </c>
      <c r="N43" s="32">
        <f>(($C$24)^M29)*((1-($C$24))^($B$21-M29))*HLOOKUP($B$21,$AV$24:$BF$34,M29+1)</f>
        <v>5.3977455453739831E-2</v>
      </c>
      <c r="O43" s="16">
        <v>4</v>
      </c>
      <c r="P43" s="32">
        <f t="shared" si="27"/>
        <v>5.3977455453739831E-2</v>
      </c>
      <c r="Q43" s="10">
        <v>4</v>
      </c>
      <c r="R43" s="11">
        <f>P43*N39+P42*N40+P41*N41+P40*N42+P39*N43</f>
        <v>0.24257399166077548</v>
      </c>
      <c r="S43" s="16">
        <v>4</v>
      </c>
      <c r="T43" s="15">
        <f t="shared" si="30"/>
        <v>3.1093749999999999E-9</v>
      </c>
      <c r="U43" s="24">
        <v>4</v>
      </c>
      <c r="V43" s="23">
        <f>T43*R39+T42*R40+T41*R41+T40*R42+T39*R43</f>
        <v>0.24263698031041972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1.9882919592850426E-3</v>
      </c>
      <c r="AH43" s="10">
        <v>4</v>
      </c>
      <c r="AI43" s="9">
        <f>((($W$39)^M43)*((1-($W$39))^($U$30-M43))*HLOOKUP($U$30,$AV$24:$BF$34,M43+1))*V44</f>
        <v>4.7550726667842207E-3</v>
      </c>
      <c r="AJ43" s="10">
        <v>4</v>
      </c>
      <c r="AK43" s="9">
        <f>((($W$39)^M43)*((1-($W$39))^($U$31-M43))*HLOOKUP($U$31,$AV$24:$BF$34,M43+1))*V45</f>
        <v>4.7597155965914293E-3</v>
      </c>
      <c r="AL43" s="10">
        <v>4</v>
      </c>
      <c r="AM43" s="9">
        <f>((($W$39)^Q43)*((1-($W$39))^($U$32-Q43))*HLOOKUP($U$32,$AV$24:$BF$34,Q43+1))*V46</f>
        <v>2.5608360635275538E-3</v>
      </c>
      <c r="AN43" s="10">
        <v>4</v>
      </c>
      <c r="AO43" s="9">
        <f>((($W$39)^Q43)*((1-($W$39))^($U$33-Q43))*HLOOKUP($U$33,$AV$24:$BF$34,Q43+1))*V47</f>
        <v>7.8686501062276339E-4</v>
      </c>
      <c r="AP43" s="10">
        <v>4</v>
      </c>
      <c r="AQ43" s="9">
        <f>((($W$39)^Q43)*((1-($W$39))^($U$34-Q43))*HLOOKUP($U$34,$AV$24:$BF$34,Q43+1))*V48</f>
        <v>1.3370244033946829E-4</v>
      </c>
      <c r="AR43" s="10">
        <v>4</v>
      </c>
      <c r="AS43" s="9">
        <f>((($W$39)^Q43)*((1-($W$39))^($U$35-Q43))*HLOOKUP($U$35,$AV$24:$BF$34,Q43+1))*V49</f>
        <v>1.0972694964196953E-5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3.475737425740678E-7</v>
      </c>
      <c r="BQ43" s="1">
        <f t="shared" si="28"/>
        <v>9</v>
      </c>
      <c r="BR43" s="1">
        <v>4</v>
      </c>
      <c r="BS43" s="2">
        <f t="shared" si="29"/>
        <v>2.7269869066229182E-6</v>
      </c>
    </row>
    <row r="44" spans="1:71" ht="15" customHeight="1" thickBot="1" x14ac:dyDescent="0.3">
      <c r="G44" s="27">
        <v>5</v>
      </c>
      <c r="H44" s="26">
        <f>J44*L39+J43*L40+J42*L41+J41*L42</f>
        <v>6.4302829666927463E-2</v>
      </c>
      <c r="I44" s="24">
        <v>5</v>
      </c>
      <c r="J44" s="23">
        <f t="shared" si="26"/>
        <v>2.2239568283672134E-3</v>
      </c>
      <c r="K44" s="25">
        <v>5</v>
      </c>
      <c r="L44" s="23"/>
      <c r="M44" s="17">
        <v>5</v>
      </c>
      <c r="N44" s="32">
        <f>(($C$24)^M30)*((1-($C$24))^($B$21-M30))*HLOOKUP($B$21,$AV$24:$BF$34,M30+1)</f>
        <v>6.0842544719861315E-3</v>
      </c>
      <c r="O44" s="16">
        <v>5</v>
      </c>
      <c r="P44" s="32">
        <f t="shared" si="27"/>
        <v>6.0842544719861315E-3</v>
      </c>
      <c r="Q44" s="10">
        <v>5</v>
      </c>
      <c r="R44" s="11">
        <f>P44*N39+P43*N40+P42*N41+P41*N42+P40*N43+P39*N44</f>
        <v>0.16405536879905033</v>
      </c>
      <c r="S44" s="16">
        <v>5</v>
      </c>
      <c r="T44" s="15">
        <f t="shared" si="30"/>
        <v>3.1250000000000001E-12</v>
      </c>
      <c r="U44" s="24">
        <v>5</v>
      </c>
      <c r="V44" s="23">
        <f>T44*R39+T43*R40+T42*R41+T41*R42+T40*R43+T39*R44</f>
        <v>0.16599953501201969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4.092708620812099E-4</v>
      </c>
      <c r="AJ44" s="10">
        <v>5</v>
      </c>
      <c r="AK44" s="9">
        <f>((($W$39)^M44)*((1-($W$39))^($U$31-M44))*HLOOKUP($U$31,$AV$24:$BF$34,M44+1))*V45</f>
        <v>8.193409615318305E-4</v>
      </c>
      <c r="AL44" s="10">
        <v>5</v>
      </c>
      <c r="AM44" s="9">
        <f>((($W$39)^Q44)*((1-($W$39))^($U$32-Q44))*HLOOKUP($U$32,$AV$24:$BF$34,Q44+1))*V46</f>
        <v>6.6123631970320894E-4</v>
      </c>
      <c r="AN44" s="10">
        <v>5</v>
      </c>
      <c r="AO44" s="9">
        <f>((($W$39)^Q44)*((1-($W$39))^($U$33-Q44))*HLOOKUP($U$33,$AV$24:$BF$34,Q44+1))*V47</f>
        <v>2.7090304927508902E-4</v>
      </c>
      <c r="AP44" s="10">
        <v>5</v>
      </c>
      <c r="AQ44" s="9">
        <f>((($W$39)^Q44)*((1-($W$39))^($U$34-Q44))*HLOOKUP($U$34,$AV$24:$BF$34,Q44+1))*V48</f>
        <v>5.7539092306976576E-5</v>
      </c>
      <c r="AR44" s="10">
        <v>5</v>
      </c>
      <c r="AS44" s="9">
        <f>((($W$39)^Q44)*((1-($W$39))^($U$35-Q44))*HLOOKUP($U$35,$AV$24:$BF$34,Q44+1))*V49</f>
        <v>5.6665434688989887E-6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5.5775059617277974E-4</v>
      </c>
      <c r="BQ44" s="1">
        <f t="shared" si="28"/>
        <v>9</v>
      </c>
      <c r="BR44" s="1">
        <v>5</v>
      </c>
      <c r="BS44" s="2">
        <f t="shared" si="29"/>
        <v>1.1884588324919107E-6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1.8793371822665592E-2</v>
      </c>
      <c r="I45" s="24">
        <v>6</v>
      </c>
      <c r="J45" s="23">
        <f t="shared" si="26"/>
        <v>2.3045426359634882E-4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7.7050270561907885E-2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7.9223193250335083E-2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5.8767482848192305E-5</v>
      </c>
      <c r="AL45" s="10">
        <v>6</v>
      </c>
      <c r="AM45" s="9">
        <f>((($W$39)^Q45)*((1-($W$39))^($U$32-Q45))*HLOOKUP($U$32,$AV$24:$BF$34,Q45+1))*V46</f>
        <v>9.485475742384326E-5</v>
      </c>
      <c r="AN45" s="10">
        <v>6</v>
      </c>
      <c r="AO45" s="9">
        <f>((($W$39)^Q45)*((1-($W$39))^($U$33-Q45))*HLOOKUP($U$33,$AV$24:$BF$34,Q45+1))*V47</f>
        <v>5.829181396728559E-5</v>
      </c>
      <c r="AP45" s="10">
        <v>6</v>
      </c>
      <c r="AQ45" s="9">
        <f>((($W$39)^Q45)*((1-($W$39))^($U$34-Q45))*HLOOKUP($U$34,$AV$24:$BF$34,Q45+1))*V48</f>
        <v>1.6508036478141754E-5</v>
      </c>
      <c r="AR45" s="10">
        <v>6</v>
      </c>
      <c r="AS45" s="9">
        <f>((($W$39)^Q45)*((1-($W$39))^($U$35-Q45))*HLOOKUP($U$35,$AV$24:$BF$34,Q45+1))*V49</f>
        <v>2.0321728788859065E-6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1.1276351765291513E-4</v>
      </c>
      <c r="BQ45" s="1">
        <f t="shared" si="28"/>
        <v>9</v>
      </c>
      <c r="BR45" s="1">
        <v>6</v>
      </c>
      <c r="BS45" s="2">
        <f t="shared" si="29"/>
        <v>3.4734317059827678E-7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3.7995597491507871E-3</v>
      </c>
      <c r="I46" s="24">
        <v>7</v>
      </c>
      <c r="J46" s="23">
        <f t="shared" si="26"/>
        <v>1.6543412765455835E-5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2.4814246153764194E-2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2.6128784890100315E-2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5.8315600237886255E-6</v>
      </c>
      <c r="AN46" s="10">
        <v>7</v>
      </c>
      <c r="AO46" s="9">
        <f>((($W$39)^Q46)*((1-($W$39))^($U$33-Q46))*HLOOKUP($U$33,$AV$24:$BF$34,Q46+1))*V47</f>
        <v>7.1674256785416373E-6</v>
      </c>
      <c r="AP46" s="10">
        <v>7</v>
      </c>
      <c r="AQ46" s="9">
        <f>((($W$39)^Q46)*((1-($W$39))^($U$34-Q46))*HLOOKUP($U$34,$AV$24:$BF$34,Q46+1))*V48</f>
        <v>3.0446845749766506E-6</v>
      </c>
      <c r="AR46" s="10">
        <v>7</v>
      </c>
      <c r="AS46" s="9">
        <f>((($W$39)^Q46)*((1-($W$39))^($U$35-Q46))*HLOOKUP($U$35,$AV$24:$BF$34,Q46+1))*V49</f>
        <v>4.9974248814892335E-7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1.6077884089888231E-5</v>
      </c>
      <c r="BQ46" s="1">
        <f t="shared" si="28"/>
        <v>9</v>
      </c>
      <c r="BR46" s="1">
        <v>7</v>
      </c>
      <c r="BS46" s="2">
        <f t="shared" si="29"/>
        <v>7.02242866581266E-8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5.4174330945831316E-4</v>
      </c>
      <c r="I47" s="24">
        <v>8</v>
      </c>
      <c r="J47" s="23">
        <f t="shared" si="26"/>
        <v>7.9378518320389117E-7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5.2444182550688417E-3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5.7418329885837631E-3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3.8556436093640716E-7</v>
      </c>
      <c r="AP47" s="10">
        <v>8</v>
      </c>
      <c r="AQ47" s="9">
        <f>((($W$39)^Q47)*((1-($W$39))^($U$34-Q47))*HLOOKUP($U$34,$AV$24:$BF$34,Q47+1))*V48</f>
        <v>3.2757140849562813E-7</v>
      </c>
      <c r="AR47" s="10">
        <v>8</v>
      </c>
      <c r="AS47" s="9">
        <f>((($W$39)^Q47)*((1-($W$39))^($U$35-Q47))*HLOOKUP($U$35,$AV$24:$BF$34,Q47+1))*V49</f>
        <v>8.0649413771855834E-8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1.6228166640012429E-6</v>
      </c>
      <c r="BQ47" s="1">
        <f>BM12+1</f>
        <v>9</v>
      </c>
      <c r="BR47" s="1">
        <v>8</v>
      </c>
      <c r="BS47" s="2">
        <f t="shared" si="29"/>
        <v>1.0012617242570172E-8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5.468070706847871E-5</v>
      </c>
      <c r="I48" s="24">
        <v>9</v>
      </c>
      <c r="J48" s="23">
        <f t="shared" si="26"/>
        <v>2.3376245511368837E-8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6.5682514946169756E-4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7.7528259196835082E-4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1.5663440117639927E-8</v>
      </c>
      <c r="AR48" s="10">
        <v>9</v>
      </c>
      <c r="AS48" s="9">
        <f>((($W$39)^Q48)*((1-($W$39))^($U$35-Q48))*HLOOKUP($U$35,$AV$24:$BF$34,Q48+1))*V49</f>
        <v>7.7128053937289123E-9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1.1435332582409054E-7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3.8531282370961698E-6</v>
      </c>
      <c r="I49" s="14">
        <v>10</v>
      </c>
      <c r="J49" s="13">
        <f t="shared" si="26"/>
        <v>3.3192200558848789E-10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3.7018152479883243E-5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5.4604462499940887E-5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3.3192200558848789E-10</v>
      </c>
      <c r="BI49" s="1">
        <f>BQ14+1</f>
        <v>6</v>
      </c>
      <c r="BJ49" s="1">
        <v>0</v>
      </c>
      <c r="BK49" s="2">
        <f>$H$31*H39</f>
        <v>6.2503054979278199E-4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2.7500752201410294E-5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3.9210723067362814E-6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3.9577231957576985E-7</v>
      </c>
    </row>
    <row r="53" spans="1:63" x14ac:dyDescent="0.25">
      <c r="BI53" s="1">
        <f>BI48+1</f>
        <v>6</v>
      </c>
      <c r="BJ53" s="1">
        <v>10</v>
      </c>
      <c r="BK53" s="2">
        <f>$H$31*H49</f>
        <v>2.788847441399544E-8</v>
      </c>
    </row>
    <row r="54" spans="1:63" x14ac:dyDescent="0.25">
      <c r="BI54" s="1">
        <f>BI51+1</f>
        <v>7</v>
      </c>
      <c r="BJ54" s="1">
        <v>8</v>
      </c>
      <c r="BK54" s="2">
        <f>$H$32*H47</f>
        <v>7.175636330524411E-7</v>
      </c>
    </row>
    <row r="55" spans="1:63" x14ac:dyDescent="0.25">
      <c r="BI55" s="1">
        <f>BI52+1</f>
        <v>7</v>
      </c>
      <c r="BJ55" s="1">
        <v>9</v>
      </c>
      <c r="BK55" s="2">
        <f>$H$32*H48</f>
        <v>7.2427081492093869E-8</v>
      </c>
    </row>
    <row r="56" spans="1:63" x14ac:dyDescent="0.25">
      <c r="BI56" s="1">
        <f>BI53+1</f>
        <v>7</v>
      </c>
      <c r="BJ56" s="1">
        <v>10</v>
      </c>
      <c r="BK56" s="2">
        <f>$H$32*H49</f>
        <v>5.1036434565149525E-9</v>
      </c>
    </row>
    <row r="57" spans="1:63" x14ac:dyDescent="0.25">
      <c r="BI57" s="1">
        <f>BI55+1</f>
        <v>8</v>
      </c>
      <c r="BJ57" s="1">
        <v>9</v>
      </c>
      <c r="BK57" s="2">
        <f>$H$33*H48</f>
        <v>9.941865240899544E-9</v>
      </c>
    </row>
    <row r="58" spans="1:63" x14ac:dyDescent="0.25">
      <c r="BI58" s="1">
        <f>BI56+1</f>
        <v>8</v>
      </c>
      <c r="BJ58" s="1">
        <v>10</v>
      </c>
      <c r="BK58" s="2">
        <f>$H$33*H49</f>
        <v>7.0056302748867704E-10</v>
      </c>
    </row>
    <row r="59" spans="1:63" x14ac:dyDescent="0.25">
      <c r="BI59" s="1">
        <f>BI58+1</f>
        <v>9</v>
      </c>
      <c r="BJ59" s="1">
        <v>10</v>
      </c>
      <c r="BK59" s="2">
        <f>$H$34*H49</f>
        <v>7.1214351060761589E-11</v>
      </c>
    </row>
  </sheetData>
  <mergeCells count="1">
    <mergeCell ref="B3:C3"/>
  </mergeCells>
  <conditionalFormatting sqref="H49">
    <cfRule type="cellIs" dxfId="94" priority="1" operator="greaterThan">
      <formula>0.15</formula>
    </cfRule>
  </conditionalFormatting>
  <conditionalFormatting sqref="H39:H49">
    <cfRule type="cellIs" dxfId="93" priority="2" operator="greaterThan">
      <formula>0.15</formula>
    </cfRule>
  </conditionalFormatting>
  <conditionalFormatting sqref="H49">
    <cfRule type="cellIs" dxfId="92" priority="3" operator="greaterThan">
      <formula>0.15</formula>
    </cfRule>
  </conditionalFormatting>
  <conditionalFormatting sqref="H39:H49">
    <cfRule type="cellIs" dxfId="91" priority="4" operator="greaterThan">
      <formula>0.15</formula>
    </cfRule>
  </conditionalFormatting>
  <conditionalFormatting sqref="H35">
    <cfRule type="cellIs" dxfId="90" priority="5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7" operator="greaterThan">
      <formula>0.15</formula>
    </cfRule>
  </conditionalFormatting>
  <conditionalFormatting sqref="H25:H35">
    <cfRule type="cellIs" dxfId="87" priority="8" operator="greaterThan">
      <formula>0.15</formula>
    </cfRule>
  </conditionalFormatting>
  <conditionalFormatting sqref="V49">
    <cfRule type="cellIs" dxfId="86" priority="9" operator="greaterThan">
      <formula>0.15</formula>
    </cfRule>
  </conditionalFormatting>
  <conditionalFormatting sqref="V35">
    <cfRule type="cellIs" dxfId="85" priority="10" operator="greaterThan">
      <formula>0.15</formula>
    </cfRule>
  </conditionalFormatting>
  <conditionalFormatting sqref="V25:V35 V39:V49">
    <cfRule type="cellIs" dxfId="84" priority="11" operator="greaterThan">
      <formula>0.15</formula>
    </cfRule>
  </conditionalFormatting>
  <conditionalFormatting sqref="V49">
    <cfRule type="cellIs" dxfId="83" priority="12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25:V35 V39:V49">
    <cfRule type="cellIs" dxfId="81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5824-2486-4458-85BA-613B19204B24}">
  <sheetPr>
    <tabColor theme="5" tint="0.79998168889431442"/>
  </sheetPr>
  <dimension ref="A1:BS59"/>
  <sheetViews>
    <sheetView zoomScale="90" zoomScaleNormal="90" workbookViewId="0">
      <selection activeCell="D14" sqref="D14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496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1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245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3.0300000000000002</v>
      </c>
      <c r="S2" s="96">
        <f>SUM(S4:S15)</f>
        <v>3.6700000000000008</v>
      </c>
      <c r="T2" s="159">
        <f>SUM(T4:T16)</f>
        <v>0.51641460473278056</v>
      </c>
      <c r="U2" s="159">
        <f>SUM(U4:U16)</f>
        <v>0.91694466549687659</v>
      </c>
      <c r="V2" s="4"/>
      <c r="W2" s="4"/>
      <c r="X2" s="158">
        <f>SUM(X4:X16)</f>
        <v>0.30440686717869408</v>
      </c>
      <c r="Y2" s="157">
        <f>SUM(Y4:Y16)</f>
        <v>0.50758150764696441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93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87</v>
      </c>
      <c r="F4" s="143" t="s">
        <v>87</v>
      </c>
      <c r="G4" s="143" t="s">
        <v>87</v>
      </c>
      <c r="H4" s="143" t="s">
        <v>94</v>
      </c>
      <c r="I4" s="143" t="s">
        <v>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2</v>
      </c>
      <c r="R4" s="96">
        <f t="shared" ref="R4:R14" si="1">IF(P4+Q4=0,0,N4)</f>
        <v>0.45</v>
      </c>
      <c r="S4" s="96">
        <f t="shared" ref="S4:S16" si="2">R4*$N$2/$R$2</f>
        <v>0.54504950495049509</v>
      </c>
      <c r="T4" s="125">
        <f t="shared" ref="T4:T9" si="3">IF(S4=0,0,S4*(P4^2.7/(P4^2.7+Q4^2.7))*P4/L4)</f>
        <v>1.2115411029033038E-2</v>
      </c>
      <c r="U4" s="124">
        <f t="shared" ref="U4:U9" si="4">IF(S4=0,0,S4*Q4^2.7/(P4^2.7+Q4^2.7)*Q4/L4)</f>
        <v>0.15745234625876561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6.9057842865488306E-3</v>
      </c>
      <c r="Y4" s="121">
        <f t="shared" si="5"/>
        <v>8.9747837367496391E-2</v>
      </c>
      <c r="Z4" s="146"/>
      <c r="AA4" s="120">
        <f t="shared" ref="AA4:AA16" si="6">X4</f>
        <v>6.9057842865488306E-3</v>
      </c>
      <c r="AB4" s="119">
        <f t="shared" ref="AB4:AB16" si="7">1-AA4</f>
        <v>0.99309421571345113</v>
      </c>
      <c r="AC4" s="119">
        <f>PRODUCT(AB5:AB16)*AA4</f>
        <v>5.0846634025625143E-3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8.9747837367496391E-2</v>
      </c>
      <c r="AH4" s="117">
        <f t="shared" ref="AH4:AH16" si="9">(1-AG4)</f>
        <v>0.91025216263250364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9.5086238635934232E-3</v>
      </c>
      <c r="BM4" s="1">
        <v>0</v>
      </c>
      <c r="BN4" s="1">
        <v>0</v>
      </c>
      <c r="BO4" s="2">
        <f>H25*H39</f>
        <v>2.5510605916242279E-3</v>
      </c>
      <c r="BQ4" s="1">
        <v>1</v>
      </c>
      <c r="BR4" s="1">
        <v>0</v>
      </c>
      <c r="BS4" s="2">
        <f>$H$26*H39</f>
        <v>7.7035918855447218E-3</v>
      </c>
    </row>
    <row r="5" spans="1:71" ht="15.75" x14ac:dyDescent="0.25">
      <c r="A5" s="65" t="s">
        <v>97</v>
      </c>
      <c r="B5" s="145">
        <v>253</v>
      </c>
      <c r="C5" s="145">
        <v>532</v>
      </c>
      <c r="E5" s="143" t="s">
        <v>131</v>
      </c>
      <c r="F5" s="143" t="s">
        <v>93</v>
      </c>
      <c r="G5" s="143" t="s">
        <v>131</v>
      </c>
      <c r="H5" s="143" t="s">
        <v>3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0</v>
      </c>
      <c r="R5" s="96">
        <f t="shared" si="1"/>
        <v>0.35</v>
      </c>
      <c r="S5" s="96">
        <f t="shared" si="2"/>
        <v>0.42392739273927388</v>
      </c>
      <c r="T5" s="125">
        <f t="shared" si="3"/>
        <v>5.2990924092409235E-2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3.0204826732673263E-2</v>
      </c>
      <c r="Y5" s="121">
        <f t="shared" si="5"/>
        <v>0</v>
      </c>
      <c r="Z5" s="102"/>
      <c r="AA5" s="120">
        <f t="shared" si="6"/>
        <v>3.0204826732673263E-2</v>
      </c>
      <c r="AB5" s="119">
        <f t="shared" si="7"/>
        <v>0.96979517326732678</v>
      </c>
      <c r="AC5" s="119">
        <f>PRODUCT(AB6:AB16)*AA5*PRODUCT(AB4)</f>
        <v>2.2773825208058533E-2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6.4680522406282597E-3</v>
      </c>
      <c r="AF5" s="100"/>
      <c r="AG5" s="118">
        <f t="shared" si="8"/>
        <v>0</v>
      </c>
      <c r="AH5" s="117">
        <f t="shared" si="9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0"/>
        <v>1.5932201441015668E-2</v>
      </c>
      <c r="BM5" s="1">
        <v>1</v>
      </c>
      <c r="BN5" s="1">
        <v>1</v>
      </c>
      <c r="BO5" s="2">
        <f>$H$26*H40</f>
        <v>2.8713766297349095E-2</v>
      </c>
      <c r="BQ5" s="1">
        <f>BQ4+1</f>
        <v>2</v>
      </c>
      <c r="BR5" s="1">
        <v>0</v>
      </c>
      <c r="BS5" s="2">
        <f>$H$27*H39</f>
        <v>1.0673492041278716E-2</v>
      </c>
    </row>
    <row r="6" spans="1:71" ht="15.75" x14ac:dyDescent="0.25">
      <c r="A6" s="144" t="s">
        <v>95</v>
      </c>
      <c r="B6" s="135">
        <v>14.5</v>
      </c>
      <c r="C6" s="134">
        <v>4.25</v>
      </c>
      <c r="E6" s="142"/>
      <c r="F6" s="143" t="s">
        <v>94</v>
      </c>
      <c r="G6" s="143" t="s">
        <v>94</v>
      </c>
      <c r="H6" s="143" t="s">
        <v>87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1</v>
      </c>
      <c r="Q6" s="126">
        <f>COUNTIF(E9:I11,"IMP")</f>
        <v>2</v>
      </c>
      <c r="R6" s="96">
        <f t="shared" si="1"/>
        <v>0.45</v>
      </c>
      <c r="S6" s="96">
        <f t="shared" si="2"/>
        <v>0.54504950495049509</v>
      </c>
      <c r="T6" s="125">
        <f t="shared" si="3"/>
        <v>5.5917281672460172E-3</v>
      </c>
      <c r="U6" s="124">
        <f t="shared" si="4"/>
        <v>7.2670313657891811E-2</v>
      </c>
      <c r="V6" s="123">
        <f>$G$18</f>
        <v>0.45</v>
      </c>
      <c r="W6" s="117">
        <f>$H$18</f>
        <v>0.45</v>
      </c>
      <c r="X6" s="122">
        <f t="shared" si="5"/>
        <v>2.516277675260708E-3</v>
      </c>
      <c r="Y6" s="121">
        <f t="shared" si="5"/>
        <v>3.2701641146051313E-2</v>
      </c>
      <c r="Z6" s="102"/>
      <c r="AA6" s="120">
        <f t="shared" si="6"/>
        <v>2.516277675260708E-3</v>
      </c>
      <c r="AB6" s="119">
        <f t="shared" si="7"/>
        <v>0.99748372232473925</v>
      </c>
      <c r="AC6" s="119">
        <f>PRODUCT(AB7:AB16)*AA6*PRODUCT(AB4:AB5)</f>
        <v>1.8445583572666185E-3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5.1922459876223423E-4</v>
      </c>
      <c r="AF6" s="100"/>
      <c r="AG6" s="118">
        <f t="shared" si="8"/>
        <v>3.2701641146051313E-2</v>
      </c>
      <c r="AH6" s="117">
        <f t="shared" si="9"/>
        <v>0.96729835885394866</v>
      </c>
      <c r="AI6" s="117">
        <f>AG6*PRODUCT(AH3:AH5)*PRODUCT(AH7:AH17)</f>
        <v>1.9709003942257639E-2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8.7198930597318473E-3</v>
      </c>
      <c r="AL6" s="98"/>
      <c r="AN6" s="97"/>
      <c r="AO6" s="96"/>
      <c r="BI6" s="1">
        <v>0</v>
      </c>
      <c r="BJ6" s="1">
        <v>3</v>
      </c>
      <c r="BK6" s="2">
        <f t="shared" si="10"/>
        <v>1.6246150986969445E-2</v>
      </c>
      <c r="BM6" s="1">
        <f>BI14+1</f>
        <v>2</v>
      </c>
      <c r="BN6" s="1">
        <v>2</v>
      </c>
      <c r="BO6" s="2">
        <f>$H$27*H41</f>
        <v>6.6659422296379056E-2</v>
      </c>
      <c r="BQ6" s="1">
        <f>BM5+1</f>
        <v>2</v>
      </c>
      <c r="BR6" s="1">
        <v>1</v>
      </c>
      <c r="BS6" s="2">
        <f>$H$27*H40</f>
        <v>3.9783540016570022E-2</v>
      </c>
    </row>
    <row r="7" spans="1:71" ht="15.75" x14ac:dyDescent="0.25">
      <c r="A7" s="141" t="s">
        <v>92</v>
      </c>
      <c r="B7" s="135">
        <v>14.5</v>
      </c>
      <c r="C7" s="134">
        <v>20.5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1</v>
      </c>
      <c r="R7" s="96">
        <f t="shared" si="1"/>
        <v>0.04</v>
      </c>
      <c r="S7" s="96">
        <f t="shared" si="2"/>
        <v>4.8448844884488453E-2</v>
      </c>
      <c r="T7" s="125">
        <f t="shared" si="3"/>
        <v>1.0496823083917708E-2</v>
      </c>
      <c r="U7" s="124">
        <f t="shared" si="4"/>
        <v>8.0769406860220255E-4</v>
      </c>
      <c r="V7" s="123">
        <f>$G$18</f>
        <v>0.45</v>
      </c>
      <c r="W7" s="117">
        <f>$H$18</f>
        <v>0.45</v>
      </c>
      <c r="X7" s="122">
        <f t="shared" si="5"/>
        <v>4.7235703877629692E-3</v>
      </c>
      <c r="Y7" s="121">
        <f t="shared" si="5"/>
        <v>3.6346233087099114E-4</v>
      </c>
      <c r="Z7" s="102"/>
      <c r="AA7" s="120">
        <f t="shared" si="6"/>
        <v>4.7235703877629692E-3</v>
      </c>
      <c r="AB7" s="119">
        <f t="shared" si="7"/>
        <v>0.99527642961223706</v>
      </c>
      <c r="AC7" s="119">
        <f>PRODUCT(AB8:AB$16)*AA7*PRODUCT(AB$4:AB6)</f>
        <v>3.4702944427094751E-3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9.6038295487060215E-4</v>
      </c>
      <c r="AF7" s="100"/>
      <c r="AG7" s="118">
        <f t="shared" si="8"/>
        <v>3.6346233087099114E-4</v>
      </c>
      <c r="AH7" s="117">
        <f t="shared" si="9"/>
        <v>0.99963653766912897</v>
      </c>
      <c r="AI7" s="117">
        <f>AG7*PRODUCT(AH3:AH6)*PRODUCT(AH8:AH17)</f>
        <v>2.1196925069353185E-4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9.3704898213923469E-5</v>
      </c>
      <c r="AL7" s="98"/>
      <c r="AN7" s="97"/>
      <c r="AO7" s="96"/>
      <c r="BI7" s="1">
        <v>0</v>
      </c>
      <c r="BJ7" s="1">
        <v>4</v>
      </c>
      <c r="BK7" s="2">
        <f t="shared" si="10"/>
        <v>1.1707713451432145E-2</v>
      </c>
      <c r="BM7" s="1">
        <f>BI23+1</f>
        <v>3</v>
      </c>
      <c r="BN7" s="1">
        <v>3</v>
      </c>
      <c r="BO7" s="2">
        <f>$H$28*H42</f>
        <v>5.7257820381033393E-2</v>
      </c>
      <c r="BQ7" s="1">
        <f>BQ5+1</f>
        <v>3</v>
      </c>
      <c r="BR7" s="1">
        <v>0</v>
      </c>
      <c r="BS7" s="2">
        <f>$H$28*H39</f>
        <v>8.9909400234867796E-3</v>
      </c>
    </row>
    <row r="8" spans="1:71" ht="15.75" x14ac:dyDescent="0.25">
      <c r="A8" s="141" t="s">
        <v>90</v>
      </c>
      <c r="B8" s="135">
        <v>11</v>
      </c>
      <c r="C8" s="134">
        <v>19.75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2</v>
      </c>
      <c r="Q8" s="126">
        <f>COUNTIF(E10:I11,"RAP")</f>
        <v>4</v>
      </c>
      <c r="R8" s="96">
        <f t="shared" si="1"/>
        <v>0.5</v>
      </c>
      <c r="S8" s="96">
        <f t="shared" si="2"/>
        <v>0.60561056105610567</v>
      </c>
      <c r="T8" s="125">
        <f t="shared" si="3"/>
        <v>2.0192351715055068E-2</v>
      </c>
      <c r="U8" s="124">
        <f t="shared" si="4"/>
        <v>0.2624205770979427</v>
      </c>
      <c r="V8" s="123">
        <f>$G$17</f>
        <v>0.56999999999999995</v>
      </c>
      <c r="W8" s="117">
        <f>$H$17</f>
        <v>0.56999999999999995</v>
      </c>
      <c r="X8" s="122">
        <f t="shared" si="5"/>
        <v>1.1509640477581387E-2</v>
      </c>
      <c r="Y8" s="121">
        <f t="shared" si="5"/>
        <v>0.14957972894582733</v>
      </c>
      <c r="Z8" s="102"/>
      <c r="AA8" s="120">
        <f t="shared" si="6"/>
        <v>1.1509640477581387E-2</v>
      </c>
      <c r="AB8" s="119">
        <f t="shared" si="7"/>
        <v>0.98849035952241859</v>
      </c>
      <c r="AC8" s="119">
        <f>PRODUCT(AB9:AB$16)*AA8*PRODUCT(AB$4:AB7)</f>
        <v>8.5139083810831812E-3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2.2570395350407163E-3</v>
      </c>
      <c r="AF8" s="100"/>
      <c r="AG8" s="118">
        <f t="shared" si="8"/>
        <v>0.14957972894582733</v>
      </c>
      <c r="AH8" s="117">
        <f t="shared" si="9"/>
        <v>0.85042027105417262</v>
      </c>
      <c r="AI8" s="117">
        <f>AG8*PRODUCT(AH3:AH7)*PRODUCT(AH9:AH17)</f>
        <v>0.10254033147932141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2.7294100377426491E-2</v>
      </c>
      <c r="AL8" s="98"/>
      <c r="AN8" s="97"/>
      <c r="AO8" s="96"/>
      <c r="BI8" s="1">
        <v>0</v>
      </c>
      <c r="BJ8" s="1">
        <v>5</v>
      </c>
      <c r="BK8" s="2">
        <f t="shared" si="10"/>
        <v>6.599052255121197E-3</v>
      </c>
      <c r="BM8" s="1">
        <f>BI31+1</f>
        <v>4</v>
      </c>
      <c r="BN8" s="1">
        <v>4</v>
      </c>
      <c r="BO8" s="2">
        <f>$H$29*H43</f>
        <v>2.3613175985566212E-2</v>
      </c>
      <c r="BQ8" s="1">
        <f>BQ6+1</f>
        <v>3</v>
      </c>
      <c r="BR8" s="1">
        <v>1</v>
      </c>
      <c r="BS8" s="2">
        <f>$H$28*H40</f>
        <v>3.3512127130242826E-2</v>
      </c>
    </row>
    <row r="9" spans="1:71" ht="15.75" x14ac:dyDescent="0.25">
      <c r="A9" s="141" t="s">
        <v>88</v>
      </c>
      <c r="B9" s="135">
        <v>5.75</v>
      </c>
      <c r="C9" s="134">
        <v>21.25</v>
      </c>
      <c r="E9" s="140" t="s">
        <v>93</v>
      </c>
      <c r="F9" s="140" t="s">
        <v>87</v>
      </c>
      <c r="G9" s="140" t="s">
        <v>87</v>
      </c>
      <c r="H9" s="140" t="s">
        <v>87</v>
      </c>
      <c r="I9" s="140" t="s">
        <v>93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2</v>
      </c>
      <c r="Q9" s="126">
        <f>COUNTIF(E10:I11,"RAP")</f>
        <v>4</v>
      </c>
      <c r="R9" s="96">
        <f t="shared" si="1"/>
        <v>0.5</v>
      </c>
      <c r="S9" s="96">
        <f t="shared" si="2"/>
        <v>0.60561056105610567</v>
      </c>
      <c r="T9" s="125">
        <f t="shared" si="3"/>
        <v>2.0192351715055068E-2</v>
      </c>
      <c r="U9" s="124">
        <f t="shared" si="4"/>
        <v>0.2624205770979427</v>
      </c>
      <c r="V9" s="123">
        <f>$G$17</f>
        <v>0.56999999999999995</v>
      </c>
      <c r="W9" s="117">
        <f>$H$17</f>
        <v>0.56999999999999995</v>
      </c>
      <c r="X9" s="122">
        <f t="shared" si="5"/>
        <v>1.1509640477581387E-2</v>
      </c>
      <c r="Y9" s="121">
        <f t="shared" si="5"/>
        <v>0.14957972894582733</v>
      </c>
      <c r="Z9" s="102"/>
      <c r="AA9" s="120">
        <f t="shared" si="6"/>
        <v>1.1509640477581387E-2</v>
      </c>
      <c r="AB9" s="119">
        <f t="shared" si="7"/>
        <v>0.98849035952241859</v>
      </c>
      <c r="AC9" s="119">
        <f>PRODUCT(AB10:AB$16)*AA9*PRODUCT(AB$4:AB8)</f>
        <v>8.5139083810831812E-3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2.1579065252128023E-3</v>
      </c>
      <c r="AF9" s="100"/>
      <c r="AG9" s="118">
        <f t="shared" si="8"/>
        <v>0.14957972894582733</v>
      </c>
      <c r="AH9" s="117">
        <f t="shared" si="9"/>
        <v>0.85042027105417262</v>
      </c>
      <c r="AI9" s="117">
        <f>AG9*PRODUCT(AH3:AH8)*PRODUCT(AH10:AH17)</f>
        <v>0.10254033147932143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9.2583649760591084E-3</v>
      </c>
      <c r="AL9" s="98"/>
      <c r="AN9" s="97"/>
      <c r="AO9" s="96"/>
      <c r="BI9" s="1">
        <v>0</v>
      </c>
      <c r="BJ9" s="1">
        <v>6</v>
      </c>
      <c r="BK9" s="2">
        <f t="shared" si="10"/>
        <v>3.0482998086236806E-3</v>
      </c>
      <c r="BM9" s="1">
        <f>BI38+1</f>
        <v>5</v>
      </c>
      <c r="BN9" s="1">
        <v>5</v>
      </c>
      <c r="BO9" s="2">
        <f>$H$30*H44</f>
        <v>5.4789714447718739E-3</v>
      </c>
      <c r="BQ9" s="1">
        <f>BM6+1</f>
        <v>3</v>
      </c>
      <c r="BR9" s="1">
        <v>2</v>
      </c>
      <c r="BS9" s="2">
        <f>$H$28*H41</f>
        <v>5.6151338807315015E-2</v>
      </c>
    </row>
    <row r="10" spans="1:71" ht="15.75" x14ac:dyDescent="0.25">
      <c r="A10" s="138" t="s">
        <v>85</v>
      </c>
      <c r="B10" s="135">
        <v>7.75</v>
      </c>
      <c r="C10" s="134">
        <v>15.5</v>
      </c>
      <c r="E10" s="140" t="s">
        <v>3</v>
      </c>
      <c r="F10" s="140" t="s">
        <v>87</v>
      </c>
      <c r="G10" s="140" t="s">
        <v>3</v>
      </c>
      <c r="H10" s="140" t="s">
        <v>87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0.23013201320132012</v>
      </c>
      <c r="T10" s="125">
        <f>S10*G13</f>
        <v>0.17796875687568756</v>
      </c>
      <c r="U10" s="124">
        <f>S10*G14</f>
        <v>5.2163256325632568E-2</v>
      </c>
      <c r="V10" s="123">
        <f>$G$18</f>
        <v>0.45</v>
      </c>
      <c r="W10" s="117">
        <f>$H$18</f>
        <v>0.45</v>
      </c>
      <c r="X10" s="122">
        <f t="shared" si="5"/>
        <v>8.0085940594059407E-2</v>
      </c>
      <c r="Y10" s="121">
        <f t="shared" si="5"/>
        <v>2.3473465346534658E-2</v>
      </c>
      <c r="Z10" s="102"/>
      <c r="AA10" s="120">
        <f t="shared" si="6"/>
        <v>8.0085940594059407E-2</v>
      </c>
      <c r="AB10" s="119">
        <f t="shared" si="7"/>
        <v>0.91991405940594062</v>
      </c>
      <c r="AC10" s="119">
        <f>PRODUCT(AB11:AB$16)*AA10*PRODUCT(AB$4:AB9)</f>
        <v>6.3657367800716985E-2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1.0592494463837037E-2</v>
      </c>
      <c r="AF10" s="100"/>
      <c r="AG10" s="118">
        <f t="shared" si="8"/>
        <v>2.3473465346534658E-2</v>
      </c>
      <c r="AH10" s="117">
        <f t="shared" si="9"/>
        <v>0.97652653465346539</v>
      </c>
      <c r="AI10" s="117">
        <f>AG10*PRODUCT(AH3:AH9)*PRODUCT(AH11:AH17)</f>
        <v>1.4013568432708297E-2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9.2843073438544758E-4</v>
      </c>
      <c r="AL10" s="98"/>
      <c r="AN10" s="97"/>
      <c r="AO10" s="96"/>
      <c r="BI10" s="1">
        <v>0</v>
      </c>
      <c r="BJ10" s="1">
        <v>7</v>
      </c>
      <c r="BK10" s="2">
        <f t="shared" si="10"/>
        <v>1.1302616873230464E-3</v>
      </c>
      <c r="BM10" s="1">
        <f>BI44+1</f>
        <v>6</v>
      </c>
      <c r="BN10" s="1">
        <v>6</v>
      </c>
      <c r="BO10" s="2">
        <f>$H$31*H45</f>
        <v>7.7443360574311413E-4</v>
      </c>
      <c r="BQ10" s="1">
        <f>BQ7+1</f>
        <v>4</v>
      </c>
      <c r="BR10" s="1">
        <v>0</v>
      </c>
      <c r="BS10" s="2">
        <f>$H$29*H39</f>
        <v>5.1452098609824498E-3</v>
      </c>
    </row>
    <row r="11" spans="1:71" ht="15.75" x14ac:dyDescent="0.25">
      <c r="A11" s="138" t="s">
        <v>82</v>
      </c>
      <c r="B11" s="135">
        <v>17</v>
      </c>
      <c r="C11" s="134">
        <v>11.25</v>
      </c>
      <c r="E11" s="139"/>
      <c r="F11" s="140" t="s">
        <v>3</v>
      </c>
      <c r="G11" s="140" t="s">
        <v>87</v>
      </c>
      <c r="H11" s="140" t="s">
        <v>497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3</v>
      </c>
      <c r="Q11" s="126">
        <f>COUNTIF(E9:I11,"CAB")</f>
        <v>0</v>
      </c>
      <c r="R11" s="96">
        <f t="shared" si="1"/>
        <v>0.19</v>
      </c>
      <c r="S11" s="96">
        <f t="shared" si="2"/>
        <v>0.23013201320132012</v>
      </c>
      <c r="T11" s="125">
        <f>IF(P11&gt;0,IF(Q11&gt;0,G13^2.7/(G14^2.7+G13^2.7),1),0)*P11/L11*S11</f>
        <v>7.6710671067106703E-2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0.83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6.3669856985698561E-2</v>
      </c>
      <c r="Y11" s="121">
        <f t="shared" si="5"/>
        <v>0</v>
      </c>
      <c r="Z11" s="102"/>
      <c r="AA11" s="120">
        <f t="shared" si="6"/>
        <v>6.3669856985698561E-2</v>
      </c>
      <c r="AB11" s="119">
        <f t="shared" si="7"/>
        <v>0.9363301430143014</v>
      </c>
      <c r="AC11" s="119">
        <f>PRODUCT(AB12:AB$16)*AA11*PRODUCT(AB$4:AB10)</f>
        <v>4.972153436985511E-2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4.8925589592578953E-3</v>
      </c>
      <c r="AF11" s="100"/>
      <c r="AG11" s="118">
        <f t="shared" si="8"/>
        <v>0</v>
      </c>
      <c r="AH11" s="117">
        <f t="shared" si="9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0"/>
        <v>3.1709891460587517E-4</v>
      </c>
      <c r="BM11" s="1">
        <f>BI50+1</f>
        <v>7</v>
      </c>
      <c r="BN11" s="1">
        <v>7</v>
      </c>
      <c r="BO11" s="2">
        <f>$H$32*H46</f>
        <v>6.6563593756713318E-5</v>
      </c>
      <c r="BQ11" s="1">
        <f>BQ8+1</f>
        <v>4</v>
      </c>
      <c r="BR11" s="1">
        <v>1</v>
      </c>
      <c r="BS11" s="2">
        <f>$H$29*H40</f>
        <v>1.9177853096850481E-2</v>
      </c>
    </row>
    <row r="12" spans="1:71" ht="15.75" x14ac:dyDescent="0.25">
      <c r="A12" s="138" t="s">
        <v>80</v>
      </c>
      <c r="B12" s="135">
        <v>9.5</v>
      </c>
      <c r="C12" s="134">
        <v>15.75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0</v>
      </c>
      <c r="Q12" s="126">
        <f>COUNTIF(F11:H11,"IMP")+COUNTIF(E10,"IMP")+COUNTIF(I10,"IMP")</f>
        <v>0</v>
      </c>
      <c r="R12" s="96">
        <f t="shared" si="1"/>
        <v>0</v>
      </c>
      <c r="S12" s="96">
        <f t="shared" si="2"/>
        <v>0</v>
      </c>
      <c r="T12" s="125">
        <f>IF(S12=0,0,S12*(P12^2.7/(P12^2.7+Q12^2.7))*P12/L12)</f>
        <v>0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0</v>
      </c>
      <c r="Y12" s="121">
        <f t="shared" si="5"/>
        <v>0</v>
      </c>
      <c r="Z12" s="102"/>
      <c r="AA12" s="120">
        <f t="shared" si="6"/>
        <v>0</v>
      </c>
      <c r="AB12" s="119">
        <f t="shared" si="7"/>
        <v>1</v>
      </c>
      <c r="AC12" s="119">
        <f>PRODUCT(AB13:AB$16)*AA12*PRODUCT(AB$4:AB11)</f>
        <v>0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F12" s="100"/>
      <c r="AG12" s="118">
        <f t="shared" si="8"/>
        <v>0</v>
      </c>
      <c r="AH12" s="117">
        <f t="shared" si="9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0"/>
        <v>6.3338221674192005E-5</v>
      </c>
      <c r="BM12" s="1">
        <f>BI54+1</f>
        <v>8</v>
      </c>
      <c r="BN12" s="1">
        <v>8</v>
      </c>
      <c r="BO12" s="2">
        <f>$H$33*H47</f>
        <v>3.3090216450659068E-6</v>
      </c>
      <c r="BQ12" s="1">
        <f>BQ9+1</f>
        <v>4</v>
      </c>
      <c r="BR12" s="1">
        <v>2</v>
      </c>
      <c r="BS12" s="2">
        <f>$H$29*H41</f>
        <v>3.2133505660592906E-2</v>
      </c>
    </row>
    <row r="13" spans="1:71" ht="15.75" x14ac:dyDescent="0.25">
      <c r="A13" s="136" t="s">
        <v>78</v>
      </c>
      <c r="B13" s="135">
        <v>9</v>
      </c>
      <c r="C13" s="134">
        <v>14</v>
      </c>
      <c r="E13" s="4"/>
      <c r="F13" s="4" t="s">
        <v>77</v>
      </c>
      <c r="G13" s="137">
        <f>B22</f>
        <v>0.77333333333333332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0.21801980198019802</v>
      </c>
      <c r="T13" s="125">
        <f>IF((Q13+P13)=0,0,S13*P14/4*P13/L13)</f>
        <v>3.1145685997171147E-2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3.1145685997171147E-2</v>
      </c>
      <c r="Y13" s="121">
        <f t="shared" si="5"/>
        <v>0</v>
      </c>
      <c r="Z13" s="102"/>
      <c r="AA13" s="120">
        <f t="shared" si="6"/>
        <v>3.1145685997171147E-2</v>
      </c>
      <c r="AB13" s="119">
        <f t="shared" si="7"/>
        <v>0.96885431400282884</v>
      </c>
      <c r="AC13" s="119">
        <f>PRODUCT(AB14:AB$16)*AA13*PRODUCT(AB$4:AB12)</f>
        <v>2.3506018629593083E-2</v>
      </c>
      <c r="AD13" s="119">
        <f>AA13*AA14*PRODUCT(AB3:AB12)*PRODUCT(AB15:AB17)+AA13*AA15*PRODUCT(AB3:AB12)*AB14*PRODUCT(AB16:AB17)+AA13*AA16*PRODUCT(AB3:AB12)*AB14*AB15*AB17+AA13*AA17*PRODUCT(AB3:AB12)*AB14*AB15*AB16</f>
        <v>1.5573271178962239E-3</v>
      </c>
      <c r="AF13" s="100"/>
      <c r="AG13" s="118">
        <f t="shared" si="8"/>
        <v>0</v>
      </c>
      <c r="AH13" s="117">
        <f t="shared" si="9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0"/>
        <v>8.5779874097626297E-6</v>
      </c>
      <c r="BM13" s="1">
        <f>BI57+1</f>
        <v>9</v>
      </c>
      <c r="BN13" s="1">
        <v>9</v>
      </c>
      <c r="BO13" s="2">
        <f>$H$34*H48</f>
        <v>8.9370999474174811E-8</v>
      </c>
      <c r="BQ13" s="1">
        <f>BM7+1</f>
        <v>4</v>
      </c>
      <c r="BR13" s="1">
        <v>3</v>
      </c>
      <c r="BS13" s="2">
        <f>$H$29*H42</f>
        <v>3.2766707515929423E-2</v>
      </c>
    </row>
    <row r="14" spans="1:71" ht="15.75" x14ac:dyDescent="0.25">
      <c r="A14" s="136" t="s">
        <v>75</v>
      </c>
      <c r="B14" s="135">
        <v>4</v>
      </c>
      <c r="C14" s="134">
        <v>12</v>
      </c>
      <c r="E14" s="4"/>
      <c r="F14" s="4" t="s">
        <v>74</v>
      </c>
      <c r="G14" s="133">
        <f>C22</f>
        <v>0.22666666666666668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0.21801980198019802</v>
      </c>
      <c r="T14" s="125">
        <f>S14*P14^2.7/(Q14^2.7+P14^2.7)</f>
        <v>0.10900990099009901</v>
      </c>
      <c r="U14" s="124">
        <f>S14*Q14^2.7/(Q14^2.7+P14^2.7)</f>
        <v>0.10900990099009901</v>
      </c>
      <c r="V14" s="123">
        <f>$G$17</f>
        <v>0.56999999999999995</v>
      </c>
      <c r="W14" s="117">
        <f>$H$17</f>
        <v>0.56999999999999995</v>
      </c>
      <c r="X14" s="122">
        <f t="shared" si="5"/>
        <v>6.2135643564356427E-2</v>
      </c>
      <c r="Y14" s="121">
        <f t="shared" si="5"/>
        <v>6.2135643564356427E-2</v>
      </c>
      <c r="Z14" s="102"/>
      <c r="AA14" s="120">
        <f t="shared" si="6"/>
        <v>6.2135643564356427E-2</v>
      </c>
      <c r="AB14" s="119">
        <f t="shared" si="7"/>
        <v>0.93786435643564359</v>
      </c>
      <c r="AC14" s="119">
        <f>PRODUCT(AB15:AB$16)*AA14*PRODUCT(AB$4:AB13)</f>
        <v>4.844404764834493E-2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6.2135643564356427E-2</v>
      </c>
      <c r="AH14" s="117">
        <f t="shared" si="9"/>
        <v>0.93786435643564359</v>
      </c>
      <c r="AI14" s="117">
        <f>AG14*PRODUCT(AH3:AH13)*PRODUCT(AH15:AH17)</f>
        <v>3.862392000203916E-2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4.8111431826763584E-2</v>
      </c>
      <c r="BM14" s="1">
        <f>BQ39+1</f>
        <v>10</v>
      </c>
      <c r="BN14" s="1">
        <v>10</v>
      </c>
      <c r="BO14" s="2">
        <f>$H$35*H49</f>
        <v>1.2266997617309866E-9</v>
      </c>
      <c r="BQ14" s="1">
        <f>BQ10+1</f>
        <v>5</v>
      </c>
      <c r="BR14" s="1">
        <v>0</v>
      </c>
      <c r="BS14" s="2">
        <f>$H$30*H39</f>
        <v>2.1180599266424939E-3</v>
      </c>
    </row>
    <row r="15" spans="1:71" ht="15.75" x14ac:dyDescent="0.25">
      <c r="A15" s="70" t="s">
        <v>72</v>
      </c>
      <c r="B15" s="132">
        <v>5</v>
      </c>
      <c r="C15" s="131">
        <v>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4.9059484249595345E-2</v>
      </c>
      <c r="BQ15" s="1">
        <f>BQ11+1</f>
        <v>5</v>
      </c>
      <c r="BR15" s="1">
        <v>1</v>
      </c>
      <c r="BS15" s="2">
        <f>$H$30*H40</f>
        <v>7.8946910273781368E-3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3.535449006536992E-2</v>
      </c>
      <c r="BQ16" s="1">
        <f>BQ12+1</f>
        <v>5</v>
      </c>
      <c r="BR16" s="1">
        <v>2</v>
      </c>
      <c r="BS16" s="2">
        <f>$H$30*H41</f>
        <v>1.3227971740932206E-2</v>
      </c>
    </row>
    <row r="17" spans="1:71" x14ac:dyDescent="0.25">
      <c r="A17" s="116" t="s">
        <v>67</v>
      </c>
      <c r="B17" s="115" t="s">
        <v>66</v>
      </c>
      <c r="C17" s="114" t="s">
        <v>246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1.9927557021478019E-2</v>
      </c>
      <c r="BQ17" s="1">
        <f>BQ13+1</f>
        <v>5</v>
      </c>
      <c r="BR17" s="1">
        <v>3</v>
      </c>
      <c r="BS17" s="2">
        <f>$H$30*H42</f>
        <v>1.3488633504300566E-2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0.73120584200266436</v>
      </c>
      <c r="AC18" s="107">
        <f>SUM(AC4:AC16)</f>
        <v>0.23553012662127359</v>
      </c>
      <c r="AD18" s="107">
        <f>SUM(AD3:AD17)</f>
        <v>2.9404986395505768E-2</v>
      </c>
      <c r="AE18" s="107">
        <f>IF((1-AB18-AC18-AD18)&lt;0,(1-AB18-AC18-AD18)-1,1-AB18-AC18-AD18)</f>
        <v>3.859044980556274E-3</v>
      </c>
      <c r="AF18" s="100"/>
      <c r="AG18" s="4"/>
      <c r="AH18" s="108">
        <f>PRODUCT(AH3:AH17)</f>
        <v>0.58298258129756975</v>
      </c>
      <c r="AI18" s="107">
        <f>SUM(AI3:AI17)</f>
        <v>0.27763912458634149</v>
      </c>
      <c r="AJ18" s="107">
        <f>SUM(AJ3:AJ17)</f>
        <v>4.6294494045816821E-2</v>
      </c>
      <c r="AK18" s="107">
        <f>IF((1-AH18-AI18-AJ18)&lt;0,(1-AH18-AI18-AJ18)-1,(1-AH18-AI18-AJ18))</f>
        <v>9.3083800070271949E-2</v>
      </c>
      <c r="AL18" s="98"/>
      <c r="AN18" s="97"/>
      <c r="AO18" s="96"/>
      <c r="BI18" s="1">
        <v>1</v>
      </c>
      <c r="BJ18" s="1">
        <v>6</v>
      </c>
      <c r="BK18" s="2">
        <f t="shared" si="11"/>
        <v>9.2051352082820111E-3</v>
      </c>
      <c r="BQ18" s="1">
        <f>BM8+1</f>
        <v>5</v>
      </c>
      <c r="BR18" s="1">
        <v>4</v>
      </c>
      <c r="BS18" s="2">
        <f>$H$30*H43</f>
        <v>9.7205212512429459E-3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3.4131195439227975E-3</v>
      </c>
      <c r="BQ19" s="1">
        <f>BQ15+1</f>
        <v>6</v>
      </c>
      <c r="BR19" s="1">
        <v>1</v>
      </c>
      <c r="BS19" s="2">
        <f>$H$31*H40</f>
        <v>2.4157065664949995E-3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9.5756276173650538E-4</v>
      </c>
      <c r="BQ20" s="1">
        <f>BQ16+1</f>
        <v>6</v>
      </c>
      <c r="BR20" s="1">
        <v>2</v>
      </c>
      <c r="BS20" s="2">
        <f>$H$31*H41</f>
        <v>4.0476439274397527E-3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1.9126625691923626E-4</v>
      </c>
      <c r="BQ21" s="1">
        <f>BQ17+1</f>
        <v>6</v>
      </c>
      <c r="BR21" s="1">
        <v>3</v>
      </c>
      <c r="BS21" s="2">
        <f>$H$31*H42</f>
        <v>4.1274041525352538E-3</v>
      </c>
    </row>
    <row r="22" spans="1:71" x14ac:dyDescent="0.25">
      <c r="A22" s="67" t="s">
        <v>60</v>
      </c>
      <c r="B22" s="74">
        <f>(B6)/((B6)+(C6))</f>
        <v>0.77333333333333332</v>
      </c>
      <c r="C22" s="73">
        <f>1-B22</f>
        <v>0.22666666666666668</v>
      </c>
      <c r="V22" s="52">
        <f>SUM(V25:V35)</f>
        <v>1</v>
      </c>
      <c r="AS22" s="56">
        <f>Y23+AA23+AC23+AE23+AG23+AI23+AK23+AM23+AO23+AQ23+AS23</f>
        <v>0.99999999999999933</v>
      </c>
      <c r="BI22" s="1">
        <v>1</v>
      </c>
      <c r="BJ22" s="1">
        <v>10</v>
      </c>
      <c r="BK22" s="2">
        <f t="shared" si="11"/>
        <v>2.5903467138771115E-5</v>
      </c>
      <c r="BQ22" s="1">
        <f>BQ18+1</f>
        <v>6</v>
      </c>
      <c r="BR22" s="1">
        <v>4</v>
      </c>
      <c r="BS22" s="2">
        <f>$H$31*H43</f>
        <v>2.9743946830785889E-3</v>
      </c>
    </row>
    <row r="23" spans="1:71" ht="15.75" thickBot="1" x14ac:dyDescent="0.3">
      <c r="A23" s="65" t="s">
        <v>59</v>
      </c>
      <c r="B23" s="64">
        <f>((B22^2.8)/((B22^2.8)+(C22^2.8)))*B21</f>
        <v>4.8440911026004754</v>
      </c>
      <c r="C23" s="63">
        <f>B21-B23</f>
        <v>0.15590889739952463</v>
      </c>
      <c r="D23" s="88">
        <f>SUM(D25:D30)</f>
        <v>1</v>
      </c>
      <c r="E23" s="88">
        <f>SUM(E25:E30)</f>
        <v>1</v>
      </c>
      <c r="H23" s="50">
        <f>SUM(H25:H35)</f>
        <v>0.99999927164411651</v>
      </c>
      <c r="I23" s="51"/>
      <c r="J23" s="50">
        <f>SUM(J25:J35)</f>
        <v>0.99999999999999967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1.0050760126517704</v>
      </c>
      <c r="V23" s="52">
        <f>SUM(V25:V34)</f>
        <v>0.2716973386264413</v>
      </c>
      <c r="Y23" s="50">
        <f>SUM(Y25:Y35)</f>
        <v>8.6897835415894714E-16</v>
      </c>
      <c r="Z23" s="51"/>
      <c r="AA23" s="50">
        <f>SUM(AA25:AA35)</f>
        <v>2.6999603390696491E-13</v>
      </c>
      <c r="AB23" s="51"/>
      <c r="AC23" s="50">
        <f>SUM(AC25:AC35)</f>
        <v>3.7750254672020868E-11</v>
      </c>
      <c r="AD23" s="51"/>
      <c r="AE23" s="50">
        <f>SUM(AE25:AE35)</f>
        <v>3.1278127981598489E-9</v>
      </c>
      <c r="AF23" s="51"/>
      <c r="AG23" s="50">
        <f>SUM(AG25:AG35)</f>
        <v>1.7007246344182549E-7</v>
      </c>
      <c r="AH23" s="51"/>
      <c r="AI23" s="50">
        <f>SUM(AI25:AI35)</f>
        <v>6.3412525622374109E-6</v>
      </c>
      <c r="AJ23" s="51"/>
      <c r="AK23" s="50">
        <f>SUM(AK25:AK35)</f>
        <v>1.6419539376358555E-4</v>
      </c>
      <c r="AL23" s="51"/>
      <c r="AM23" s="50">
        <f>SUM(AM25:AM35)</f>
        <v>2.9154323684395479E-3</v>
      </c>
      <c r="AN23" s="51"/>
      <c r="AO23" s="50">
        <f>SUM(AO25:AO35)</f>
        <v>3.3973482241938059E-2</v>
      </c>
      <c r="AP23" s="51"/>
      <c r="AQ23" s="50">
        <f>SUM(AQ25:AQ35)</f>
        <v>0.23463771413144033</v>
      </c>
      <c r="AR23" s="51"/>
      <c r="AS23" s="50">
        <f>SUM(AS25:AS35)</f>
        <v>0.72830266137355826</v>
      </c>
      <c r="BI23" s="1">
        <f t="shared" ref="BI23:BI30" si="12">BI15+1</f>
        <v>2</v>
      </c>
      <c r="BJ23" s="1">
        <v>3</v>
      </c>
      <c r="BK23" s="2">
        <f t="shared" ref="BK23:BK30" si="13">$H$27*H42</f>
        <v>6.7972969293695659E-2</v>
      </c>
      <c r="BQ23" s="1">
        <f>BM9+1</f>
        <v>6</v>
      </c>
      <c r="BR23" s="1">
        <v>5</v>
      </c>
      <c r="BS23" s="2">
        <f>$H$31*H44</f>
        <v>1.6765174534220635E-3</v>
      </c>
    </row>
    <row r="24" spans="1:71" ht="15.75" thickBot="1" x14ac:dyDescent="0.3">
      <c r="A24" s="67" t="s">
        <v>58</v>
      </c>
      <c r="B24" s="87">
        <f>B23/B21</f>
        <v>0.96881822052009503</v>
      </c>
      <c r="C24" s="86">
        <f>C23/B21</f>
        <v>3.1181779479904925E-2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4.8984405449135543E-2</v>
      </c>
      <c r="BQ24" s="1">
        <f>BI49+1</f>
        <v>7</v>
      </c>
      <c r="BR24" s="1">
        <v>0</v>
      </c>
      <c r="BS24" s="2">
        <f t="shared" ref="BS24:BS30" si="14">$H$32*H39</f>
        <v>1.5023756248149474E-4</v>
      </c>
    </row>
    <row r="25" spans="1:71" x14ac:dyDescent="0.25">
      <c r="A25" s="67" t="s">
        <v>32</v>
      </c>
      <c r="B25" s="77">
        <f>1/(1+EXP(-3.1416*4*((B11/(B11+C8))-(3.1416/6))))</f>
        <v>0.31718506293936138</v>
      </c>
      <c r="C25" s="73">
        <f>1/(1+EXP(-3.1416*4*((C11/(C11+B8))-(3.1416/6))))</f>
        <v>0.4437468418598246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6.7113193329157869E-2</v>
      </c>
      <c r="I25" s="36">
        <v>0</v>
      </c>
      <c r="J25" s="34">
        <f t="shared" ref="J25:J35" si="15">Y25+AA25+AC25+AE25+AG25+AI25+AK25+AM25+AO25+AQ25+AS25</f>
        <v>9.1784268497287685E-2</v>
      </c>
      <c r="K25" s="36">
        <v>0</v>
      </c>
      <c r="L25" s="34">
        <f>AB18</f>
        <v>0.73120584200266436</v>
      </c>
      <c r="M25" s="17">
        <v>0</v>
      </c>
      <c r="N25" s="32">
        <f>(1-$B$24)^$B$21</f>
        <v>2.9478438801248399E-8</v>
      </c>
      <c r="O25" s="16">
        <v>0</v>
      </c>
      <c r="P25" s="32">
        <f t="shared" ref="P25:P30" si="16">N25</f>
        <v>2.9478438801248399E-8</v>
      </c>
      <c r="Q25" s="10">
        <v>0</v>
      </c>
      <c r="R25" s="11">
        <f>P25*N25</f>
        <v>8.6897835415894714E-16</v>
      </c>
      <c r="S25" s="16">
        <v>0</v>
      </c>
      <c r="T25" s="15">
        <f>(1-$B$33)^(INT(C23*2*(1-C31)))</f>
        <v>1</v>
      </c>
      <c r="U25" s="24">
        <v>0</v>
      </c>
      <c r="V25" s="23">
        <f>R25*T25</f>
        <v>8.6897835415894714E-16</v>
      </c>
      <c r="W25" s="33">
        <f>B31</f>
        <v>0.21929458213211436</v>
      </c>
      <c r="X25" s="10">
        <v>0</v>
      </c>
      <c r="Y25" s="9">
        <f>V25</f>
        <v>8.6897835415894714E-16</v>
      </c>
      <c r="Z25" s="10">
        <v>0</v>
      </c>
      <c r="AA25" s="9">
        <f>((1-W25)^Z26)*V26</f>
        <v>2.1078736647400886E-13</v>
      </c>
      <c r="AB25" s="10">
        <v>0</v>
      </c>
      <c r="AC25" s="9">
        <f>(((1-$W$25)^AB27))*V27</f>
        <v>2.3008816066020714E-11</v>
      </c>
      <c r="AD25" s="10">
        <v>0</v>
      </c>
      <c r="AE25" s="9">
        <f>(((1-$W$25)^AB28))*V28</f>
        <v>1.488340610892926E-9</v>
      </c>
      <c r="AF25" s="10">
        <v>0</v>
      </c>
      <c r="AG25" s="9">
        <f>(((1-$W$25)^AB29))*V29</f>
        <v>6.3180458808598186E-8</v>
      </c>
      <c r="AH25" s="10">
        <v>0</v>
      </c>
      <c r="AI25" s="9">
        <f>(((1-$W$25)^AB30))*V30</f>
        <v>1.8391240221448301E-6</v>
      </c>
      <c r="AJ25" s="10">
        <v>0</v>
      </c>
      <c r="AK25" s="9">
        <f>(((1-$W$25)^AB31))*V31</f>
        <v>3.7177837859735626E-5</v>
      </c>
      <c r="AL25" s="10">
        <v>0</v>
      </c>
      <c r="AM25" s="9">
        <f>(((1-$W$25)^AB32))*V32</f>
        <v>5.1536310490047353E-4</v>
      </c>
      <c r="AN25" s="10">
        <v>0</v>
      </c>
      <c r="AO25" s="9">
        <f>(((1-$W$25)^AB33))*V33</f>
        <v>4.6885398307735578E-3</v>
      </c>
      <c r="AP25" s="10">
        <v>0</v>
      </c>
      <c r="AQ25" s="9">
        <f>(((1-$W$25)^AB34))*V34</f>
        <v>2.5280319495903834E-2</v>
      </c>
      <c r="AR25" s="10">
        <v>0</v>
      </c>
      <c r="AS25" s="9">
        <f>(((1-$W$25)^AB35))*V35</f>
        <v>6.1260964411808054E-2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2.7610058324868497E-2</v>
      </c>
      <c r="BQ25" s="1">
        <f>BQ19+1</f>
        <v>7</v>
      </c>
      <c r="BR25" s="1">
        <v>1</v>
      </c>
      <c r="BS25" s="2">
        <f t="shared" si="14"/>
        <v>5.5998374813594979E-4</v>
      </c>
    </row>
    <row r="26" spans="1:71" x14ac:dyDescent="0.25">
      <c r="A26" s="65" t="s">
        <v>31</v>
      </c>
      <c r="B26" s="74">
        <f>1/(1+EXP(-3.1416*4*((B10/(B10+C9))-(3.1416/6))))</f>
        <v>3.8364424623549026E-2</v>
      </c>
      <c r="C26" s="73">
        <f>1/(1+EXP(-3.1416*4*((C10/(C10+B9))-(3.1416/6))))</f>
        <v>0.92997549342924335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0.20266576703077027</v>
      </c>
      <c r="I26" s="24">
        <v>1</v>
      </c>
      <c r="J26" s="23">
        <f t="shared" si="15"/>
        <v>0.24760169606126237</v>
      </c>
      <c r="K26" s="24">
        <v>1</v>
      </c>
      <c r="L26" s="23">
        <f>AC18</f>
        <v>0.23553012662127359</v>
      </c>
      <c r="M26" s="17">
        <v>1</v>
      </c>
      <c r="N26" s="32">
        <f>(($B$24)^M26)*((1-($B$24))^($B$21-M26))*HLOOKUP($B$21,$AV$24:$BF$34,M26+1)</f>
        <v>4.5794770374700622E-6</v>
      </c>
      <c r="O26" s="16">
        <v>1</v>
      </c>
      <c r="P26" s="32">
        <f t="shared" si="16"/>
        <v>4.5794770374700622E-6</v>
      </c>
      <c r="Q26" s="10">
        <v>1</v>
      </c>
      <c r="R26" s="11">
        <f>N26*P25+P26*N25</f>
        <v>2.6999166718156711E-13</v>
      </c>
      <c r="S26" s="16">
        <v>1</v>
      </c>
      <c r="T26" s="15">
        <f t="shared" ref="T26:T35" si="17">(($B$33)^S26)*((1-($B$33))^(INT($C$23*2*(1-$C$31))-S26))*HLOOKUP(INT($C$23*2*(1-$C$31)),$AV$24:$BF$34,S26+1)</f>
        <v>5.0251256281407036E-3</v>
      </c>
      <c r="U26" s="24">
        <v>1</v>
      </c>
      <c r="V26" s="23">
        <f>R26*T25+T26*R25</f>
        <v>2.6999603390696491E-13</v>
      </c>
      <c r="W26" s="12"/>
      <c r="X26" s="10">
        <v>1</v>
      </c>
      <c r="Y26" s="11"/>
      <c r="Z26" s="10">
        <v>1</v>
      </c>
      <c r="AA26" s="9">
        <f>(1-((1-W25)^Z26))*V26</f>
        <v>5.920866743295606E-14</v>
      </c>
      <c r="AB26" s="10">
        <v>1</v>
      </c>
      <c r="AC26" s="9">
        <f>((($W$25)^M26)*((1-($W$25))^($U$27-M26))*HLOOKUP($U$27,$AV$24:$BF$34,M26+1))*V27</f>
        <v>1.2926024564636874E-11</v>
      </c>
      <c r="AD26" s="10">
        <v>1</v>
      </c>
      <c r="AE26" s="9">
        <f>((($W$25)^M26)*((1-($W$25))^($U$28-M26))*HLOOKUP($U$28,$AV$24:$BF$34,M26+1))*V28</f>
        <v>1.2541927782211921E-9</v>
      </c>
      <c r="AF26" s="10">
        <v>1</v>
      </c>
      <c r="AG26" s="9">
        <f>((($W$25)^M26)*((1-($W$25))^($U$29-M26))*HLOOKUP($U$29,$AV$24:$BF$34,M26+1))*V29</f>
        <v>7.0987760536799206E-8</v>
      </c>
      <c r="AH26" s="10">
        <v>1</v>
      </c>
      <c r="AI26" s="9">
        <f>((($W$25)^M26)*((1-($W$25))^($U$30-M26))*HLOOKUP($U$30,$AV$24:$BF$34,M26+1))*V30</f>
        <v>2.5829840852573272E-6</v>
      </c>
      <c r="AJ26" s="10">
        <v>1</v>
      </c>
      <c r="AK26" s="9">
        <f>((($W$25)^M26)*((1-($W$25))^($U$31-M26))*HLOOKUP($U$31,$AV$24:$BF$34,M26+1))*V31</f>
        <v>6.2657936513046413E-5</v>
      </c>
      <c r="AL26" s="10">
        <v>1</v>
      </c>
      <c r="AM26" s="9">
        <f>((($W$25)^Q26)*((1-($W$25))^($U$32-Q26))*HLOOKUP($U$32,$AV$24:$BF$34,Q26+1))*V32</f>
        <v>1.013332736064199E-3</v>
      </c>
      <c r="AN26" s="10">
        <v>1</v>
      </c>
      <c r="AO26" s="9">
        <f>((($W$25)^Q26)*((1-($W$25))^($U$33-Q26))*HLOOKUP($U$33,$AV$24:$BF$34,Q26+1))*V33</f>
        <v>1.0535819114023397E-2</v>
      </c>
      <c r="AP26" s="10">
        <v>1</v>
      </c>
      <c r="AQ26" s="9">
        <f>((($W$25)^Q26)*((1-($W$25))^($U$34-Q26))*HLOOKUP($U$34,$AV$24:$BF$34,Q26+1))*V34</f>
        <v>6.3909552512710438E-2</v>
      </c>
      <c r="AR26" s="10">
        <v>1</v>
      </c>
      <c r="AS26" s="9">
        <f>((($W$25)^Q26)*((1-($W$25))^($U$35-Q26))*HLOOKUP($U$35,$AV$24:$BF$34,Q26+1))*V35</f>
        <v>0.17207767852292746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1.2753912570167935E-2</v>
      </c>
      <c r="BQ26" s="1">
        <f>BQ20+1</f>
        <v>7</v>
      </c>
      <c r="BR26" s="1">
        <v>2</v>
      </c>
      <c r="BS26" s="2">
        <f t="shared" si="14"/>
        <v>9.3828234316393371E-4</v>
      </c>
    </row>
    <row r="27" spans="1:71" x14ac:dyDescent="0.25">
      <c r="A27" s="67" t="s">
        <v>30</v>
      </c>
      <c r="B27" s="74">
        <f>1/(1+EXP(-3.1416*4*((B12/(B12+C7))-(3.1416/6))))</f>
        <v>6.9112228535076231E-2</v>
      </c>
      <c r="C27" s="73">
        <f>1/(1+EXP(-3.1416*4*((C12/(C12+B7))-(3.1416/6))))</f>
        <v>0.49076838011642882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0.28079777376337689</v>
      </c>
      <c r="I27" s="24">
        <v>2</v>
      </c>
      <c r="J27" s="23">
        <f t="shared" si="15"/>
        <v>0.30057363760934042</v>
      </c>
      <c r="K27" s="24">
        <v>2</v>
      </c>
      <c r="L27" s="23">
        <f>AD18</f>
        <v>2.9404986395505768E-2</v>
      </c>
      <c r="M27" s="17">
        <v>2</v>
      </c>
      <c r="N27" s="32">
        <f>(($B$24)^M27)*((1-($B$24))^($B$21-M27))*HLOOKUP($B$21,$AV$24:$BF$34,M27+1)</f>
        <v>2.8456880064934025E-4</v>
      </c>
      <c r="O27" s="16">
        <v>2</v>
      </c>
      <c r="P27" s="32">
        <f t="shared" si="16"/>
        <v>2.8456880064934025E-4</v>
      </c>
      <c r="Q27" s="10">
        <v>2</v>
      </c>
      <c r="R27" s="11">
        <f>P25*N27+P26*N26+P27*N25</f>
        <v>3.7748897886088043E-11</v>
      </c>
      <c r="S27" s="16">
        <v>2</v>
      </c>
      <c r="T27" s="15">
        <f t="shared" si="17"/>
        <v>5.0503775157192999E-5</v>
      </c>
      <c r="U27" s="24">
        <v>2</v>
      </c>
      <c r="V27" s="23">
        <f>R27*T25+T26*R26+R25*T27</f>
        <v>3.7750254672020868E-11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1.8154140413632771E-12</v>
      </c>
      <c r="AD27" s="10">
        <v>2</v>
      </c>
      <c r="AE27" s="9">
        <f>((($W$25)^M27)*((1-($W$25))^($U$28-M27))*HLOOKUP($U$28,$AV$24:$BF$34,M27+1))*V28</f>
        <v>3.522938036785534E-10</v>
      </c>
      <c r="AF27" s="10">
        <v>2</v>
      </c>
      <c r="AG27" s="9">
        <f>((($W$25)^M27)*((1-($W$25))^($U$29-M27))*HLOOKUP($U$29,$AV$24:$BF$34,M27+1))*V29</f>
        <v>2.9909933235623453E-8</v>
      </c>
      <c r="AH27" s="10">
        <v>2</v>
      </c>
      <c r="AI27" s="9">
        <f>((($W$25)^M27)*((1-($W$25))^($U$30-M27))*HLOOKUP($U$30,$AV$24:$BF$34,M27+1))*V30</f>
        <v>1.451083603793465E-6</v>
      </c>
      <c r="AJ27" s="10">
        <v>2</v>
      </c>
      <c r="AK27" s="9">
        <f>((($W$25)^M27)*((1-($W$25))^($U$31-M27))*HLOOKUP($U$31,$AV$24:$BF$34,M27+1))*V31</f>
        <v>4.4000418372958902E-5</v>
      </c>
      <c r="AL27" s="10">
        <v>2</v>
      </c>
      <c r="AM27" s="9">
        <f>((($W$25)^Q27)*((1-($W$25))^($U$32-Q27))*HLOOKUP($U$32,$AV$24:$BF$34,Q27+1))*V32</f>
        <v>8.5391380857662556E-4</v>
      </c>
      <c r="AN27" s="10">
        <v>2</v>
      </c>
      <c r="AO27" s="9">
        <f>((($W$25)^Q27)*((1-($W$25))^($U$33-Q27))*HLOOKUP($U$33,$AV$24:$BF$34,Q27+1))*V33</f>
        <v>1.0358027483896632E-2</v>
      </c>
      <c r="AP27" s="10">
        <v>2</v>
      </c>
      <c r="AQ27" s="9">
        <f>((($W$25)^Q27)*((1-($W$25))^($U$34-Q27))*HLOOKUP($U$34,$AV$24:$BF$34,Q27+1))*V34</f>
        <v>7.1806949416595128E-2</v>
      </c>
      <c r="AR27" s="10">
        <v>2</v>
      </c>
      <c r="AS27" s="9">
        <f>((($W$25)^Q27)*((1-($W$25))^($U$35-Q27))*HLOOKUP($U$35,$AV$24:$BF$34,Q27+1))*V35</f>
        <v>0.21750926513425284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4.7289504466547757E-3</v>
      </c>
      <c r="BQ27" s="1">
        <f>BQ21+1</f>
        <v>7</v>
      </c>
      <c r="BR27" s="1">
        <v>3</v>
      </c>
      <c r="BS27" s="2">
        <f t="shared" si="14"/>
        <v>9.5677152161823171E-4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0.23653326698247787</v>
      </c>
      <c r="I28" s="24">
        <v>3</v>
      </c>
      <c r="J28" s="23">
        <f t="shared" si="15"/>
        <v>0.21622392334761048</v>
      </c>
      <c r="K28" s="24">
        <v>3</v>
      </c>
      <c r="L28" s="23">
        <f>AE18</f>
        <v>3.859044980556274E-3</v>
      </c>
      <c r="M28" s="17">
        <v>3</v>
      </c>
      <c r="N28" s="32">
        <f>(($B$24)^M28)*((1-($B$24))^($B$21-M28))*HLOOKUP($B$21,$AV$24:$BF$34,M28+1)</f>
        <v>8.8415556667733718E-3</v>
      </c>
      <c r="O28" s="16">
        <v>3</v>
      </c>
      <c r="P28" s="32">
        <f t="shared" si="16"/>
        <v>8.8415556667733718E-3</v>
      </c>
      <c r="Q28" s="10">
        <v>3</v>
      </c>
      <c r="R28" s="11">
        <f>P25*N28+P26*N27+P27*N26+P28*N25</f>
        <v>3.1276230915697182E-9</v>
      </c>
      <c r="S28" s="16">
        <v>3</v>
      </c>
      <c r="T28" s="15">
        <f t="shared" si="17"/>
        <v>3.8068172229039952E-7</v>
      </c>
      <c r="U28" s="24">
        <v>3</v>
      </c>
      <c r="V28" s="23">
        <f>R28*T25+R27*T26+R26*T27+R25*T28</f>
        <v>3.1278127981598489E-9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3.2985605367177095E-11</v>
      </c>
      <c r="AF28" s="10">
        <v>3</v>
      </c>
      <c r="AG28" s="9">
        <f>((($W$25)^M28)*((1-($W$25))^($U$29-M28))*HLOOKUP($U$29,$AV$24:$BF$34,M28+1))*V29</f>
        <v>5.6009912406469651E-9</v>
      </c>
      <c r="AH28" s="10">
        <v>3</v>
      </c>
      <c r="AI28" s="9">
        <f>((($W$25)^M28)*((1-($W$25))^($U$30-M28))*HLOOKUP($U$30,$AV$24:$BF$34,M28+1))*V30</f>
        <v>4.0759903191359714E-7</v>
      </c>
      <c r="AJ28" s="10">
        <v>3</v>
      </c>
      <c r="AK28" s="9">
        <f>((($W$25)^M28)*((1-($W$25))^($U$31-M28))*HLOOKUP($U$31,$AV$24:$BF$34,M28+1))*V31</f>
        <v>1.6479204814688219E-5</v>
      </c>
      <c r="AL28" s="10">
        <v>3</v>
      </c>
      <c r="AM28" s="9">
        <f>((($W$25)^Q28)*((1-($W$25))^($U$32-Q28))*HLOOKUP($U$32,$AV$24:$BF$34,Q28+1))*V32</f>
        <v>3.9976382799216531E-4</v>
      </c>
      <c r="AN28" s="10">
        <v>3</v>
      </c>
      <c r="AO28" s="9">
        <f>((($W$25)^Q28)*((1-($W$25))^($U$33-Q28))*HLOOKUP($U$33,$AV$24:$BF$34,Q28+1))*V33</f>
        <v>5.8189920469552941E-3</v>
      </c>
      <c r="AP28" s="10">
        <v>3</v>
      </c>
      <c r="AQ28" s="9">
        <f>((($W$25)^Q28)*((1-($W$25))^($U$34-Q28))*HLOOKUP($U$34,$AV$24:$BF$34,Q28+1))*V34</f>
        <v>4.7063472872389697E-2</v>
      </c>
      <c r="AR28" s="10">
        <v>3</v>
      </c>
      <c r="AS28" s="9">
        <f>((($W$25)^Q28)*((1-($W$25))^($U$35-Q28))*HLOOKUP($U$35,$AV$24:$BF$34,Q28+1))*V35</f>
        <v>0.16292480216244987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1.3267237761644174E-3</v>
      </c>
      <c r="BQ28" s="1">
        <f>BQ22+1</f>
        <v>7</v>
      </c>
      <c r="BR28" s="1">
        <v>4</v>
      </c>
      <c r="BS28" s="2">
        <f t="shared" si="14"/>
        <v>6.894929649848417E-4</v>
      </c>
    </row>
    <row r="29" spans="1:71" x14ac:dyDescent="0.25">
      <c r="A29" s="67" t="s">
        <v>28</v>
      </c>
      <c r="B29" s="74">
        <f>1/(1+EXP(-3.1416*4*((B14/(B14+C13))-(3.1416/6))))</f>
        <v>2.2156175515639646E-2</v>
      </c>
      <c r="C29" s="73">
        <f>1/(1+EXP(-3.1416*4*((C14/(C14+B13))-(3.1416/6))))</f>
        <v>0.6458925956223811</v>
      </c>
      <c r="D29" s="8">
        <v>0.04</v>
      </c>
      <c r="E29" s="8">
        <v>0.04</v>
      </c>
      <c r="G29" s="62">
        <v>4</v>
      </c>
      <c r="H29" s="61">
        <f>J29*L25+J28*L26+J27*L27+J26*L28</f>
        <v>0.13535996175588649</v>
      </c>
      <c r="I29" s="24">
        <v>4</v>
      </c>
      <c r="J29" s="23">
        <f t="shared" si="15"/>
        <v>0.10207637797277133</v>
      </c>
      <c r="K29" s="24">
        <v>4</v>
      </c>
      <c r="L29" s="23"/>
      <c r="M29" s="17">
        <v>4</v>
      </c>
      <c r="N29" s="32">
        <f>(($B$24)^M29)*((1-($B$24))^($B$21-M29))*HLOOKUP($B$21,$AV$24:$BF$34,M29+1)</f>
        <v>0.13735361436368621</v>
      </c>
      <c r="O29" s="16">
        <v>4</v>
      </c>
      <c r="P29" s="32">
        <f t="shared" si="16"/>
        <v>0.13735361436368621</v>
      </c>
      <c r="Q29" s="10">
        <v>4</v>
      </c>
      <c r="R29" s="11">
        <f>P25*N29+P26*N28+P27*N27+P28*N26+P29*N25</f>
        <v>1.7005674483630826E-7</v>
      </c>
      <c r="S29" s="16">
        <v>4</v>
      </c>
      <c r="T29" s="15">
        <f t="shared" si="17"/>
        <v>2.5506313051283046E-9</v>
      </c>
      <c r="U29" s="24">
        <v>4</v>
      </c>
      <c r="V29" s="23">
        <f>T29*R25+T28*R26+T27*R27+T26*R28+T25*R29</f>
        <v>1.7007246344182552E-7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3.933196201576642E-10</v>
      </c>
      <c r="AH29" s="10">
        <v>4</v>
      </c>
      <c r="AI29" s="9">
        <f>((($W$25)^M29)*((1-($W$25))^($U$30-M29))*HLOOKUP($U$30,$AV$24:$BF$34,M29+1))*V30</f>
        <v>5.7245830075738398E-8</v>
      </c>
      <c r="AJ29" s="10">
        <v>4</v>
      </c>
      <c r="AK29" s="9">
        <f>((($W$25)^M29)*((1-($W$25))^($U$31-M29))*HLOOKUP($U$31,$AV$24:$BF$34,M29+1))*V31</f>
        <v>3.4716682992695611E-6</v>
      </c>
      <c r="AL29" s="10">
        <v>4</v>
      </c>
      <c r="AM29" s="9">
        <f>((($W$25)^Q29)*((1-($W$25))^($U$32-Q29))*HLOOKUP($U$32,$AV$24:$BF$34,Q29+1))*V32</f>
        <v>1.1229080726824361E-4</v>
      </c>
      <c r="AN29" s="10">
        <v>4</v>
      </c>
      <c r="AO29" s="9">
        <f>((($W$25)^Q29)*((1-($W$25))^($U$33-Q29))*HLOOKUP($U$33,$AV$24:$BF$34,Q29+1))*V33</f>
        <v>2.0431416898132452E-3</v>
      </c>
      <c r="AP29" s="10">
        <v>4</v>
      </c>
      <c r="AQ29" s="9">
        <f>((($W$25)^Q29)*((1-($W$25))^($U$34-Q29))*HLOOKUP($U$34,$AV$24:$BF$34,Q29+1))*V34</f>
        <v>1.9829690650968412E-2</v>
      </c>
      <c r="AR29" s="10">
        <v>4</v>
      </c>
      <c r="AS29" s="9">
        <f>((($W$25)^Q29)*((1-($W$25))^($U$35-Q29))*HLOOKUP($U$35,$AV$24:$BF$34,Q29+1))*V35</f>
        <v>8.0087725517272459E-2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2.6500350762653167E-4</v>
      </c>
      <c r="BQ29" s="1">
        <f>BQ23+1</f>
        <v>7</v>
      </c>
      <c r="BR29" s="1">
        <v>5</v>
      </c>
      <c r="BS29" s="2">
        <f t="shared" si="14"/>
        <v>3.8863268428531973E-4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5.5721830287454949E-2</v>
      </c>
      <c r="I30" s="24">
        <v>5</v>
      </c>
      <c r="J30" s="23">
        <f t="shared" si="15"/>
        <v>3.3043744946550713E-2</v>
      </c>
      <c r="K30" s="24">
        <v>5</v>
      </c>
      <c r="L30" s="23"/>
      <c r="M30" s="17">
        <v>5</v>
      </c>
      <c r="N30" s="32">
        <f>(($B$24)^M30)*((1-($B$24))^($B$21-M30))*HLOOKUP($B$21,$AV$24:$BF$34,M30+1)</f>
        <v>0.85351565221341485</v>
      </c>
      <c r="O30" s="16">
        <v>5</v>
      </c>
      <c r="P30" s="32">
        <f t="shared" si="16"/>
        <v>0.85351565221341485</v>
      </c>
      <c r="Q30" s="10">
        <v>5</v>
      </c>
      <c r="R30" s="11">
        <f>P25*N30+P26*N29+P27*N28+P28*N27+P29*N26+P30*N25</f>
        <v>6.340397847759552E-6</v>
      </c>
      <c r="S30" s="16">
        <v>5</v>
      </c>
      <c r="T30" s="15">
        <f t="shared" si="17"/>
        <v>1.6021553424172769E-11</v>
      </c>
      <c r="U30" s="24">
        <v>5</v>
      </c>
      <c r="V30" s="23">
        <f>T30*R25+T29*R26+T28*R27+T27*R28+T26*R29+T25*R30</f>
        <v>6.3412525622374117E-6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3.2159890524519117E-9</v>
      </c>
      <c r="AJ30" s="10">
        <v>5</v>
      </c>
      <c r="AK30" s="9">
        <f>((($W$25)^M30)*((1-($W$25))^($U$31-M30))*HLOOKUP($U$31,$AV$24:$BF$34,M30+1))*V31</f>
        <v>3.9006674300726335E-7</v>
      </c>
      <c r="AL30" s="10">
        <v>5</v>
      </c>
      <c r="AM30" s="9">
        <f>((($W$25)^Q30)*((1-($W$25))^($U$32-Q30))*HLOOKUP($U$32,$AV$24:$BF$34,Q30+1))*V32</f>
        <v>1.8925011990631059E-5</v>
      </c>
      <c r="AN30" s="10">
        <v>5</v>
      </c>
      <c r="AO30" s="9">
        <f>((($W$25)^Q30)*((1-($W$25))^($U$33-Q30))*HLOOKUP($U$33,$AV$24:$BF$34,Q30+1))*V33</f>
        <v>4.5912313950931862E-4</v>
      </c>
      <c r="AP30" s="10">
        <v>5</v>
      </c>
      <c r="AQ30" s="9">
        <f>((($W$25)^Q30)*((1-($W$25))^($U$34-Q30))*HLOOKUP($U$34,$AV$24:$BF$34,Q30+1))*V34</f>
        <v>5.5700186339030788E-3</v>
      </c>
      <c r="AR30" s="10">
        <v>5</v>
      </c>
      <c r="AS30" s="9">
        <f>((($W$25)^Q30)*((1-($W$25))^($U$35-Q30))*HLOOKUP($U$35,$AV$24:$BF$34,Q30+1))*V35</f>
        <v>2.6995284878415626E-2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3.5889810163229887E-5</v>
      </c>
      <c r="BQ30" s="1">
        <f>BM10+1</f>
        <v>7</v>
      </c>
      <c r="BR30" s="1">
        <v>6</v>
      </c>
      <c r="BS30" s="2">
        <f t="shared" si="14"/>
        <v>1.7952107231951144E-4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0.21929458213211436</v>
      </c>
      <c r="C31" s="68">
        <f>(C25*E25)+(C26*E26)+(C27*E27)+(C28*E28)+(C29*E29)+(C30*E30)/(C25+C26+C27+C28+C29+C30)</f>
        <v>0.62725787269089261</v>
      </c>
      <c r="G31" s="62">
        <v>6</v>
      </c>
      <c r="H31" s="61">
        <f>J31*L25+J30*L26+J29*L27+J28*L28</f>
        <v>1.7050393847677741E-2</v>
      </c>
      <c r="I31" s="24">
        <v>6</v>
      </c>
      <c r="J31" s="23">
        <f t="shared" si="15"/>
        <v>7.4283105422633727E-3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1.641635238781699E-4</v>
      </c>
      <c r="S31" s="16">
        <v>6</v>
      </c>
      <c r="T31" s="15">
        <f t="shared" si="17"/>
        <v>9.6612382457323207E-14</v>
      </c>
      <c r="U31" s="24">
        <v>6</v>
      </c>
      <c r="V31" s="23">
        <f>T31*R25+T30*R26+T29*R27+T28*R28+T27*R29+T26*R30+T25*R31</f>
        <v>1.641953937635856E-4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1.8261160879567514E-8</v>
      </c>
      <c r="AL31" s="10">
        <v>6</v>
      </c>
      <c r="AM31" s="9">
        <f>((($W$25)^Q31)*((1-($W$25))^($U$32-Q31))*HLOOKUP($U$32,$AV$24:$BF$34,Q31+1))*V32</f>
        <v>1.7719669508057639E-6</v>
      </c>
      <c r="AN31" s="10">
        <v>6</v>
      </c>
      <c r="AO31" s="9">
        <f>((($W$25)^Q31)*((1-($W$25))^($U$33-Q31))*HLOOKUP($U$33,$AV$24:$BF$34,Q31+1))*V33</f>
        <v>6.4482207194646691E-5</v>
      </c>
      <c r="AP31" s="10">
        <v>6</v>
      </c>
      <c r="AQ31" s="9">
        <f>((($W$25)^Q31)*((1-($W$25))^($U$34-Q31))*HLOOKUP($U$34,$AV$24:$BF$34,Q31+1))*V34</f>
        <v>1.0430523309083953E-3</v>
      </c>
      <c r="AR31" s="10">
        <v>6</v>
      </c>
      <c r="AS31" s="9">
        <f>((($W$25)^Q31)*((1-($W$25))^($U$35-Q31))*HLOOKUP($U$35,$AV$24:$BF$34,Q31+1))*V35</f>
        <v>6.3189857760486455E-3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4.1262583021195891E-2</v>
      </c>
      <c r="BQ31" s="1">
        <f t="shared" ref="BQ31:BQ37" si="21">BQ24+1</f>
        <v>8</v>
      </c>
      <c r="BR31" s="1">
        <v>0</v>
      </c>
      <c r="BS31" s="2">
        <f t="shared" ref="BS31:BS38" si="22">$H$33*H39</f>
        <v>2.6621077293976976E-5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3.9524433912807699E-3</v>
      </c>
      <c r="I32" s="24">
        <v>7</v>
      </c>
      <c r="J32" s="23">
        <f t="shared" si="15"/>
        <v>1.1450732692822373E-3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2.9146071058297304E-3</v>
      </c>
      <c r="S32" s="16">
        <v>7</v>
      </c>
      <c r="T32" s="15">
        <f t="shared" si="17"/>
        <v>5.6640425226236405E-16</v>
      </c>
      <c r="U32" s="24">
        <v>7</v>
      </c>
      <c r="V32" s="23">
        <f>T32*R25+T31*R26+T30*R27+T29*R28+T28*R29+T27*R30+T26*R31+T25*R32</f>
        <v>2.9154323684395492E-3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7.1104696403943113E-8</v>
      </c>
      <c r="AN32" s="10">
        <v>7</v>
      </c>
      <c r="AO32" s="9">
        <f>((($W$25)^Q32)*((1-($W$25))^($U$33-Q32))*HLOOKUP($U$33,$AV$24:$BF$34,Q32+1))*V33</f>
        <v>5.175026276812427E-6</v>
      </c>
      <c r="AP32" s="10">
        <v>7</v>
      </c>
      <c r="AQ32" s="9">
        <f>((($W$25)^Q32)*((1-($W$25))^($U$34-Q32))*HLOOKUP($U$34,$AV$24:$BF$34,Q32+1))*V34</f>
        <v>1.2556541072440651E-4</v>
      </c>
      <c r="AR32" s="10">
        <v>7</v>
      </c>
      <c r="AS32" s="9">
        <f>((($W$25)^Q32)*((1-($W$25))^($U$35-Q32))*HLOOKUP($U$35,$AV$24:$BF$34,Q32+1))*V35</f>
        <v>1.0142617275846143E-3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2.3257653398139844E-2</v>
      </c>
      <c r="BQ32" s="1">
        <f t="shared" si="21"/>
        <v>8</v>
      </c>
      <c r="BR32" s="1">
        <v>1</v>
      </c>
      <c r="BS32" s="2">
        <f t="shared" si="22"/>
        <v>9.9225322857153297E-5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0.48399999999999999</v>
      </c>
      <c r="G33" s="62">
        <v>8</v>
      </c>
      <c r="H33" s="61">
        <f>J33*L25+J32*L26+J31*L27+J30*L28</f>
        <v>7.0034616697348215E-4</v>
      </c>
      <c r="I33" s="24">
        <v>8</v>
      </c>
      <c r="J33" s="23">
        <f t="shared" si="15"/>
        <v>1.1583639174053207E-4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3.3958827681782801E-2</v>
      </c>
      <c r="S33" s="16">
        <v>8</v>
      </c>
      <c r="T33" s="15">
        <f t="shared" si="17"/>
        <v>3.2528600273502595E-18</v>
      </c>
      <c r="U33" s="24">
        <v>8</v>
      </c>
      <c r="V33" s="23">
        <f>T33*R25+T32*R26+T31*R27+T30*R28+T29*R29+T28*R30+T27*R31+T26*R32+T25*R33</f>
        <v>3.3973482241938073E-2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1.8170349515371522E-7</v>
      </c>
      <c r="AP33" s="10">
        <v>8</v>
      </c>
      <c r="AQ33" s="9">
        <f>((($W$25)^Q33)*((1-($W$25))^($U$34-Q33))*HLOOKUP($U$34,$AV$24:$BF$34,Q33+1))*V34</f>
        <v>8.8176070143898252E-6</v>
      </c>
      <c r="AR33" s="10">
        <v>8</v>
      </c>
      <c r="AS33" s="9">
        <f>((($W$25)^Q33)*((1-($W$25))^($U$35-Q33))*HLOOKUP($U$35,$AV$24:$BF$34,Q33+1))*V35</f>
        <v>1.0683708123098854E-4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1.0743406425910096E-2</v>
      </c>
      <c r="BQ33" s="1">
        <f t="shared" si="21"/>
        <v>8</v>
      </c>
      <c r="BR33" s="1">
        <v>2</v>
      </c>
      <c r="BS33" s="2">
        <f t="shared" si="22"/>
        <v>1.6625726861095437E-4</v>
      </c>
    </row>
    <row r="34" spans="1:71" x14ac:dyDescent="0.25">
      <c r="A34" s="65" t="s">
        <v>23</v>
      </c>
      <c r="B34" s="64">
        <f>B23*2</f>
        <v>9.6881822052009507</v>
      </c>
      <c r="C34" s="63">
        <f>C23*2</f>
        <v>0.31181779479904925</v>
      </c>
      <c r="G34" s="62">
        <v>9</v>
      </c>
      <c r="H34" s="61">
        <f>J34*L25+J33*L26+J32*L27+J31*L28</f>
        <v>9.4697530293533862E-5</v>
      </c>
      <c r="I34" s="24">
        <v>9</v>
      </c>
      <c r="J34" s="23">
        <f t="shared" si="15"/>
        <v>6.9440389704656772E-6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0.23446691949498299</v>
      </c>
      <c r="S34" s="16">
        <v>9</v>
      </c>
      <c r="T34" s="15">
        <f t="shared" si="17"/>
        <v>1.8389284074216291E-20</v>
      </c>
      <c r="U34" s="24">
        <v>9</v>
      </c>
      <c r="V34" s="23">
        <f>T34*R25+T33*R26+T32*R27+T31*R28+T30*R29+T29*R30+T28*R31+T27*R32+T26*R33+T25*R34</f>
        <v>0.23463771413144049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2.7520032259295909E-7</v>
      </c>
      <c r="AR34" s="10">
        <v>9</v>
      </c>
      <c r="AS34" s="9">
        <f>((($W$25)^Q34)*((1-($W$25))^($U$35-Q34))*HLOOKUP($U$35,$AV$24:$BF$34,Q34+1))*V35</f>
        <v>6.6688386478727181E-6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3.9834863487489295E-3</v>
      </c>
      <c r="BQ34" s="1">
        <f t="shared" si="21"/>
        <v>8</v>
      </c>
      <c r="BR34" s="1">
        <v>3</v>
      </c>
      <c r="BS34" s="2">
        <f t="shared" si="22"/>
        <v>1.6953342565586535E-4</v>
      </c>
    </row>
    <row r="35" spans="1:71" ht="15.75" thickBot="1" x14ac:dyDescent="0.3">
      <c r="G35" s="60">
        <v>10</v>
      </c>
      <c r="H35" s="59">
        <f>J35*L25+J34*L26+J33*L27+J32*L28</f>
        <v>9.5975587667785774E-6</v>
      </c>
      <c r="I35" s="14">
        <v>10</v>
      </c>
      <c r="J35" s="13">
        <f t="shared" si="15"/>
        <v>1.8732291990308987E-7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0.72848896857329093</v>
      </c>
      <c r="S35" s="16">
        <v>10</v>
      </c>
      <c r="T35" s="15">
        <f t="shared" si="17"/>
        <v>1.0267606964944888E-22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0.7283026613735587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1.8732291990308987E-7</v>
      </c>
      <c r="BI35" s="1">
        <f t="shared" si="19"/>
        <v>3</v>
      </c>
      <c r="BJ35" s="1">
        <v>8</v>
      </c>
      <c r="BK35" s="2">
        <f t="shared" si="20"/>
        <v>1.1175811864660467E-3</v>
      </c>
      <c r="BQ35" s="1">
        <f t="shared" si="21"/>
        <v>8</v>
      </c>
      <c r="BR35" s="1">
        <v>4</v>
      </c>
      <c r="BS35" s="2">
        <f t="shared" si="22"/>
        <v>1.221734778662672E-4</v>
      </c>
    </row>
    <row r="36" spans="1:71" ht="15.75" x14ac:dyDescent="0.25">
      <c r="A36" s="58" t="s">
        <v>22</v>
      </c>
      <c r="B36" s="48">
        <f>SUM(BO4:BO14)</f>
        <v>0.18511861381556796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0.99999999999999978</v>
      </c>
      <c r="BI36" s="1">
        <f t="shared" si="19"/>
        <v>3</v>
      </c>
      <c r="BJ36" s="1">
        <v>9</v>
      </c>
      <c r="BK36" s="2">
        <f t="shared" si="20"/>
        <v>2.2322878340745185E-4</v>
      </c>
      <c r="BQ36" s="1">
        <f t="shared" si="21"/>
        <v>8</v>
      </c>
      <c r="BR36" s="1">
        <v>5</v>
      </c>
      <c r="BS36" s="2">
        <f t="shared" si="22"/>
        <v>6.8863076293583885E-5</v>
      </c>
    </row>
    <row r="37" spans="1:71" ht="16.5" thickBot="1" x14ac:dyDescent="0.3">
      <c r="A37" s="55" t="s">
        <v>21</v>
      </c>
      <c r="B37" s="48">
        <f>SUM(BK4:BK59)</f>
        <v>0.50247528581560907</v>
      </c>
      <c r="G37" s="4"/>
      <c r="H37" s="50">
        <f>SUM(H39:H49)</f>
        <v>0.99998786945271367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0.99999999999999978</v>
      </c>
      <c r="O37" s="53"/>
      <c r="P37" s="54">
        <f>SUM(P39:P49)</f>
        <v>0.99999999999999978</v>
      </c>
      <c r="Q37" s="53"/>
      <c r="R37" s="50">
        <f>SUM(R39:R49)</f>
        <v>0.99999999999999956</v>
      </c>
      <c r="S37" s="53"/>
      <c r="T37" s="50">
        <f>SUM(T39:T49)</f>
        <v>1</v>
      </c>
      <c r="U37" s="53"/>
      <c r="V37" s="52">
        <f>SUM(V39:V48)</f>
        <v>0.99997186506410807</v>
      </c>
      <c r="W37" s="4"/>
      <c r="X37" s="4"/>
      <c r="Y37" s="50">
        <f>SUM(Y39:Y49)</f>
        <v>7.0953020955397588E-3</v>
      </c>
      <c r="Z37" s="51"/>
      <c r="AA37" s="50">
        <f>SUM(AA39:AA49)</f>
        <v>4.8870633241205171E-2</v>
      </c>
      <c r="AB37" s="51"/>
      <c r="AC37" s="50">
        <f>SUM(AC39:AC49)</f>
        <v>0.14641855156529768</v>
      </c>
      <c r="AD37" s="51"/>
      <c r="AE37" s="50">
        <f>SUM(AE39:AE49)</f>
        <v>0.24933264531555613</v>
      </c>
      <c r="AF37" s="51"/>
      <c r="AG37" s="50">
        <f>SUM(AG39:AG49)</f>
        <v>0.26448974196084346</v>
      </c>
      <c r="AH37" s="51"/>
      <c r="AI37" s="50">
        <f>SUM(AI39:AI49)</f>
        <v>0.18014376624559203</v>
      </c>
      <c r="AJ37" s="51"/>
      <c r="AK37" s="50">
        <f>SUM(AK39:AK49)</f>
        <v>7.8456044518733906E-2</v>
      </c>
      <c r="AL37" s="51"/>
      <c r="AM37" s="50">
        <f>SUM(AM39:AM49)</f>
        <v>2.1278893682128246E-2</v>
      </c>
      <c r="AN37" s="51"/>
      <c r="AO37" s="50">
        <f>SUM(AO39:AO49)</f>
        <v>3.5135680275986923E-3</v>
      </c>
      <c r="AP37" s="51"/>
      <c r="AQ37" s="50">
        <f>SUM(AQ39:AQ49)</f>
        <v>3.727184116127412E-4</v>
      </c>
      <c r="AR37" s="51"/>
      <c r="AS37" s="50">
        <f>SUM(AS39:AS49)</f>
        <v>2.8134935891932496E-5</v>
      </c>
      <c r="BI37" s="1">
        <f t="shared" si="19"/>
        <v>3</v>
      </c>
      <c r="BJ37" s="1">
        <v>10</v>
      </c>
      <c r="BK37" s="2">
        <f t="shared" si="20"/>
        <v>3.0232198551699839E-5</v>
      </c>
      <c r="BQ37" s="1">
        <f t="shared" si="21"/>
        <v>8</v>
      </c>
      <c r="BR37" s="1">
        <v>6</v>
      </c>
      <c r="BS37" s="2">
        <f t="shared" si="22"/>
        <v>3.1809916662512389E-5</v>
      </c>
    </row>
    <row r="38" spans="1:71" ht="16.5" thickBot="1" x14ac:dyDescent="0.3">
      <c r="A38" s="49" t="s">
        <v>20</v>
      </c>
      <c r="B38" s="48">
        <f>SUM(BS4:BS47)</f>
        <v>0.31238364525884516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1.3309565773414378E-2</v>
      </c>
      <c r="BQ38" s="1">
        <f>BM11+1</f>
        <v>8</v>
      </c>
      <c r="BR38" s="1">
        <v>7</v>
      </c>
      <c r="BS38" s="2">
        <f t="shared" si="22"/>
        <v>1.1794617438502515E-5</v>
      </c>
    </row>
    <row r="39" spans="1:71" x14ac:dyDescent="0.25">
      <c r="G39" s="38">
        <v>0</v>
      </c>
      <c r="H39" s="37">
        <f>L39*J39</f>
        <v>3.8011312904044144E-2</v>
      </c>
      <c r="I39" s="36">
        <v>0</v>
      </c>
      <c r="J39" s="34">
        <f t="shared" ref="J39:J49" si="26">Y39+AA39+AC39+AE39+AG39+AI39+AK39+AM39+AO39+AQ39+AS39</f>
        <v>6.5201455624009738E-2</v>
      </c>
      <c r="K39" s="35">
        <v>0</v>
      </c>
      <c r="L39" s="34">
        <f>AH18</f>
        <v>0.58298258129756975</v>
      </c>
      <c r="M39" s="17">
        <v>0</v>
      </c>
      <c r="N39" s="32">
        <f>(1-$C$24)^$B$21</f>
        <v>0.85351565221341485</v>
      </c>
      <c r="O39" s="16">
        <v>0</v>
      </c>
      <c r="P39" s="32">
        <f t="shared" ref="P39:P44" si="27">N39</f>
        <v>0.85351565221341485</v>
      </c>
      <c r="Q39" s="10">
        <v>0</v>
      </c>
      <c r="R39" s="11">
        <f>P39*N39</f>
        <v>0.72848896857329093</v>
      </c>
      <c r="S39" s="16">
        <v>0</v>
      </c>
      <c r="T39" s="15">
        <f>(1-$C$33)^(INT(B23*2*(1-B31)))</f>
        <v>9.7397522840126892E-3</v>
      </c>
      <c r="U39" s="24">
        <v>0</v>
      </c>
      <c r="V39" s="23">
        <f>R39*T39</f>
        <v>7.0953020955397588E-3</v>
      </c>
      <c r="W39" s="33">
        <f>C31</f>
        <v>0.62725787269089261</v>
      </c>
      <c r="X39" s="10">
        <v>0</v>
      </c>
      <c r="Y39" s="9">
        <f>V39</f>
        <v>7.0953020955397588E-3</v>
      </c>
      <c r="Z39" s="10">
        <v>0</v>
      </c>
      <c r="AA39" s="9">
        <f>((1-W39)^Z40)*V40</f>
        <v>1.8216143797269994E-2</v>
      </c>
      <c r="AB39" s="10">
        <v>0</v>
      </c>
      <c r="AC39" s="9">
        <f>(((1-$W$39)^AB41))*V41</f>
        <v>2.0342909417283683E-2</v>
      </c>
      <c r="AD39" s="10">
        <v>0</v>
      </c>
      <c r="AE39" s="9">
        <f>(((1-$W$39)^AB42))*V42</f>
        <v>1.2912329001526135E-2</v>
      </c>
      <c r="AF39" s="10">
        <v>0</v>
      </c>
      <c r="AG39" s="9">
        <f>(((1-$W$39)^AB43))*V43</f>
        <v>5.1055525525689621E-3</v>
      </c>
      <c r="AH39" s="10">
        <v>0</v>
      </c>
      <c r="AI39" s="9">
        <f>(((1-$W$39)^AB44))*V44</f>
        <v>1.2961690157727304E-3</v>
      </c>
      <c r="AJ39" s="10">
        <v>0</v>
      </c>
      <c r="AK39" s="9">
        <f>(((1-$W$39)^AB45))*V45</f>
        <v>2.1041528546034046E-4</v>
      </c>
      <c r="AL39" s="10">
        <v>0</v>
      </c>
      <c r="AM39" s="9">
        <f>(((1-$W$39)^AB46))*V46</f>
        <v>2.1272003757887775E-5</v>
      </c>
      <c r="AN39" s="10">
        <v>0</v>
      </c>
      <c r="AO39" s="9">
        <f>(((1-$W$39)^AB47))*V47</f>
        <v>1.3092307659942293E-6</v>
      </c>
      <c r="AP39" s="10">
        <v>0</v>
      </c>
      <c r="AQ39" s="9">
        <f>(((1-$W$39)^AB48))*V48</f>
        <v>5.176749640239964E-8</v>
      </c>
      <c r="AR39" s="10">
        <v>0</v>
      </c>
      <c r="AS39" s="9">
        <f>(((1-$W$39)^AB49))*V49</f>
        <v>1.4565678666139207E-9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6.1480869117952171E-3</v>
      </c>
      <c r="BQ39" s="1">
        <f t="shared" ref="BQ39:BQ46" si="28">BQ31+1</f>
        <v>9</v>
      </c>
      <c r="BR39" s="1">
        <v>0</v>
      </c>
      <c r="BS39" s="2">
        <f t="shared" ref="BS39:BS47" si="29">$H$34*H39</f>
        <v>3.5995774552277149E-6</v>
      </c>
    </row>
    <row r="40" spans="1:71" x14ac:dyDescent="0.25">
      <c r="G40" s="27">
        <v>1</v>
      </c>
      <c r="H40" s="26">
        <f>L39*J40+L40*J39</f>
        <v>0.14168039683282846</v>
      </c>
      <c r="I40" s="24">
        <v>1</v>
      </c>
      <c r="J40" s="23">
        <f t="shared" si="26"/>
        <v>0.21197532436830349</v>
      </c>
      <c r="K40" s="25">
        <v>1</v>
      </c>
      <c r="L40" s="23">
        <f>AI18</f>
        <v>0.27763912458634149</v>
      </c>
      <c r="M40" s="17">
        <v>1</v>
      </c>
      <c r="N40" s="32">
        <f>(($C$24)^M26)*((1-($C$24))^($B$21-M26))*HLOOKUP($B$21,$AV$24:$BF$34,M26+1)</f>
        <v>0.13735361436368601</v>
      </c>
      <c r="O40" s="16">
        <v>1</v>
      </c>
      <c r="P40" s="32">
        <f t="shared" si="27"/>
        <v>0.13735361436368601</v>
      </c>
      <c r="Q40" s="10">
        <v>1</v>
      </c>
      <c r="R40" s="11">
        <f>P40*N39+P39*N40</f>
        <v>0.23446691949498266</v>
      </c>
      <c r="S40" s="16">
        <v>1</v>
      </c>
      <c r="T40" s="15">
        <f t="shared" ref="T40:T49" si="30">(($C$33)^S40)*((1-($C$33))^(INT($B$23*2*(1-$B$31))-S40))*HLOOKUP(INT($B$23*2*(1-$B$31)),$AV$24:$BF$34,S40+1)</f>
        <v>6.3950156469447655E-2</v>
      </c>
      <c r="U40" s="24">
        <v>1</v>
      </c>
      <c r="V40" s="23">
        <f>R40*T39+T40*R39</f>
        <v>4.8870633241205171E-2</v>
      </c>
      <c r="W40" s="12"/>
      <c r="X40" s="10">
        <v>1</v>
      </c>
      <c r="Y40" s="11"/>
      <c r="Z40" s="10">
        <v>1</v>
      </c>
      <c r="AA40" s="9">
        <f>(1-((1-W39)^Z40))*V40</f>
        <v>3.0654489443935177E-2</v>
      </c>
      <c r="AB40" s="10">
        <v>1</v>
      </c>
      <c r="AC40" s="9">
        <f>((($W$39)^M40)*((1-($W$39))^($U$27-M40))*HLOOKUP($U$27,$AV$24:$BF$34,M40+1))*V41</f>
        <v>6.8466905941367215E-2</v>
      </c>
      <c r="AD40" s="10">
        <v>1</v>
      </c>
      <c r="AE40" s="9">
        <f>((($W$39)^M40)*((1-($W$39))^($U$28-M40))*HLOOKUP($U$28,$AV$24:$BF$34,M40+1))*V42</f>
        <v>6.5187372938923821E-2</v>
      </c>
      <c r="AF40" s="10">
        <v>1</v>
      </c>
      <c r="AG40" s="9">
        <f>((($W$39)^M40)*((1-($W$39))^($U$29-M40))*HLOOKUP($U$29,$AV$24:$BF$34,M40+1))*V43</f>
        <v>3.4366901923915866E-2</v>
      </c>
      <c r="AH40" s="10">
        <v>1</v>
      </c>
      <c r="AI40" s="9">
        <f>((($W$39)^M40)*((1-($W$39))^($U$30-M40))*HLOOKUP($U$30,$AV$24:$BF$34,M40+1))*V44</f>
        <v>1.09060951246761E-2</v>
      </c>
      <c r="AJ40" s="10">
        <v>1</v>
      </c>
      <c r="AK40" s="9">
        <f>((($W$39)^M40)*((1-($W$39))^($U$31-M40))*HLOOKUP($U$31,$AV$24:$BF$34,M40+1))*V45</f>
        <v>2.1245461889535431E-3</v>
      </c>
      <c r="AL40" s="10">
        <v>1</v>
      </c>
      <c r="AM40" s="9">
        <f>((($W$39)^Q40)*((1-($W$39))^($U$32-Q40))*HLOOKUP($U$32,$AV$24:$BF$34,Q40+1))*V46</f>
        <v>2.505786599695553E-4</v>
      </c>
      <c r="AN40" s="10">
        <v>1</v>
      </c>
      <c r="AO40" s="9">
        <f>((($W$39)^Q40)*((1-($W$39))^($U$33-Q40))*HLOOKUP($U$33,$AV$24:$BF$34,Q40+1))*V47</f>
        <v>1.7625596786015718E-5</v>
      </c>
      <c r="AP40" s="10">
        <v>1</v>
      </c>
      <c r="AQ40" s="9">
        <f>((($W$39)^Q40)*((1-($W$39))^($U$34-Q40))*HLOOKUP($U$34,$AV$24:$BF$34,Q40+1))*V48</f>
        <v>7.8403836218054228E-7</v>
      </c>
      <c r="AR40" s="10">
        <v>1</v>
      </c>
      <c r="AS40" s="9">
        <f>((($W$39)^Q40)*((1-($W$39))^($U$35-Q40))*HLOOKUP($U$35,$AV$24:$BF$34,Q40+1))*V49</f>
        <v>2.4511414044822839E-8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2.2796140547185471E-3</v>
      </c>
      <c r="BQ40" s="1">
        <f t="shared" si="28"/>
        <v>9</v>
      </c>
      <c r="BR40" s="1">
        <v>1</v>
      </c>
      <c r="BS40" s="2">
        <f t="shared" si="29"/>
        <v>1.3416783671076672E-5</v>
      </c>
    </row>
    <row r="41" spans="1:71" x14ac:dyDescent="0.25">
      <c r="G41" s="27">
        <v>2</v>
      </c>
      <c r="H41" s="26">
        <f>L39*J41+J40*L40+J39*L41</f>
        <v>0.23739298714152815</v>
      </c>
      <c r="I41" s="24">
        <v>2</v>
      </c>
      <c r="J41" s="23">
        <f t="shared" si="26"/>
        <v>0.30107567684127989</v>
      </c>
      <c r="K41" s="25">
        <v>2</v>
      </c>
      <c r="L41" s="23">
        <f>AJ18</f>
        <v>4.6294494045816821E-2</v>
      </c>
      <c r="M41" s="17">
        <v>2</v>
      </c>
      <c r="N41" s="32">
        <f>(($C$24)^M27)*((1-($C$24))^($B$21-M27))*HLOOKUP($B$21,$AV$24:$BF$34,M27+1)</f>
        <v>8.8415556667733475E-3</v>
      </c>
      <c r="O41" s="16">
        <v>2</v>
      </c>
      <c r="P41" s="32">
        <f t="shared" si="27"/>
        <v>8.8415556667733475E-3</v>
      </c>
      <c r="Q41" s="10">
        <v>2</v>
      </c>
      <c r="R41" s="11">
        <f>P41*N39+P40*N40+P39*N41</f>
        <v>3.3958827681782711E-2</v>
      </c>
      <c r="S41" s="16">
        <v>2</v>
      </c>
      <c r="T41" s="15">
        <f t="shared" si="30"/>
        <v>0.17995276587914344</v>
      </c>
      <c r="U41" s="24">
        <v>2</v>
      </c>
      <c r="V41" s="23">
        <f>R41*T39+T40*R40+R39*T41</f>
        <v>0.14641855156529768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5.7608736206646777E-2</v>
      </c>
      <c r="AD41" s="10">
        <v>2</v>
      </c>
      <c r="AE41" s="9">
        <f>((($W$39)^M41)*((1-($W$39))^($U$28-M41))*HLOOKUP($U$28,$AV$24:$BF$34,M41+1))*V42</f>
        <v>0.10969860898515656</v>
      </c>
      <c r="AF41" s="10">
        <v>2</v>
      </c>
      <c r="AG41" s="9">
        <f>((($W$39)^M41)*((1-($W$39))^($U$29-M41))*HLOOKUP($U$29,$AV$24:$BF$34,M41+1))*V43</f>
        <v>8.6749960142935387E-2</v>
      </c>
      <c r="AH41" s="10">
        <v>2</v>
      </c>
      <c r="AI41" s="9">
        <f>((($W$39)^M41)*((1-($W$39))^($U$30-M41))*HLOOKUP($U$30,$AV$24:$BF$34,M41+1))*V44</f>
        <v>3.6705988006532998E-2</v>
      </c>
      <c r="AJ41" s="10">
        <v>2</v>
      </c>
      <c r="AK41" s="9">
        <f>((($W$39)^M41)*((1-($W$39))^($U$31-M41))*HLOOKUP($U$31,$AV$24:$BF$34,M41+1))*V45</f>
        <v>8.9380715599354094E-3</v>
      </c>
      <c r="AL41" s="10">
        <v>2</v>
      </c>
      <c r="AM41" s="9">
        <f>((($W$39)^Q41)*((1-($W$39))^($U$32-Q41))*HLOOKUP($U$32,$AV$24:$BF$34,Q41+1))*V46</f>
        <v>1.2650362731650166E-3</v>
      </c>
      <c r="AN41" s="10">
        <v>2</v>
      </c>
      <c r="AO41" s="9">
        <f>((($W$39)^Q41)*((1-($W$39))^($U$33-Q41))*HLOOKUP($U$33,$AV$24:$BF$34,Q41+1))*V47</f>
        <v>1.0381246811706254E-4</v>
      </c>
      <c r="AP41" s="10">
        <v>2</v>
      </c>
      <c r="AQ41" s="9">
        <f>((($W$39)^Q41)*((1-($W$39))^($U$34-Q41))*HLOOKUP($U$34,$AV$24:$BF$34,Q41+1))*V48</f>
        <v>5.2775814606175033E-6</v>
      </c>
      <c r="AR41" s="10">
        <v>2</v>
      </c>
      <c r="AS41" s="9">
        <f>((($W$39)^Q41)*((1-($W$39))^($U$35-Q41))*HLOOKUP($U$35,$AV$24:$BF$34,Q41+1))*V49</f>
        <v>1.8561732996557673E-7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6.3955378703811963E-4</v>
      </c>
      <c r="BQ41" s="1">
        <f t="shared" si="28"/>
        <v>9</v>
      </c>
      <c r="BR41" s="1">
        <v>2</v>
      </c>
      <c r="BS41" s="2">
        <f t="shared" si="29"/>
        <v>2.2480529591307357E-5</v>
      </c>
    </row>
    <row r="42" spans="1:71" ht="15" customHeight="1" x14ac:dyDescent="0.25">
      <c r="G42" s="27">
        <v>3</v>
      </c>
      <c r="H42" s="26">
        <f>J42*L39+J41*L40+L42*J39+L41*J40</f>
        <v>0.2420708981509776</v>
      </c>
      <c r="I42" s="24">
        <v>3</v>
      </c>
      <c r="J42" s="23">
        <f t="shared" si="26"/>
        <v>0.24460082637411434</v>
      </c>
      <c r="K42" s="25">
        <v>3</v>
      </c>
      <c r="L42" s="23">
        <f>AK18</f>
        <v>9.3083800070271949E-2</v>
      </c>
      <c r="M42" s="17">
        <v>3</v>
      </c>
      <c r="N42" s="32">
        <f>(($C$24)^M28)*((1-($C$24))^($B$21-M28))*HLOOKUP($B$21,$AV$24:$BF$34,M28+1)</f>
        <v>2.84568800649339E-4</v>
      </c>
      <c r="O42" s="16">
        <v>3</v>
      </c>
      <c r="P42" s="32">
        <f t="shared" si="27"/>
        <v>2.84568800649339E-4</v>
      </c>
      <c r="Q42" s="10">
        <v>3</v>
      </c>
      <c r="R42" s="11">
        <f>P42*N39+P41*N40+P40*N41+P39*N42</f>
        <v>2.9146071058297179E-3</v>
      </c>
      <c r="S42" s="16">
        <v>3</v>
      </c>
      <c r="T42" s="15">
        <f t="shared" si="30"/>
        <v>0.28132150738212341</v>
      </c>
      <c r="U42" s="24">
        <v>3</v>
      </c>
      <c r="V42" s="23">
        <f>R42*T39+R41*T40+R40*T41+R39*T42</f>
        <v>0.24933264531555616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6.1534334389949617E-2</v>
      </c>
      <c r="AF42" s="10">
        <v>3</v>
      </c>
      <c r="AG42" s="9">
        <f>((($W$39)^M42)*((1-($W$39))^($U$29-M42))*HLOOKUP($U$29,$AV$24:$BF$34,M42+1))*V43</f>
        <v>9.7323040011792525E-2</v>
      </c>
      <c r="AH42" s="10">
        <v>3</v>
      </c>
      <c r="AI42" s="9">
        <f>((($W$39)^M42)*((1-($W$39))^($U$30-M42))*HLOOKUP($U$30,$AV$24:$BF$34,M42+1))*V44</f>
        <v>6.1769567390223858E-2</v>
      </c>
      <c r="AJ42" s="10">
        <v>3</v>
      </c>
      <c r="AK42" s="9">
        <f>((($W$39)^M42)*((1-($W$39))^($U$31-M42))*HLOOKUP($U$31,$AV$24:$BF$34,M42+1))*V45</f>
        <v>2.0054886356664189E-2</v>
      </c>
      <c r="AL42" s="10">
        <v>3</v>
      </c>
      <c r="AM42" s="9">
        <f>((($W$39)^Q42)*((1-($W$39))^($U$32-Q42))*HLOOKUP($U$32,$AV$24:$BF$34,Q42+1))*V46</f>
        <v>3.5480470430980953E-3</v>
      </c>
      <c r="AN42" s="10">
        <v>3</v>
      </c>
      <c r="AO42" s="9">
        <f>((($W$39)^Q42)*((1-($W$39))^($U$33-Q42))*HLOOKUP($U$33,$AV$24:$BF$34,Q42+1))*V47</f>
        <v>3.4939537626182748E-4</v>
      </c>
      <c r="AP42" s="10">
        <v>3</v>
      </c>
      <c r="AQ42" s="9">
        <f>((($W$39)^Q42)*((1-($W$39))^($U$34-Q42))*HLOOKUP($U$34,$AV$24:$BF$34,Q42+1))*V48</f>
        <v>2.0722844688782251E-5</v>
      </c>
      <c r="AR42" s="10">
        <v>3</v>
      </c>
      <c r="AS42" s="9">
        <f>((($W$39)^Q42)*((1-($W$39))^($U$35-Q42))*HLOOKUP($U$35,$AV$24:$BF$34,Q42+1))*V49</f>
        <v>8.3296143543383776E-7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1.2774625730377343E-4</v>
      </c>
      <c r="BQ42" s="1">
        <f t="shared" si="28"/>
        <v>9</v>
      </c>
      <c r="BR42" s="1">
        <v>3</v>
      </c>
      <c r="BS42" s="2">
        <f t="shared" si="29"/>
        <v>2.2923516210835153E-5</v>
      </c>
    </row>
    <row r="43" spans="1:71" ht="15" customHeight="1" x14ac:dyDescent="0.25">
      <c r="G43" s="27">
        <v>4</v>
      </c>
      <c r="H43" s="26">
        <f>J43*L39+J42*L40+J41*L41+J40*L42</f>
        <v>0.17444727140327615</v>
      </c>
      <c r="I43" s="24">
        <v>4</v>
      </c>
      <c r="J43" s="23">
        <f t="shared" si="26"/>
        <v>0.12498983604499675</v>
      </c>
      <c r="K43" s="25">
        <v>4</v>
      </c>
      <c r="L43" s="23"/>
      <c r="M43" s="17">
        <v>4</v>
      </c>
      <c r="N43" s="32">
        <f>(($C$24)^M29)*((1-($C$24))^($B$21-M29))*HLOOKUP($B$21,$AV$24:$BF$34,M29+1)</f>
        <v>4.5794770374700359E-6</v>
      </c>
      <c r="O43" s="16">
        <v>4</v>
      </c>
      <c r="P43" s="32">
        <f t="shared" si="27"/>
        <v>4.5794770374700359E-6</v>
      </c>
      <c r="Q43" s="10">
        <v>4</v>
      </c>
      <c r="R43" s="11">
        <f>P43*N39+P42*N40+P41*N41+P40*N42+P39*N43</f>
        <v>1.6416352387816897E-4</v>
      </c>
      <c r="S43" s="16">
        <v>4</v>
      </c>
      <c r="T43" s="15">
        <f t="shared" si="30"/>
        <v>0.2638752123506739</v>
      </c>
      <c r="U43" s="24">
        <v>4</v>
      </c>
      <c r="V43" s="23">
        <f>T43*R39+T42*R40+T41*R41+T40*R42+T39*R43</f>
        <v>0.26448974196084352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4.0944287329630756E-2</v>
      </c>
      <c r="AH43" s="10">
        <v>4</v>
      </c>
      <c r="AI43" s="9">
        <f>((($W$39)^M43)*((1-($W$39))^($U$30-M43))*HLOOKUP($U$30,$AV$24:$BF$34,M43+1))*V44</f>
        <v>5.1973528881668021E-2</v>
      </c>
      <c r="AJ43" s="10">
        <v>4</v>
      </c>
      <c r="AK43" s="9">
        <f>((($W$39)^M43)*((1-($W$39))^($U$31-M43))*HLOOKUP($U$31,$AV$24:$BF$34,M43+1))*V45</f>
        <v>2.5311571522555844E-2</v>
      </c>
      <c r="AL43" s="10">
        <v>4</v>
      </c>
      <c r="AM43" s="9">
        <f>((($W$39)^Q43)*((1-($W$39))^($U$32-Q43))*HLOOKUP($U$32,$AV$24:$BF$34,Q43+1))*V46</f>
        <v>5.9707242015478645E-3</v>
      </c>
      <c r="AN43" s="10">
        <v>4</v>
      </c>
      <c r="AO43" s="9">
        <f>((($W$39)^Q43)*((1-($W$39))^($U$33-Q43))*HLOOKUP($U$33,$AV$24:$BF$34,Q43+1))*V47</f>
        <v>7.3496186902789415E-4</v>
      </c>
      <c r="AP43" s="10">
        <v>4</v>
      </c>
      <c r="AQ43" s="9">
        <f>((($W$39)^Q43)*((1-($W$39))^($U$34-Q43))*HLOOKUP($U$34,$AV$24:$BF$34,Q43+1))*V48</f>
        <v>5.2309223414435284E-5</v>
      </c>
      <c r="AR43" s="10">
        <v>4</v>
      </c>
      <c r="AS43" s="9">
        <f>((($W$39)^Q43)*((1-($W$39))^($U$35-Q43))*HLOOKUP($U$35,$AV$24:$BF$34,Q43+1))*V49</f>
        <v>2.4530171519447587E-6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1.7300861278247198E-5</v>
      </c>
      <c r="BQ43" s="1">
        <f t="shared" si="28"/>
        <v>9</v>
      </c>
      <c r="BR43" s="1">
        <v>4</v>
      </c>
      <c r="BS43" s="2">
        <f t="shared" si="29"/>
        <v>1.6519725768336067E-5</v>
      </c>
    </row>
    <row r="44" spans="1:71" ht="15" customHeight="1" thickBot="1" x14ac:dyDescent="0.3">
      <c r="G44" s="27">
        <v>5</v>
      </c>
      <c r="H44" s="26">
        <f>J44*L39+J43*L40+J42*L41+J41*L42</f>
        <v>9.8327198092870147E-2</v>
      </c>
      <c r="I44" s="24">
        <v>5</v>
      </c>
      <c r="J44" s="23">
        <f t="shared" si="26"/>
        <v>4.1641363911457722E-2</v>
      </c>
      <c r="K44" s="25">
        <v>5</v>
      </c>
      <c r="L44" s="23"/>
      <c r="M44" s="17">
        <v>5</v>
      </c>
      <c r="N44" s="32">
        <f>(($C$24)^M30)*((1-($C$24))^($B$21-M30))*HLOOKUP($B$21,$AV$24:$BF$34,M30+1)</f>
        <v>2.9478438801248184E-8</v>
      </c>
      <c r="O44" s="16">
        <v>5</v>
      </c>
      <c r="P44" s="32">
        <f t="shared" si="27"/>
        <v>2.9478438801248184E-8</v>
      </c>
      <c r="Q44" s="10">
        <v>5</v>
      </c>
      <c r="R44" s="11">
        <f>P44*N39+P43*N40+P42*N41+P41*N42+P40*N43+P39*N44</f>
        <v>6.3403978477595071E-6</v>
      </c>
      <c r="S44" s="16">
        <v>5</v>
      </c>
      <c r="T44" s="15">
        <f t="shared" si="30"/>
        <v>0.14850651485782113</v>
      </c>
      <c r="U44" s="24">
        <v>5</v>
      </c>
      <c r="V44" s="23">
        <f>T44*R39+T43*R40+T42*R41+T41*R42+T40*R43+T39*R44</f>
        <v>0.18014376624559209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1.749241782671835E-2</v>
      </c>
      <c r="AJ44" s="10">
        <v>5</v>
      </c>
      <c r="AK44" s="9">
        <f>((($W$39)^M44)*((1-($W$39))^($U$31-M44))*HLOOKUP($U$31,$AV$24:$BF$34,M44+1))*V45</f>
        <v>1.7037926592649816E-2</v>
      </c>
      <c r="AL44" s="10">
        <v>5</v>
      </c>
      <c r="AM44" s="9">
        <f>((($W$39)^Q44)*((1-($W$39))^($U$32-Q44))*HLOOKUP($U$32,$AV$24:$BF$34,Q44+1))*V46</f>
        <v>6.0285921338552734E-3</v>
      </c>
      <c r="AN44" s="10">
        <v>5</v>
      </c>
      <c r="AO44" s="9">
        <f>((($W$39)^Q44)*((1-($W$39))^($U$33-Q44))*HLOOKUP($U$33,$AV$24:$BF$34,Q44+1))*V47</f>
        <v>9.8944677233770827E-4</v>
      </c>
      <c r="AP44" s="10">
        <v>5</v>
      </c>
      <c r="AQ44" s="9">
        <f>((($W$39)^Q44)*((1-($W$39))^($U$34-Q44))*HLOOKUP($U$34,$AV$24:$BF$34,Q44+1))*V48</f>
        <v>8.8027002576613798E-5</v>
      </c>
      <c r="AR44" s="10">
        <v>5</v>
      </c>
      <c r="AS44" s="9">
        <f>((($W$39)^Q44)*((1-($W$39))^($U$35-Q44))*HLOOKUP($U$35,$AV$24:$BF$34,Q44+1))*V49</f>
        <v>4.9535833199572333E-6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2.5309009477219209E-3</v>
      </c>
      <c r="BQ44" s="1">
        <f t="shared" si="28"/>
        <v>9</v>
      </c>
      <c r="BR44" s="1">
        <v>5</v>
      </c>
      <c r="BS44" s="2">
        <f t="shared" si="29"/>
        <v>9.3113428200778754E-6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4.5420276661151247E-2</v>
      </c>
      <c r="I45" s="24">
        <v>6</v>
      </c>
      <c r="J45" s="23">
        <f t="shared" si="26"/>
        <v>9.098538049941006E-3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1.7005674483630681E-7</v>
      </c>
      <c r="S45" s="16">
        <v>6</v>
      </c>
      <c r="T45" s="15">
        <f t="shared" si="30"/>
        <v>4.6432269503349763E-2</v>
      </c>
      <c r="U45" s="24">
        <v>6</v>
      </c>
      <c r="V45" s="23">
        <f>T45*R39+T44*R40+T43*R41+T42*R42+T41*R43+T40*R44+T39*R45</f>
        <v>7.8456044518733919E-2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4.7786270125147667E-3</v>
      </c>
      <c r="AL45" s="10">
        <v>6</v>
      </c>
      <c r="AM45" s="9">
        <f>((($W$39)^Q45)*((1-($W$39))^($U$32-Q45))*HLOOKUP($U$32,$AV$24:$BF$34,Q45+1))*V46</f>
        <v>3.3816782883314953E-3</v>
      </c>
      <c r="AN45" s="10">
        <v>6</v>
      </c>
      <c r="AO45" s="9">
        <f>((($W$39)^Q45)*((1-($W$39))^($U$33-Q45))*HLOOKUP($U$33,$AV$24:$BF$34,Q45+1))*V47</f>
        <v>8.3253036360274107E-4</v>
      </c>
      <c r="AP45" s="10">
        <v>6</v>
      </c>
      <c r="AQ45" s="9">
        <f>((($W$39)^Q45)*((1-($W$39))^($U$34-Q45))*HLOOKUP($U$34,$AV$24:$BF$34,Q45+1))*V48</f>
        <v>9.8755728299658685E-5</v>
      </c>
      <c r="AR45" s="10">
        <v>6</v>
      </c>
      <c r="AS45" s="9">
        <f>((($W$39)^Q45)*((1-($W$39))^($U$35-Q45))*HLOOKUP($U$35,$AV$24:$BF$34,Q45+1))*V49</f>
        <v>6.9466571923434791E-6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9.3841831683584911E-4</v>
      </c>
      <c r="BQ45" s="1">
        <f t="shared" si="28"/>
        <v>9</v>
      </c>
      <c r="BR45" s="1">
        <v>6</v>
      </c>
      <c r="BS45" s="2">
        <f t="shared" si="29"/>
        <v>4.3011880250600594E-6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1.68411251388331E-2</v>
      </c>
      <c r="I46" s="24">
        <v>7</v>
      </c>
      <c r="J46" s="23">
        <f t="shared" si="26"/>
        <v>1.2911538713032862E-3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3.1276230915696864E-9</v>
      </c>
      <c r="S46" s="16">
        <v>7</v>
      </c>
      <c r="T46" s="15">
        <f t="shared" si="30"/>
        <v>6.2218212734278192E-3</v>
      </c>
      <c r="U46" s="24">
        <v>7</v>
      </c>
      <c r="V46" s="23">
        <f>T46*R39+T45*R40+T44*R41+T43*R42+T42*R43+T41*R44+T40*R45+T39*R46</f>
        <v>2.1278893682128246E-2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8.1296507840305599E-4</v>
      </c>
      <c r="AN46" s="10">
        <v>7</v>
      </c>
      <c r="AO46" s="9">
        <f>((($W$39)^Q46)*((1-($W$39))^($U$33-Q46))*HLOOKUP($U$33,$AV$24:$BF$34,Q46+1))*V47</f>
        <v>4.0028533444745059E-4</v>
      </c>
      <c r="AP46" s="10">
        <v>7</v>
      </c>
      <c r="AQ46" s="9">
        <f>((($W$39)^Q46)*((1-($W$39))^($U$34-Q46))*HLOOKUP($U$34,$AV$24:$BF$34,Q46+1))*V48</f>
        <v>7.1223473868203322E-5</v>
      </c>
      <c r="AR46" s="10">
        <v>7</v>
      </c>
      <c r="AS46" s="9">
        <f>((($W$39)^Q46)*((1-($W$39))^($U$35-Q46))*HLOOKUP($U$35,$AV$24:$BF$34,Q46+1))*V49</f>
        <v>6.6799845845762776E-6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2.6327657838221447E-4</v>
      </c>
      <c r="BQ46" s="1">
        <f t="shared" si="28"/>
        <v>9</v>
      </c>
      <c r="BR46" s="1">
        <v>7</v>
      </c>
      <c r="BS46" s="2">
        <f t="shared" si="29"/>
        <v>1.5948129580118421E-6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4.7248372320872565E-3</v>
      </c>
      <c r="I47" s="24">
        <v>8</v>
      </c>
      <c r="J47" s="23">
        <f t="shared" si="26"/>
        <v>1.1838054034571496E-4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3.774889788608761E-11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3.5135680275986936E-3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8.4201016251998881E-5</v>
      </c>
      <c r="AP47" s="10">
        <v>8</v>
      </c>
      <c r="AQ47" s="9">
        <f>((($W$39)^Q47)*((1-($W$39))^($U$34-Q47))*HLOOKUP($U$34,$AV$24:$BF$34,Q47+1))*V48</f>
        <v>2.9964069950145546E-5</v>
      </c>
      <c r="AR47" s="10">
        <v>8</v>
      </c>
      <c r="AS47" s="9">
        <f>((($W$39)^Q47)*((1-($W$39))^($U$35-Q47))*HLOOKUP($U$35,$AV$24:$BF$34,Q47+1))*V49</f>
        <v>4.2154541435705461E-6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5.2587598112474041E-5</v>
      </c>
      <c r="BQ47" s="1">
        <f>BM12+1</f>
        <v>9</v>
      </c>
      <c r="BR47" s="1">
        <v>8</v>
      </c>
      <c r="BS47" s="2">
        <f t="shared" si="29"/>
        <v>4.4743041691759964E-7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9.4375216752909602E-4</v>
      </c>
      <c r="I48" s="24">
        <v>9</v>
      </c>
      <c r="J48" s="23">
        <f t="shared" si="26"/>
        <v>7.1790926418149959E-6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2.6999166718156357E-13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3.727184116127412E-4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5.6026814957018143E-6</v>
      </c>
      <c r="AR48" s="10">
        <v>9</v>
      </c>
      <c r="AS48" s="9">
        <f>((($W$39)^Q48)*((1-($W$39))^($U$35-Q48))*HLOOKUP($U$35,$AV$24:$BF$34,Q48+1))*V49</f>
        <v>1.5764111461131819E-6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7.1220148370895018E-6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1.2781372758843013E-4</v>
      </c>
      <c r="I49" s="14">
        <v>10</v>
      </c>
      <c r="J49" s="13">
        <f t="shared" si="26"/>
        <v>2.652816061161665E-7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8.6897835415893452E-16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2.81349358919325E-5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2.652816061161665E-7</v>
      </c>
      <c r="BI49" s="1">
        <f>BQ14+1</f>
        <v>6</v>
      </c>
      <c r="BJ49" s="1">
        <v>0</v>
      </c>
      <c r="BK49" s="2">
        <f>$H$31*H39</f>
        <v>6.4810785568126779E-4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2.8714781645513085E-4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8.0560335673259291E-5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1.6091346150970631E-5</v>
      </c>
    </row>
    <row r="53" spans="1:63" x14ac:dyDescent="0.25">
      <c r="BI53" s="1">
        <f>BI48+1</f>
        <v>6</v>
      </c>
      <c r="BJ53" s="1">
        <v>10</v>
      </c>
      <c r="BK53" s="2">
        <f>$H$31*H49</f>
        <v>2.179274394522528E-6</v>
      </c>
    </row>
    <row r="54" spans="1:63" x14ac:dyDescent="0.25">
      <c r="BI54" s="1">
        <f>BI51+1</f>
        <v>7</v>
      </c>
      <c r="BJ54" s="1">
        <v>8</v>
      </c>
      <c r="BK54" s="2">
        <f>$H$32*H47</f>
        <v>1.8674651692840603E-5</v>
      </c>
    </row>
    <row r="55" spans="1:63" x14ac:dyDescent="0.25">
      <c r="BI55" s="1">
        <f>BI52+1</f>
        <v>7</v>
      </c>
      <c r="BJ55" s="1">
        <v>9</v>
      </c>
      <c r="BK55" s="2">
        <f>$H$32*H48</f>
        <v>3.7301270175572775E-6</v>
      </c>
    </row>
    <row r="56" spans="1:63" x14ac:dyDescent="0.25">
      <c r="BI56" s="1">
        <f>BI53+1</f>
        <v>7</v>
      </c>
      <c r="BJ56" s="1">
        <v>10</v>
      </c>
      <c r="BK56" s="2">
        <f>$H$32*H49</f>
        <v>5.0517652292185127E-7</v>
      </c>
    </row>
    <row r="57" spans="1:63" x14ac:dyDescent="0.25">
      <c r="BI57" s="1">
        <f>BI55+1</f>
        <v>8</v>
      </c>
      <c r="BJ57" s="1">
        <v>9</v>
      </c>
      <c r="BK57" s="2">
        <f>$H$33*H48</f>
        <v>6.6095321310191798E-7</v>
      </c>
    </row>
    <row r="58" spans="1:63" x14ac:dyDescent="0.25">
      <c r="BI58" s="1">
        <f>BI56+1</f>
        <v>8</v>
      </c>
      <c r="BJ58" s="1">
        <v>10</v>
      </c>
      <c r="BK58" s="2">
        <f>$H$33*H49</f>
        <v>8.9513854203149844E-8</v>
      </c>
    </row>
    <row r="59" spans="1:63" x14ac:dyDescent="0.25">
      <c r="BI59" s="1">
        <f>BI58+1</f>
        <v>9</v>
      </c>
      <c r="BJ59" s="1">
        <v>10</v>
      </c>
      <c r="BK59" s="2">
        <f>$H$34*H49</f>
        <v>1.2103644340234847E-8</v>
      </c>
    </row>
  </sheetData>
  <mergeCells count="1">
    <mergeCell ref="B3:C3"/>
  </mergeCells>
  <conditionalFormatting sqref="H49">
    <cfRule type="cellIs" dxfId="80" priority="1" operator="greaterThan">
      <formula>0.15</formula>
    </cfRule>
  </conditionalFormatting>
  <conditionalFormatting sqref="H39:H49">
    <cfRule type="cellIs" dxfId="79" priority="2" operator="greaterThan">
      <formula>0.15</formula>
    </cfRule>
  </conditionalFormatting>
  <conditionalFormatting sqref="H49">
    <cfRule type="cellIs" dxfId="78" priority="3" operator="greaterThan">
      <formula>0.15</formula>
    </cfRule>
  </conditionalFormatting>
  <conditionalFormatting sqref="H39:H49">
    <cfRule type="cellIs" dxfId="77" priority="4" operator="greaterThan">
      <formula>0.15</formula>
    </cfRule>
  </conditionalFormatting>
  <conditionalFormatting sqref="H35">
    <cfRule type="cellIs" dxfId="76" priority="5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7" operator="greaterThan">
      <formula>0.15</formula>
    </cfRule>
  </conditionalFormatting>
  <conditionalFormatting sqref="H25:H35">
    <cfRule type="cellIs" dxfId="73" priority="8" operator="greaterThan">
      <formula>0.15</formula>
    </cfRule>
  </conditionalFormatting>
  <conditionalFormatting sqref="V49">
    <cfRule type="cellIs" dxfId="72" priority="9" operator="greaterThan">
      <formula>0.15</formula>
    </cfRule>
  </conditionalFormatting>
  <conditionalFormatting sqref="V35">
    <cfRule type="cellIs" dxfId="71" priority="10" operator="greaterThan">
      <formula>0.15</formula>
    </cfRule>
  </conditionalFormatting>
  <conditionalFormatting sqref="V25:V35 V39:V49">
    <cfRule type="cellIs" dxfId="70" priority="11" operator="greaterThan">
      <formula>0.15</formula>
    </cfRule>
  </conditionalFormatting>
  <conditionalFormatting sqref="V49">
    <cfRule type="cellIs" dxfId="69" priority="12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25:V35 V39:V49">
    <cfRule type="cellIs" dxfId="67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DC76-BA8B-4CC8-A21D-5B1D65EAAACC}">
  <sheetPr>
    <tabColor theme="0" tint="-4.9989318521683403E-2"/>
  </sheetPr>
  <dimension ref="A1:BS59"/>
  <sheetViews>
    <sheetView tabSelected="1" zoomScale="90" zoomScaleNormal="90" workbookViewId="0">
      <selection activeCell="J8" sqref="J8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121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0</v>
      </c>
      <c r="Q1" s="4">
        <f>COUNTIF(F10:H10,"CAB")+COUNTIF(E9:I9,"CAB")</f>
        <v>6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120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1.0414484391351129</v>
      </c>
      <c r="U2" s="159">
        <f>SUM(U4:U16)</f>
        <v>0.46456953682667423</v>
      </c>
      <c r="V2" s="4"/>
      <c r="W2" s="4"/>
      <c r="X2" s="158">
        <f>SUM(X4:X16)</f>
        <v>0.56315130901145227</v>
      </c>
      <c r="Y2" s="157">
        <f>SUM(Y4:Y16)</f>
        <v>0.33527765034352502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5" t="s">
        <v>4</v>
      </c>
      <c r="C3" s="185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93</v>
      </c>
      <c r="F4" s="143" t="s">
        <v>87</v>
      </c>
      <c r="G4" s="143" t="s">
        <v>87</v>
      </c>
      <c r="H4" s="143" t="s">
        <v>87</v>
      </c>
      <c r="I4" s="143" t="s">
        <v>93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2</v>
      </c>
      <c r="Q4" s="126">
        <f>COUNTIF(E8:I9,"IMP")</f>
        <v>0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0.17931596091205212</v>
      </c>
      <c r="U4" s="124">
        <f t="shared" ref="U4:U9" si="4">IF(S4=0,0,S4*Q4^2.7/(P4^2.7+Q4^2.7)*Q4/L4)</f>
        <v>0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0.10221009771986971</v>
      </c>
      <c r="Y4" s="121">
        <f t="shared" si="5"/>
        <v>0</v>
      </c>
      <c r="Z4" s="146"/>
      <c r="AA4" s="120">
        <f t="shared" ref="AA4:AA16" si="6">X4</f>
        <v>0.10221009771986971</v>
      </c>
      <c r="AB4" s="119">
        <f t="shared" ref="AB4:AB16" si="7">1-AA4</f>
        <v>0.89778990228013034</v>
      </c>
      <c r="AC4" s="119">
        <f>PRODUCT(AB5:AB16)*AA4</f>
        <v>6.2970309694929394E-2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0</v>
      </c>
      <c r="AH4" s="117">
        <f t="shared" ref="AH4:AH16" si="9">(1-AG4)</f>
        <v>1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6.7358804402316477E-3</v>
      </c>
      <c r="BM4" s="1">
        <v>0</v>
      </c>
      <c r="BN4" s="1">
        <v>0</v>
      </c>
      <c r="BO4" s="2">
        <f>H25*H39</f>
        <v>5.5111567309961123E-3</v>
      </c>
      <c r="BQ4" s="1">
        <v>1</v>
      </c>
      <c r="BR4" s="1">
        <v>0</v>
      </c>
      <c r="BS4" s="2">
        <f>$H$26*H39</f>
        <v>2.6059637392588212E-2</v>
      </c>
    </row>
    <row r="5" spans="1:71" ht="15.75" x14ac:dyDescent="0.25">
      <c r="A5" s="65" t="s">
        <v>97</v>
      </c>
      <c r="B5" s="145">
        <v>352</v>
      </c>
      <c r="C5" s="145">
        <v>550</v>
      </c>
      <c r="E5" s="143" t="s">
        <v>3</v>
      </c>
      <c r="F5" s="143" t="s">
        <v>87</v>
      </c>
      <c r="G5" s="143" t="s">
        <v>87</v>
      </c>
      <c r="H5" s="143" t="s">
        <v>87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0</v>
      </c>
      <c r="R5" s="96">
        <f t="shared" si="1"/>
        <v>0.35</v>
      </c>
      <c r="S5" s="96">
        <f t="shared" si="2"/>
        <v>0.41840390879478823</v>
      </c>
      <c r="T5" s="125">
        <f t="shared" si="3"/>
        <v>5.2300488599348528E-2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2.9811278501628659E-2</v>
      </c>
      <c r="Y5" s="121">
        <f t="shared" si="5"/>
        <v>0</v>
      </c>
      <c r="Z5" s="102"/>
      <c r="AA5" s="120">
        <f t="shared" si="6"/>
        <v>2.9811278501628659E-2</v>
      </c>
      <c r="AB5" s="119">
        <f t="shared" si="7"/>
        <v>0.97018872149837132</v>
      </c>
      <c r="AC5" s="119">
        <f>PRODUCT(AB6:AB16)*AA5*PRODUCT(AB4)</f>
        <v>1.6995780844135559E-2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8.1407176184088506E-3</v>
      </c>
      <c r="AF5" s="100"/>
      <c r="AG5" s="118">
        <f t="shared" si="8"/>
        <v>0</v>
      </c>
      <c r="AH5" s="117">
        <f t="shared" si="9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0"/>
        <v>3.7906535440045269E-3</v>
      </c>
      <c r="BM5" s="1">
        <v>1</v>
      </c>
      <c r="BN5" s="1">
        <v>1</v>
      </c>
      <c r="BO5" s="2">
        <f>$H$26*H40</f>
        <v>3.1850772961148799E-2</v>
      </c>
      <c r="BQ5" s="1">
        <f>BQ4+1</f>
        <v>2</v>
      </c>
      <c r="BR5" s="1">
        <v>0</v>
      </c>
      <c r="BS5" s="2">
        <f>$H$27*H39</f>
        <v>5.6478595735690543E-2</v>
      </c>
    </row>
    <row r="6" spans="1:71" ht="15.75" x14ac:dyDescent="0.25">
      <c r="A6" s="144" t="s">
        <v>95</v>
      </c>
      <c r="B6" s="135">
        <v>13.5</v>
      </c>
      <c r="C6" s="134">
        <v>12</v>
      </c>
      <c r="E6" s="142"/>
      <c r="F6" s="143" t="s">
        <v>87</v>
      </c>
      <c r="G6" s="143" t="s">
        <v>93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3</v>
      </c>
      <c r="Q6" s="126">
        <f>COUNTIF(E9:I11,"IMP")</f>
        <v>0</v>
      </c>
      <c r="R6" s="96">
        <f t="shared" si="1"/>
        <v>0.45</v>
      </c>
      <c r="S6" s="96">
        <f t="shared" si="2"/>
        <v>0.53794788273615635</v>
      </c>
      <c r="T6" s="125">
        <f t="shared" si="3"/>
        <v>0.12414181909295915</v>
      </c>
      <c r="U6" s="124">
        <f t="shared" si="4"/>
        <v>0</v>
      </c>
      <c r="V6" s="123">
        <f>$G$18</f>
        <v>0.45</v>
      </c>
      <c r="W6" s="117">
        <f>$H$18</f>
        <v>0.45</v>
      </c>
      <c r="X6" s="122">
        <f t="shared" si="5"/>
        <v>5.5863818591831621E-2</v>
      </c>
      <c r="Y6" s="121">
        <f t="shared" si="5"/>
        <v>0</v>
      </c>
      <c r="Z6" s="102"/>
      <c r="AA6" s="120">
        <f t="shared" si="6"/>
        <v>5.5863818591831621E-2</v>
      </c>
      <c r="AB6" s="119">
        <f t="shared" si="7"/>
        <v>0.94413618140816835</v>
      </c>
      <c r="AC6" s="119">
        <f>PRODUCT(AB7:AB16)*AA6*PRODUCT(AB4:AB5)</f>
        <v>3.2727491581074429E-2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1.3739504353288291E-2</v>
      </c>
      <c r="AF6" s="100"/>
      <c r="AG6" s="118">
        <f t="shared" si="8"/>
        <v>0</v>
      </c>
      <c r="AH6" s="117">
        <f t="shared" si="9"/>
        <v>1</v>
      </c>
      <c r="AI6" s="117">
        <f>AG6*PRODUCT(AH3:AH5)*PRODUCT(AH7:AH17)</f>
        <v>0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L6" s="98"/>
      <c r="AN6" s="97"/>
      <c r="AO6" s="96"/>
      <c r="BI6" s="1">
        <v>0</v>
      </c>
      <c r="BJ6" s="1">
        <v>3</v>
      </c>
      <c r="BK6" s="2">
        <f t="shared" si="10"/>
        <v>1.3039718968343883E-3</v>
      </c>
      <c r="BM6" s="1">
        <f>BI14+1</f>
        <v>2</v>
      </c>
      <c r="BN6" s="1">
        <v>2</v>
      </c>
      <c r="BO6" s="2">
        <f>$H$27*H41</f>
        <v>3.8846797421273581E-2</v>
      </c>
      <c r="BQ6" s="1">
        <f>BM5+1</f>
        <v>2</v>
      </c>
      <c r="BR6" s="1">
        <v>1</v>
      </c>
      <c r="BS6" s="2">
        <f>$H$27*H40</f>
        <v>6.9029622432644405E-2</v>
      </c>
    </row>
    <row r="7" spans="1:71" ht="15.75" x14ac:dyDescent="0.25">
      <c r="A7" s="141" t="s">
        <v>92</v>
      </c>
      <c r="B7" s="135">
        <v>11</v>
      </c>
      <c r="C7" s="134">
        <v>17.75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0</v>
      </c>
      <c r="Q7" s="126">
        <f>COUNTIF(E4:I4,"IMP")+COUNTIF(F5:H5,"IMP")</f>
        <v>2</v>
      </c>
      <c r="R7" s="96">
        <f t="shared" si="1"/>
        <v>0.04</v>
      </c>
      <c r="S7" s="96">
        <f t="shared" si="2"/>
        <v>4.7817589576547234E-2</v>
      </c>
      <c r="T7" s="125">
        <f t="shared" si="3"/>
        <v>0</v>
      </c>
      <c r="U7" s="124">
        <f t="shared" si="4"/>
        <v>1.1954397394136809E-2</v>
      </c>
      <c r="V7" s="123">
        <f>$G$18</f>
        <v>0.45</v>
      </c>
      <c r="W7" s="117">
        <f>$H$18</f>
        <v>0.45</v>
      </c>
      <c r="X7" s="122">
        <f t="shared" si="5"/>
        <v>0</v>
      </c>
      <c r="Y7" s="121">
        <f t="shared" si="5"/>
        <v>5.3794788273615638E-3</v>
      </c>
      <c r="Z7" s="102"/>
      <c r="AA7" s="120">
        <f t="shared" si="6"/>
        <v>0</v>
      </c>
      <c r="AB7" s="119">
        <f t="shared" si="7"/>
        <v>1</v>
      </c>
      <c r="AC7" s="119">
        <f>PRODUCT(AB8:AB$16)*AA7*PRODUCT(AB$4:AB6)</f>
        <v>0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F7" s="100"/>
      <c r="AG7" s="118">
        <f t="shared" si="8"/>
        <v>5.3794788273615638E-3</v>
      </c>
      <c r="AH7" s="117">
        <f t="shared" si="9"/>
        <v>0.99462052117263844</v>
      </c>
      <c r="AI7" s="117">
        <f>AG7*PRODUCT(AH3:AH6)*PRODUCT(AH8:AH17)</f>
        <v>3.7939343407552588E-3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1.4053509577418039E-3</v>
      </c>
      <c r="AL7" s="98"/>
      <c r="AN7" s="97"/>
      <c r="AO7" s="96"/>
      <c r="BI7" s="1">
        <v>0</v>
      </c>
      <c r="BJ7" s="1">
        <v>4</v>
      </c>
      <c r="BK7" s="2">
        <f t="shared" si="10"/>
        <v>3.0644330964704893E-4</v>
      </c>
      <c r="BM7" s="1">
        <f>BI23+1</f>
        <v>3</v>
      </c>
      <c r="BN7" s="1">
        <v>3</v>
      </c>
      <c r="BO7" s="2">
        <f>$H$28*H42</f>
        <v>1.7661936871828727E-2</v>
      </c>
      <c r="BQ7" s="1">
        <f>BQ5+1</f>
        <v>3</v>
      </c>
      <c r="BR7" s="1">
        <v>0</v>
      </c>
      <c r="BS7" s="2">
        <f>$H$28*H39</f>
        <v>7.4647085960909895E-2</v>
      </c>
    </row>
    <row r="8" spans="1:71" ht="15.75" x14ac:dyDescent="0.25">
      <c r="A8" s="141" t="s">
        <v>90</v>
      </c>
      <c r="B8" s="135">
        <v>8.5</v>
      </c>
      <c r="C8" s="134">
        <v>21.25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3</v>
      </c>
      <c r="Q8" s="126">
        <f>COUNTIF(E10:I11,"RAP")</f>
        <v>0</v>
      </c>
      <c r="R8" s="96">
        <f t="shared" si="1"/>
        <v>0.5</v>
      </c>
      <c r="S8" s="96">
        <f t="shared" si="2"/>
        <v>0.59771986970684043</v>
      </c>
      <c r="T8" s="125">
        <f t="shared" si="3"/>
        <v>0.22414495114006516</v>
      </c>
      <c r="U8" s="124">
        <f t="shared" si="4"/>
        <v>0</v>
      </c>
      <c r="V8" s="123">
        <f>$G$17</f>
        <v>0.56999999999999995</v>
      </c>
      <c r="W8" s="117">
        <f>$H$17</f>
        <v>0.56999999999999995</v>
      </c>
      <c r="X8" s="122">
        <f t="shared" si="5"/>
        <v>0.12776262214983714</v>
      </c>
      <c r="Y8" s="121">
        <f t="shared" si="5"/>
        <v>0</v>
      </c>
      <c r="Z8" s="102"/>
      <c r="AA8" s="120">
        <f t="shared" si="6"/>
        <v>0.12776262214983714</v>
      </c>
      <c r="AB8" s="119">
        <f t="shared" si="7"/>
        <v>0.87223737785016286</v>
      </c>
      <c r="AC8" s="119">
        <f>PRODUCT(AB9:AB$16)*AA8*PRODUCT(AB$4:AB7)</f>
        <v>8.1018810967064397E-2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2.2145559203484176E-2</v>
      </c>
      <c r="AF8" s="100"/>
      <c r="AG8" s="118">
        <f t="shared" si="8"/>
        <v>0</v>
      </c>
      <c r="AH8" s="117">
        <f t="shared" si="9"/>
        <v>1</v>
      </c>
      <c r="AI8" s="117">
        <f>AG8*PRODUCT(AH3:AH7)*PRODUCT(AH9:AH17)</f>
        <v>0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L8" s="98"/>
      <c r="AN8" s="97"/>
      <c r="AO8" s="96"/>
      <c r="BI8" s="1">
        <v>0</v>
      </c>
      <c r="BJ8" s="1">
        <v>5</v>
      </c>
      <c r="BK8" s="2">
        <f t="shared" si="10"/>
        <v>5.2007557962572689E-5</v>
      </c>
      <c r="BM8" s="1">
        <f>BI31+1</f>
        <v>4</v>
      </c>
      <c r="BN8" s="1">
        <v>4</v>
      </c>
      <c r="BO8" s="2">
        <f>$H$29*H43</f>
        <v>3.7625337982690682E-3</v>
      </c>
      <c r="BQ8" s="1">
        <f>BQ6+1</f>
        <v>3</v>
      </c>
      <c r="BR8" s="1">
        <v>1</v>
      </c>
      <c r="BS8" s="2">
        <f>$H$28*H40</f>
        <v>9.1235628160678789E-2</v>
      </c>
    </row>
    <row r="9" spans="1:71" ht="15.75" x14ac:dyDescent="0.25">
      <c r="A9" s="141" t="s">
        <v>88</v>
      </c>
      <c r="B9" s="135">
        <v>11</v>
      </c>
      <c r="C9" s="134">
        <v>17.5</v>
      </c>
      <c r="E9" s="140" t="s">
        <v>94</v>
      </c>
      <c r="F9" s="140" t="s">
        <v>94</v>
      </c>
      <c r="G9" s="140" t="s">
        <v>87</v>
      </c>
      <c r="H9" s="140" t="s">
        <v>87</v>
      </c>
      <c r="I9" s="140" t="s">
        <v>94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3</v>
      </c>
      <c r="Q9" s="126">
        <f>COUNTIF(E10:I11,"RAP")</f>
        <v>0</v>
      </c>
      <c r="R9" s="96">
        <f t="shared" si="1"/>
        <v>0.5</v>
      </c>
      <c r="S9" s="96">
        <f t="shared" si="2"/>
        <v>0.59771986970684043</v>
      </c>
      <c r="T9" s="125">
        <f t="shared" si="3"/>
        <v>0.22414495114006516</v>
      </c>
      <c r="U9" s="124">
        <f t="shared" si="4"/>
        <v>0</v>
      </c>
      <c r="V9" s="123">
        <f>$G$17</f>
        <v>0.56999999999999995</v>
      </c>
      <c r="W9" s="117">
        <f>$H$17</f>
        <v>0.56999999999999995</v>
      </c>
      <c r="X9" s="122">
        <f t="shared" si="5"/>
        <v>0.12776262214983714</v>
      </c>
      <c r="Y9" s="121">
        <f t="shared" si="5"/>
        <v>0</v>
      </c>
      <c r="Z9" s="102"/>
      <c r="AA9" s="120">
        <f t="shared" si="6"/>
        <v>0.12776262214983714</v>
      </c>
      <c r="AB9" s="119">
        <f t="shared" si="7"/>
        <v>0.87223737785016286</v>
      </c>
      <c r="AC9" s="119">
        <f>PRODUCT(AB10:AB$16)*AA9*PRODUCT(AB$4:AB8)</f>
        <v>8.1018810967064397E-2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1.0278175397796931E-2</v>
      </c>
      <c r="AF9" s="100"/>
      <c r="AG9" s="118">
        <f t="shared" si="8"/>
        <v>0</v>
      </c>
      <c r="AH9" s="117">
        <f t="shared" si="9"/>
        <v>1</v>
      </c>
      <c r="AI9" s="117">
        <f>AG9*PRODUCT(AH3:AH8)*PRODUCT(AH10:AH17)</f>
        <v>0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L9" s="98"/>
      <c r="AN9" s="97"/>
      <c r="AO9" s="96"/>
      <c r="BI9" s="1">
        <v>0</v>
      </c>
      <c r="BJ9" s="1">
        <v>6</v>
      </c>
      <c r="BK9" s="2">
        <f t="shared" si="10"/>
        <v>6.5611362137169411E-6</v>
      </c>
      <c r="BM9" s="1">
        <f>BI38+1</f>
        <v>5</v>
      </c>
      <c r="BN9" s="1">
        <v>5</v>
      </c>
      <c r="BO9" s="2">
        <f>$H$30*H44</f>
        <v>4.2428295605906406E-4</v>
      </c>
      <c r="BQ9" s="1">
        <f>BM6+1</f>
        <v>3</v>
      </c>
      <c r="BR9" s="1">
        <v>2</v>
      </c>
      <c r="BS9" s="2">
        <f>$H$28*H41</f>
        <v>5.1343348548933382E-2</v>
      </c>
    </row>
    <row r="10" spans="1:71" ht="15.75" x14ac:dyDescent="0.25">
      <c r="A10" s="138" t="s">
        <v>85</v>
      </c>
      <c r="B10" s="135">
        <v>21</v>
      </c>
      <c r="C10" s="134">
        <v>1.5</v>
      </c>
      <c r="E10" s="140" t="s">
        <v>131</v>
      </c>
      <c r="F10" s="140" t="s">
        <v>94</v>
      </c>
      <c r="G10" s="140" t="s">
        <v>94</v>
      </c>
      <c r="H10" s="140" t="s">
        <v>94</v>
      </c>
      <c r="I10" s="140" t="s">
        <v>94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0.120247173788082</v>
      </c>
      <c r="U10" s="124">
        <f>S10*G14</f>
        <v>0.10688637670051734</v>
      </c>
      <c r="V10" s="123">
        <f>$G$18</f>
        <v>0.45</v>
      </c>
      <c r="W10" s="117">
        <f>$H$18</f>
        <v>0.45</v>
      </c>
      <c r="X10" s="122">
        <f t="shared" si="5"/>
        <v>5.4111228204636902E-2</v>
      </c>
      <c r="Y10" s="121">
        <f t="shared" si="5"/>
        <v>4.8098869515232803E-2</v>
      </c>
      <c r="Z10" s="102"/>
      <c r="AA10" s="120">
        <f t="shared" si="6"/>
        <v>5.4111228204636902E-2</v>
      </c>
      <c r="AB10" s="119">
        <f t="shared" si="7"/>
        <v>0.94588877179536313</v>
      </c>
      <c r="AC10" s="119">
        <f>PRODUCT(AB11:AB$16)*AA10*PRODUCT(AB$4:AB9)</f>
        <v>3.1642010005934022E-2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2.2040190386491392E-3</v>
      </c>
      <c r="AF10" s="100"/>
      <c r="AG10" s="118">
        <f t="shared" si="8"/>
        <v>4.8098869515232803E-2</v>
      </c>
      <c r="AH10" s="117">
        <f t="shared" si="9"/>
        <v>0.95190113048476721</v>
      </c>
      <c r="AI10" s="117">
        <f>AG10*PRODUCT(AH3:AH9)*PRODUCT(AH11:AH17)</f>
        <v>3.5444597579719093E-2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1.1338414993200808E-2</v>
      </c>
      <c r="AL10" s="98"/>
      <c r="AN10" s="97"/>
      <c r="AO10" s="96"/>
      <c r="BI10" s="1">
        <v>0</v>
      </c>
      <c r="BJ10" s="1">
        <v>7</v>
      </c>
      <c r="BK10" s="2">
        <f t="shared" si="10"/>
        <v>6.2312986119386882E-7</v>
      </c>
      <c r="BM10" s="1">
        <f>BI44+1</f>
        <v>6</v>
      </c>
      <c r="BN10" s="1">
        <v>6</v>
      </c>
      <c r="BO10" s="2">
        <f>$H$31*H45</f>
        <v>2.7243612777248912E-5</v>
      </c>
      <c r="BQ10" s="1">
        <f>BQ7+1</f>
        <v>4</v>
      </c>
      <c r="BR10" s="1">
        <v>0</v>
      </c>
      <c r="BS10" s="2">
        <f>$H$29*H39</f>
        <v>6.7666393147280207E-2</v>
      </c>
    </row>
    <row r="11" spans="1:71" ht="15.75" x14ac:dyDescent="0.25">
      <c r="A11" s="138" t="s">
        <v>82</v>
      </c>
      <c r="B11" s="135">
        <v>20.25</v>
      </c>
      <c r="C11" s="134">
        <v>1.5</v>
      </c>
      <c r="E11" s="139"/>
      <c r="F11" s="140" t="s">
        <v>87</v>
      </c>
      <c r="G11" s="140" t="s">
        <v>87</v>
      </c>
      <c r="H11" s="140" t="s">
        <v>87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0</v>
      </c>
      <c r="Q11" s="126">
        <f>COUNTIF(E9:I11,"CAB")</f>
        <v>7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0</v>
      </c>
      <c r="U11" s="124">
        <f>IF(Q11&gt;0,IF(P11&gt;0,G14^2.7/(G14^2.7+G13^2.7),1),0)*Q11/L11*S11</f>
        <v>0.1766594281577995</v>
      </c>
      <c r="V11" s="123">
        <f>IF(P11-Q11&gt;3,0.9,IF(P11-Q11=3,0.83,IF(P11-Q11=2,0.75,IF(P11-Q11=1,0.65,IF(P11-Q11=0,0.44,IF(P11-Q11=-1,0.16,IF(P11-Q11&lt;-1,0.05,0.02)))))))</f>
        <v>0.05</v>
      </c>
      <c r="W11" s="117">
        <f>IF(Q11-P11&gt;3,0.9,IF(Q11-P11=3,0.83,IF(Q11-P11=2,0.75,IF(Q11-P11=1,0.65,IF(Q11-P11=0,0.44,IF(Q11-P11=-1,0.16,IF(Q11-P11&lt;-1,0.05,0.02)))))))</f>
        <v>0.9</v>
      </c>
      <c r="X11" s="122">
        <f t="shared" si="5"/>
        <v>0</v>
      </c>
      <c r="Y11" s="121">
        <f t="shared" si="5"/>
        <v>0.15899348534201957</v>
      </c>
      <c r="Z11" s="102"/>
      <c r="AA11" s="120">
        <f t="shared" si="6"/>
        <v>0</v>
      </c>
      <c r="AB11" s="119">
        <f t="shared" si="7"/>
        <v>1</v>
      </c>
      <c r="AC11" s="119">
        <f>PRODUCT(AB12:AB$16)*AA11*PRODUCT(AB$4:AB10)</f>
        <v>0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F11" s="100"/>
      <c r="AG11" s="118">
        <f t="shared" si="8"/>
        <v>0.15899348534201957</v>
      </c>
      <c r="AH11" s="117">
        <f t="shared" si="9"/>
        <v>0.84100651465798038</v>
      </c>
      <c r="AI11" s="117">
        <f>AG11*PRODUCT(AH3:AH10)*PRODUCT(AH12:AH17)</f>
        <v>0.13261327278027443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1.7351090458476107E-2</v>
      </c>
      <c r="AL11" s="98"/>
      <c r="AN11" s="97"/>
      <c r="AO11" s="96"/>
      <c r="BI11" s="1">
        <v>0</v>
      </c>
      <c r="BJ11" s="1">
        <v>8</v>
      </c>
      <c r="BK11" s="2">
        <f t="shared" si="10"/>
        <v>4.4556690505615639E-8</v>
      </c>
      <c r="BM11" s="1">
        <f>BI50+1</f>
        <v>7</v>
      </c>
      <c r="BN11" s="1">
        <v>7</v>
      </c>
      <c r="BO11" s="2">
        <f>$H$32*H46</f>
        <v>1.0383339517641231E-6</v>
      </c>
      <c r="BQ11" s="1">
        <f>BQ8+1</f>
        <v>4</v>
      </c>
      <c r="BR11" s="1">
        <v>1</v>
      </c>
      <c r="BS11" s="2">
        <f>$H$29*H40</f>
        <v>8.2703642140732128E-2</v>
      </c>
    </row>
    <row r="12" spans="1:71" ht="15.75" x14ac:dyDescent="0.25">
      <c r="A12" s="138" t="s">
        <v>80</v>
      </c>
      <c r="B12" s="135">
        <v>20.25</v>
      </c>
      <c r="C12" s="134">
        <v>1.5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1</v>
      </c>
      <c r="Q12" s="126">
        <f>COUNTIF(F11:H11,"IMP")+COUNTIF(E10,"IMP")+COUNTIF(I10,"IMP")</f>
        <v>0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9.5635179153094468E-3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4.3035830618892513E-3</v>
      </c>
      <c r="Y12" s="121">
        <f t="shared" si="5"/>
        <v>0</v>
      </c>
      <c r="Z12" s="102"/>
      <c r="AA12" s="120">
        <f t="shared" si="6"/>
        <v>4.3035830618892513E-3</v>
      </c>
      <c r="AB12" s="119">
        <f t="shared" si="7"/>
        <v>0.99569641693811073</v>
      </c>
      <c r="AC12" s="119">
        <f>PRODUCT(AB13:AB$16)*AA12*PRODUCT(AB$4:AB11)</f>
        <v>2.3906719579790065E-3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1.5618894080625398E-4</v>
      </c>
      <c r="AF12" s="100"/>
      <c r="AG12" s="118">
        <f t="shared" si="8"/>
        <v>0</v>
      </c>
      <c r="AH12" s="117">
        <f t="shared" si="9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0"/>
        <v>2.3696554450165508E-9</v>
      </c>
      <c r="BM12" s="1">
        <f>BI54+1</f>
        <v>8</v>
      </c>
      <c r="BN12" s="1">
        <v>8</v>
      </c>
      <c r="BO12" s="2">
        <f>$H$33*H47</f>
        <v>2.3764404967219868E-8</v>
      </c>
      <c r="BQ12" s="1">
        <f>BQ9+1</f>
        <v>4</v>
      </c>
      <c r="BR12" s="1">
        <v>2</v>
      </c>
      <c r="BS12" s="2">
        <f>$H$29*H41</f>
        <v>4.6541926770313498E-2</v>
      </c>
    </row>
    <row r="13" spans="1:71" ht="15.75" x14ac:dyDescent="0.25">
      <c r="A13" s="136" t="s">
        <v>78</v>
      </c>
      <c r="B13" s="135">
        <v>9</v>
      </c>
      <c r="C13" s="134">
        <v>15.5</v>
      </c>
      <c r="E13" s="4"/>
      <c r="F13" s="4" t="s">
        <v>77</v>
      </c>
      <c r="G13" s="137">
        <f>B22</f>
        <v>0.52941176470588236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0</v>
      </c>
      <c r="Q13" s="126">
        <f>COUNTIF(E10:I11,"CAB")</f>
        <v>4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0</v>
      </c>
      <c r="U13" s="124">
        <f>IF(P13+Q13=0,0,S13*Q14/4*Q13/L13)</f>
        <v>6.1479758026989295E-2</v>
      </c>
      <c r="V13" s="123">
        <v>1</v>
      </c>
      <c r="W13" s="117">
        <v>1</v>
      </c>
      <c r="X13" s="122">
        <f t="shared" si="5"/>
        <v>0</v>
      </c>
      <c r="Y13" s="121">
        <f t="shared" si="5"/>
        <v>6.1479758026989295E-2</v>
      </c>
      <c r="Z13" s="102"/>
      <c r="AA13" s="120">
        <f t="shared" si="6"/>
        <v>0</v>
      </c>
      <c r="AB13" s="119">
        <f t="shared" si="7"/>
        <v>1</v>
      </c>
      <c r="AC13" s="119">
        <f>PRODUCT(AB14:AB$16)*AA13*PRODUCT(AB$4:AB12)</f>
        <v>0</v>
      </c>
      <c r="AD13" s="119">
        <f>AA13*AA14*PRODUCT(AB3:AB12)*PRODUCT(AB15:AB17)+AA13*AA15*PRODUCT(AB3:AB12)*AB14*PRODUCT(AB16:AB17)+AA13*AA16*PRODUCT(AB3:AB12)*AB14*AB15*AB17+AA13*AA17*PRODUCT(AB3:AB12)*AB14*AB15*AB16</f>
        <v>0</v>
      </c>
      <c r="AF13" s="100"/>
      <c r="AG13" s="118">
        <f t="shared" si="8"/>
        <v>6.1479758026989295E-2</v>
      </c>
      <c r="AH13" s="117">
        <f t="shared" si="9"/>
        <v>0.93852024197301076</v>
      </c>
      <c r="AI13" s="117">
        <f>AG13*PRODUCT(AH3:AH12)*PRODUCT(AH14:AH17)</f>
        <v>4.5951059460081191E-2</v>
      </c>
      <c r="AJ13" s="117">
        <f>AG13*AG14*PRODUCT(AH3:AH12)*PRODUCT(AH15:AH17)+AG13*AG15*PRODUCT(AH3:AH12)*AH14*PRODUCT(AH16:AH17)+AG13*AG16*PRODUCT(AH3:AH12)*AH14*AH15*AH17+AG13*AG17*PRODUCT(AH3:AH12)*AH14*AH15*AH16</f>
        <v>3.0021046099785735E-3</v>
      </c>
      <c r="AL13" s="98"/>
      <c r="AN13" s="97"/>
      <c r="AO13" s="96"/>
      <c r="BI13" s="1">
        <v>0</v>
      </c>
      <c r="BJ13" s="1">
        <v>10</v>
      </c>
      <c r="BK13" s="2">
        <f t="shared" si="10"/>
        <v>9.1167468060296768E-11</v>
      </c>
      <c r="BM13" s="1">
        <f>BI57+1</f>
        <v>9</v>
      </c>
      <c r="BN13" s="1">
        <v>9</v>
      </c>
      <c r="BO13" s="2">
        <f>$H$34*H48</f>
        <v>3.1909851025322692E-10</v>
      </c>
      <c r="BQ13" s="1">
        <f>BM7+1</f>
        <v>4</v>
      </c>
      <c r="BR13" s="1">
        <v>3</v>
      </c>
      <c r="BS13" s="2">
        <f>$H$29*H42</f>
        <v>1.60102641479863E-2</v>
      </c>
    </row>
    <row r="14" spans="1:71" ht="15.75" x14ac:dyDescent="0.25">
      <c r="A14" s="136" t="s">
        <v>75</v>
      </c>
      <c r="B14" s="135">
        <v>4</v>
      </c>
      <c r="C14" s="134">
        <v>12.5</v>
      </c>
      <c r="E14" s="4"/>
      <c r="F14" s="4" t="s">
        <v>74</v>
      </c>
      <c r="G14" s="133">
        <f>C22</f>
        <v>0.47058823529411764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5"/>
        <v>6.1326058631921816E-2</v>
      </c>
      <c r="Z14" s="102"/>
      <c r="AA14" s="120">
        <f t="shared" si="6"/>
        <v>6.1326058631921816E-2</v>
      </c>
      <c r="AB14" s="119">
        <f t="shared" si="7"/>
        <v>0.93867394136807814</v>
      </c>
      <c r="AC14" s="119">
        <f>PRODUCT(AB15:AB$16)*AA14*PRODUCT(AB$4:AB13)</f>
        <v>3.6136578866883699E-2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6.1326058631921816E-2</v>
      </c>
      <c r="AH14" s="117">
        <f t="shared" si="9"/>
        <v>0.93867394136807814</v>
      </c>
      <c r="AI14" s="117">
        <f>AG14*PRODUCT(AH3:AH13)*PRODUCT(AH15:AH17)</f>
        <v>4.5828676549906043E-2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1.7924196617763923E-2</v>
      </c>
      <c r="BM14" s="1">
        <f>BQ39+1</f>
        <v>10</v>
      </c>
      <c r="BN14" s="1">
        <v>10</v>
      </c>
      <c r="BO14" s="2">
        <f>$H$35*H49</f>
        <v>2.3553669515903615E-12</v>
      </c>
      <c r="BQ14" s="1">
        <f>BQ10+1</f>
        <v>5</v>
      </c>
      <c r="BR14" s="1">
        <v>0</v>
      </c>
      <c r="BS14" s="2">
        <f>$H$30*H39</f>
        <v>4.4960578053185887E-2</v>
      </c>
    </row>
    <row r="15" spans="1:71" ht="15.75" x14ac:dyDescent="0.25">
      <c r="A15" s="70" t="s">
        <v>72</v>
      </c>
      <c r="B15" s="132">
        <v>5</v>
      </c>
      <c r="C15" s="131">
        <v>9.5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6.1658625330888953E-3</v>
      </c>
      <c r="BQ15" s="1">
        <f>BQ11+1</f>
        <v>5</v>
      </c>
      <c r="BR15" s="1">
        <v>1</v>
      </c>
      <c r="BS15" s="2">
        <f>$H$30*H40</f>
        <v>5.4951998840218931E-2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1.4490245733482041E-3</v>
      </c>
      <c r="BQ16" s="1">
        <f>BQ12+1</f>
        <v>5</v>
      </c>
      <c r="BR16" s="1">
        <v>2</v>
      </c>
      <c r="BS16" s="2">
        <f>$H$30*H41</f>
        <v>3.0924537779747907E-2</v>
      </c>
    </row>
    <row r="17" spans="1:71" x14ac:dyDescent="0.25">
      <c r="A17" s="116" t="s">
        <v>67</v>
      </c>
      <c r="B17" s="115" t="s">
        <v>66</v>
      </c>
      <c r="C17" s="114" t="s">
        <v>139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2.4591899093635378E-4</v>
      </c>
      <c r="BQ17" s="1">
        <f>BQ13+1</f>
        <v>5</v>
      </c>
      <c r="BR17" s="1">
        <v>3</v>
      </c>
      <c r="BS17" s="2">
        <f>$H$30*H42</f>
        <v>1.0637935574767585E-2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0.55311666311585905</v>
      </c>
      <c r="AC18" s="107">
        <f>SUM(AC4:AC16)</f>
        <v>0.34490046488506493</v>
      </c>
      <c r="AD18" s="107">
        <f>SUM(AD3:AD17)</f>
        <v>5.6664164552433643E-2</v>
      </c>
      <c r="AE18" s="107">
        <f>IF((1-AB18-AC18-AD18)&lt;0,(1-AB18-AC18-AD18)-1,1-AB18-AC18-AD18)</f>
        <v>4.5318707446642376E-2</v>
      </c>
      <c r="AF18" s="100"/>
      <c r="AG18" s="4"/>
      <c r="AH18" s="108">
        <f>PRODUCT(AH3:AH17)</f>
        <v>0.70146664247539026</v>
      </c>
      <c r="AI18" s="107">
        <f>SUM(AI3:AI17)</f>
        <v>0.26363154071073602</v>
      </c>
      <c r="AJ18" s="107">
        <f>SUM(AJ3:AJ17)</f>
        <v>3.309696101939729E-2</v>
      </c>
      <c r="AK18" s="107">
        <f>IF((1-AH18-AI18-AJ18)&lt;0,(1-AH18-AI18-AJ18)-1,(1-AH18-AI18-AJ18))</f>
        <v>1.8048557944764301E-3</v>
      </c>
      <c r="AL18" s="98"/>
      <c r="AN18" s="97"/>
      <c r="AO18" s="96"/>
      <c r="BI18" s="1">
        <v>1</v>
      </c>
      <c r="BJ18" s="1">
        <v>6</v>
      </c>
      <c r="BK18" s="2">
        <f t="shared" si="11"/>
        <v>3.1024490675651457E-5</v>
      </c>
      <c r="BQ18" s="1">
        <f>BM8+1</f>
        <v>5</v>
      </c>
      <c r="BR18" s="1">
        <v>4</v>
      </c>
      <c r="BS18" s="2">
        <f>$H$30*H43</f>
        <v>2.4999957386028612E-3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2.9464845628280681E-6</v>
      </c>
      <c r="BQ19" s="1">
        <f>BQ15+1</f>
        <v>6</v>
      </c>
      <c r="BR19" s="1">
        <v>1</v>
      </c>
      <c r="BS19" s="2">
        <f>$H$31*H40</f>
        <v>2.796919808551819E-2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2.1068738463916868E-7</v>
      </c>
      <c r="BQ20" s="1">
        <f>BQ16+1</f>
        <v>6</v>
      </c>
      <c r="BR20" s="1">
        <v>2</v>
      </c>
      <c r="BS20" s="2">
        <f>$H$31*H41</f>
        <v>1.5739819135238104E-2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1.1204972868071955E-8</v>
      </c>
      <c r="BQ21" s="1">
        <f>BQ17+1</f>
        <v>6</v>
      </c>
      <c r="BR21" s="1">
        <v>3</v>
      </c>
      <c r="BS21" s="2">
        <f>$H$31*H42</f>
        <v>5.4144441256228195E-3</v>
      </c>
    </row>
    <row r="22" spans="1:71" x14ac:dyDescent="0.25">
      <c r="A22" s="67" t="s">
        <v>60</v>
      </c>
      <c r="B22" s="74">
        <f>(B6)/((B6)+(C6))</f>
        <v>0.52941176470588236</v>
      </c>
      <c r="C22" s="73">
        <f>1-B22</f>
        <v>0.47058823529411764</v>
      </c>
      <c r="V22" s="52">
        <f>SUM(V25:V35)</f>
        <v>1</v>
      </c>
      <c r="AS22" s="56">
        <f>Y23+AA23+AC23+AE23+AG23+AI23+AK23+AM23+AO23+AQ23+AS23</f>
        <v>0.99999999999999978</v>
      </c>
      <c r="BI22" s="1">
        <v>1</v>
      </c>
      <c r="BJ22" s="1">
        <v>10</v>
      </c>
      <c r="BK22" s="2">
        <f t="shared" si="11"/>
        <v>4.3108756938260572E-10</v>
      </c>
      <c r="BQ22" s="1">
        <f>BQ18+1</f>
        <v>6</v>
      </c>
      <c r="BR22" s="1">
        <v>4</v>
      </c>
      <c r="BS22" s="2">
        <f>$H$31*H43</f>
        <v>1.2724355346790187E-3</v>
      </c>
    </row>
    <row r="23" spans="1:71" ht="15.75" thickBot="1" x14ac:dyDescent="0.3">
      <c r="A23" s="65" t="s">
        <v>59</v>
      </c>
      <c r="B23" s="64">
        <f>((B22^2.8)/((B22^2.8)+(C22^2.8)))*B21</f>
        <v>2.9085444399981513</v>
      </c>
      <c r="C23" s="63">
        <f>B21-B23</f>
        <v>2.0914555600018487</v>
      </c>
      <c r="D23" s="88">
        <f>SUM(D25:D30)</f>
        <v>1</v>
      </c>
      <c r="E23" s="88">
        <f>SUM(E25:E30)</f>
        <v>1.0003500000000001</v>
      </c>
      <c r="H23" s="50">
        <f>SUM(H25:H35)</f>
        <v>0.99993214579982626</v>
      </c>
      <c r="I23" s="51"/>
      <c r="J23" s="50">
        <f>SUM(J25:J35)</f>
        <v>0.99999999999999967</v>
      </c>
      <c r="K23" s="50"/>
      <c r="L23" s="50">
        <f>SUM(L25:L35)</f>
        <v>0.99999999999999989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0.99507943547844246</v>
      </c>
      <c r="Y23" s="50">
        <f>SUM(Y25:Y35)</f>
        <v>1.6153089841581327E-4</v>
      </c>
      <c r="Z23" s="51"/>
      <c r="AA23" s="50">
        <f>SUM(AA25:AA35)</f>
        <v>2.2488122817722715E-3</v>
      </c>
      <c r="AB23" s="51"/>
      <c r="AC23" s="50">
        <f>SUM(AC25:AC35)</f>
        <v>1.4091835432056938E-2</v>
      </c>
      <c r="AD23" s="51"/>
      <c r="AE23" s="50">
        <f>SUM(AE25:AE35)</f>
        <v>5.2345738555502827E-2</v>
      </c>
      <c r="AF23" s="51"/>
      <c r="AG23" s="50">
        <f>SUM(AG25:AG35)</f>
        <v>0.12766407357345672</v>
      </c>
      <c r="AH23" s="51"/>
      <c r="AI23" s="50">
        <f>SUM(AI25:AI35)</f>
        <v>0.21365109092192625</v>
      </c>
      <c r="AJ23" s="51"/>
      <c r="AK23" s="50">
        <f>SUM(AK25:AK35)</f>
        <v>0.24858053127875984</v>
      </c>
      <c r="AL23" s="51"/>
      <c r="AM23" s="50">
        <f>SUM(AM25:AM35)</f>
        <v>0.19871150190441825</v>
      </c>
      <c r="AN23" s="51"/>
      <c r="AO23" s="50">
        <f>SUM(AO25:AO35)</f>
        <v>0.10464975128995821</v>
      </c>
      <c r="AP23" s="51"/>
      <c r="AQ23" s="50">
        <f>SUM(AQ25:AQ35)</f>
        <v>3.2974569342175138E-2</v>
      </c>
      <c r="AR23" s="51"/>
      <c r="AS23" s="50">
        <f>SUM(AS25:AS35)</f>
        <v>4.9205645215575329E-3</v>
      </c>
      <c r="BI23" s="1">
        <f t="shared" ref="BI23:BI30" si="12">BI15+1</f>
        <v>2</v>
      </c>
      <c r="BJ23" s="1">
        <v>3</v>
      </c>
      <c r="BK23" s="2">
        <f t="shared" ref="BK23:BK30" si="13">$H$27*H42</f>
        <v>1.3363165884541952E-2</v>
      </c>
      <c r="BQ23" s="1">
        <f>BM9+1</f>
        <v>6</v>
      </c>
      <c r="BR23" s="1">
        <v>5</v>
      </c>
      <c r="BS23" s="2">
        <f>$H$31*H44</f>
        <v>2.1594945211783484E-4</v>
      </c>
    </row>
    <row r="24" spans="1:71" ht="15.75" thickBot="1" x14ac:dyDescent="0.3">
      <c r="A24" s="67" t="s">
        <v>58</v>
      </c>
      <c r="B24" s="87">
        <f>B23/B21</f>
        <v>0.58170888799963028</v>
      </c>
      <c r="C24" s="86">
        <f>C23/B21</f>
        <v>0.41829111200036972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3.1404455808925033E-3</v>
      </c>
      <c r="BQ24" s="1">
        <f>BI49+1</f>
        <v>7</v>
      </c>
      <c r="BR24" s="1">
        <v>0</v>
      </c>
      <c r="BS24" s="2">
        <f t="shared" ref="BS24:BS30" si="14">$H$32*H39</f>
        <v>9.1833524657651978E-3</v>
      </c>
    </row>
    <row r="25" spans="1:71" x14ac:dyDescent="0.25">
      <c r="A25" s="67" t="s">
        <v>32</v>
      </c>
      <c r="B25" s="77">
        <f>1/(1+EXP(-3.1416*4*((B11/(B11+C8))-(3.1416/6))))</f>
        <v>0.38984365591217396</v>
      </c>
      <c r="C25" s="73">
        <f>1/(1+EXP(-3.1416*4*((C11/(C11+B8))-(3.1416/6))))</f>
        <v>9.0598009396570551E-3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0.23499999999999999</v>
      </c>
      <c r="G25" s="76">
        <v>0</v>
      </c>
      <c r="H25" s="75">
        <f>L25*J25</f>
        <v>1.7707344765710526E-2</v>
      </c>
      <c r="I25" s="36">
        <v>0</v>
      </c>
      <c r="J25" s="34">
        <f t="shared" ref="J25:J35" si="15">Y25+AA25+AC25+AE25+AG25+AI25+AK25+AM25+AO25+AQ25+AS25</f>
        <v>3.2013761194537436E-2</v>
      </c>
      <c r="K25" s="36">
        <v>0</v>
      </c>
      <c r="L25" s="34">
        <f>AB18</f>
        <v>0.55311666311585905</v>
      </c>
      <c r="M25" s="17">
        <v>0</v>
      </c>
      <c r="N25" s="32">
        <f>(1-$B$24)^$B$21</f>
        <v>1.2805401007600645E-2</v>
      </c>
      <c r="O25" s="16">
        <v>0</v>
      </c>
      <c r="P25" s="32">
        <f t="shared" ref="P25:P30" si="16">N25</f>
        <v>1.2805401007600645E-2</v>
      </c>
      <c r="Q25" s="10">
        <v>0</v>
      </c>
      <c r="R25" s="11">
        <f>P25*N25</f>
        <v>1.6397829496545962E-4</v>
      </c>
      <c r="S25" s="16">
        <v>0</v>
      </c>
      <c r="T25" s="15">
        <f>(1-$B$33)^(INT(C23*2*(1-C31)))</f>
        <v>0.98507487500000002</v>
      </c>
      <c r="U25" s="24">
        <v>0</v>
      </c>
      <c r="V25" s="23">
        <f>R25*T25</f>
        <v>1.6153089841581327E-4</v>
      </c>
      <c r="W25" s="33">
        <f>B31</f>
        <v>0.4996514876983506</v>
      </c>
      <c r="X25" s="10">
        <v>0</v>
      </c>
      <c r="Y25" s="9">
        <f>V25</f>
        <v>1.6153089841581327E-4</v>
      </c>
      <c r="Z25" s="10">
        <v>0</v>
      </c>
      <c r="AA25" s="9">
        <f>((1-W25)^Z26)*V26</f>
        <v>1.1251898796304336E-3</v>
      </c>
      <c r="AB25" s="10">
        <v>0</v>
      </c>
      <c r="AC25" s="9">
        <f>(((1-$W$25)^AB27))*V27</f>
        <v>3.5278717476210737E-3</v>
      </c>
      <c r="AD25" s="10">
        <v>0</v>
      </c>
      <c r="AE25" s="9">
        <f>(((1-$W$25)^AB28))*V28</f>
        <v>6.5569092089576529E-3</v>
      </c>
      <c r="AF25" s="10">
        <v>0</v>
      </c>
      <c r="AG25" s="9">
        <f>(((1-$W$25)^AB29))*V29</f>
        <v>8.0012741184860604E-3</v>
      </c>
      <c r="AH25" s="10">
        <v>0</v>
      </c>
      <c r="AI25" s="9">
        <f>(((1-$W$25)^AB30))*V30</f>
        <v>6.6998978121772844E-3</v>
      </c>
      <c r="AJ25" s="10">
        <v>0</v>
      </c>
      <c r="AK25" s="9">
        <f>(((1-$W$25)^AB31))*V31</f>
        <v>3.9003428907537453E-3</v>
      </c>
      <c r="AL25" s="10">
        <v>0</v>
      </c>
      <c r="AM25" s="9">
        <f>(((1-$W$25)^AB32))*V32</f>
        <v>1.5600240570115696E-3</v>
      </c>
      <c r="AN25" s="10">
        <v>0</v>
      </c>
      <c r="AO25" s="9">
        <f>(((1-$W$25)^AB33))*V33</f>
        <v>4.1107314258574218E-4</v>
      </c>
      <c r="AP25" s="10">
        <v>0</v>
      </c>
      <c r="AQ25" s="9">
        <f>(((1-$W$25)^AB34))*V34</f>
        <v>6.4808601158661391E-5</v>
      </c>
      <c r="AR25" s="10">
        <v>0</v>
      </c>
      <c r="AS25" s="9">
        <f>(((1-$W$25)^AB35))*V35</f>
        <v>4.8388377393994861E-6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5.3297592225030638E-4</v>
      </c>
      <c r="BQ25" s="1">
        <f>BQ19+1</f>
        <v>7</v>
      </c>
      <c r="BR25" s="1">
        <v>1</v>
      </c>
      <c r="BS25" s="2">
        <f t="shared" si="14"/>
        <v>1.1224134472895015E-2</v>
      </c>
    </row>
    <row r="26" spans="1:71" x14ac:dyDescent="0.25">
      <c r="A26" s="65" t="s">
        <v>31</v>
      </c>
      <c r="B26" s="74">
        <f>1/(1+EXP(-3.1416*4*((B10/(B10+C9))-(3.1416/6))))</f>
        <v>0.56822993442447101</v>
      </c>
      <c r="C26" s="73">
        <f>1/(1+EXP(-3.1416*4*((C10/(C10+B9))-(3.1416/6))))</f>
        <v>6.2320460181110923E-3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0.16705</v>
      </c>
      <c r="G26" s="62">
        <v>1</v>
      </c>
      <c r="H26" s="61">
        <f>L25*J26+L26*J25</f>
        <v>8.3729606379123439E-2</v>
      </c>
      <c r="I26" s="24">
        <v>1</v>
      </c>
      <c r="J26" s="23">
        <f t="shared" si="15"/>
        <v>0.13141539589665618</v>
      </c>
      <c r="K26" s="24">
        <v>1</v>
      </c>
      <c r="L26" s="23">
        <f>AC18</f>
        <v>0.34490046488506493</v>
      </c>
      <c r="M26" s="17">
        <v>1</v>
      </c>
      <c r="N26" s="32">
        <f>(($B$24)^M26)*((1-($B$24))^($B$21-M26))*HLOOKUP($B$21,$AV$24:$BF$34,M26+1)</f>
        <v>8.9041045420469422E-2</v>
      </c>
      <c r="O26" s="16">
        <v>1</v>
      </c>
      <c r="P26" s="32">
        <f t="shared" si="16"/>
        <v>8.9041045420469422E-2</v>
      </c>
      <c r="Q26" s="10">
        <v>1</v>
      </c>
      <c r="R26" s="11">
        <f>N26*P25+P26*N25</f>
        <v>2.2804125854901879E-3</v>
      </c>
      <c r="S26" s="16">
        <v>1</v>
      </c>
      <c r="T26" s="15">
        <f t="shared" ref="T26:T35" si="17">(($B$33)^S26)*((1-($B$33))^(INT($C$23*2*(1-$C$31))-S26))*HLOOKUP(INT($C$23*2*(1-$C$31)),$AV$24:$BF$34,S26+1)</f>
        <v>1.4850375000000002E-2</v>
      </c>
      <c r="U26" s="24">
        <v>1</v>
      </c>
      <c r="V26" s="23">
        <f>R26*T25+T26*R25</f>
        <v>2.2488122817722715E-3</v>
      </c>
      <c r="W26" s="12"/>
      <c r="X26" s="10">
        <v>1</v>
      </c>
      <c r="Y26" s="11"/>
      <c r="Z26" s="10">
        <v>1</v>
      </c>
      <c r="AA26" s="9">
        <f>(1-((1-W25)^Z26))*V26</f>
        <v>1.123622402141838E-3</v>
      </c>
      <c r="AB26" s="10">
        <v>1</v>
      </c>
      <c r="AC26" s="9">
        <f>((($W$25)^M26)*((1-($W$25))^($U$27-M26))*HLOOKUP($U$27,$AV$24:$BF$34,M26+1))*V27</f>
        <v>7.0459142928165708E-3</v>
      </c>
      <c r="AD26" s="10">
        <v>1</v>
      </c>
      <c r="AE26" s="9">
        <f>((($W$25)^M26)*((1-($W$25))^($U$28-M26))*HLOOKUP($U$28,$AV$24:$BF$34,M26+1))*V28</f>
        <v>1.9643324765100379E-2</v>
      </c>
      <c r="AF26" s="10">
        <v>1</v>
      </c>
      <c r="AG26" s="9">
        <f>((($W$25)^M26)*((1-($W$25))^($U$29-M26))*HLOOKUP($U$29,$AV$24:$BF$34,M26+1))*V29</f>
        <v>3.196051087185927E-2</v>
      </c>
      <c r="AH26" s="10">
        <v>1</v>
      </c>
      <c r="AI26" s="9">
        <f>((($W$25)^M26)*((1-($W$25))^($U$30-M26))*HLOOKUP($U$30,$AV$24:$BF$34,M26+1))*V30</f>
        <v>3.3452821653071091E-2</v>
      </c>
      <c r="AJ26" s="10">
        <v>1</v>
      </c>
      <c r="AK26" s="9">
        <f>((($W$25)^M26)*((1-($W$25))^($U$31-M26))*HLOOKUP($U$31,$AV$24:$BF$34,M26+1))*V31</f>
        <v>2.3369456448675083E-2</v>
      </c>
      <c r="AL26" s="10">
        <v>1</v>
      </c>
      <c r="AM26" s="9">
        <f>((($W$25)^Q26)*((1-($W$25))^($U$32-Q26))*HLOOKUP($U$32,$AV$24:$BF$34,Q26+1))*V32</f>
        <v>1.0904955750578628E-2</v>
      </c>
      <c r="AN26" s="10">
        <v>1</v>
      </c>
      <c r="AO26" s="9">
        <f>((($W$25)^Q26)*((1-($W$25))^($U$33-Q26))*HLOOKUP($U$33,$AV$24:$BF$34,Q26+1))*V33</f>
        <v>3.2840038844280618E-3</v>
      </c>
      <c r="AP26" s="10">
        <v>1</v>
      </c>
      <c r="AQ26" s="9">
        <f>((($W$25)^Q26)*((1-($W$25))^($U$34-Q26))*HLOOKUP($U$34,$AV$24:$BF$34,Q26+1))*V34</f>
        <v>5.8246485938478771E-4</v>
      </c>
      <c r="AR26" s="10">
        <v>1</v>
      </c>
      <c r="AS26" s="9">
        <f>((($W$25)^Q26)*((1-($W$25))^($U$35-Q26))*HLOOKUP($U$35,$AV$24:$BF$34,Q26+1))*V35</f>
        <v>4.8320968600467795E-5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6.7238835306057608E-5</v>
      </c>
      <c r="BQ26" s="1">
        <f>BQ20+1</f>
        <v>7</v>
      </c>
      <c r="BR26" s="1">
        <v>2</v>
      </c>
      <c r="BS26" s="2">
        <f t="shared" si="14"/>
        <v>6.3164430389740832E-3</v>
      </c>
    </row>
    <row r="27" spans="1:71" x14ac:dyDescent="0.25">
      <c r="A27" s="67" t="s">
        <v>30</v>
      </c>
      <c r="B27" s="74">
        <f>1/(1+EXP(-3.1416*4*((B12/(B12+C7))-(3.1416/6))))</f>
        <v>0.52916719319545169</v>
      </c>
      <c r="C27" s="73">
        <f>1/(1+EXP(-3.1416*4*((C12/(C12+B7))-(3.1416/6))))</f>
        <v>6.2320460181110923E-3</v>
      </c>
      <c r="D27" s="8">
        <f>D26</f>
        <v>0.25700000000000001</v>
      </c>
      <c r="E27" s="8">
        <f>E26</f>
        <v>0.16705</v>
      </c>
      <c r="G27" s="62">
        <v>2</v>
      </c>
      <c r="H27" s="61">
        <f>L25*J27+J26*L26+J25*L27</f>
        <v>0.1814657095397649</v>
      </c>
      <c r="I27" s="24">
        <v>2</v>
      </c>
      <c r="J27" s="23">
        <f t="shared" si="15"/>
        <v>0.24285373109713554</v>
      </c>
      <c r="K27" s="24">
        <v>2</v>
      </c>
      <c r="L27" s="23">
        <f>AD18</f>
        <v>5.6664164552433643E-2</v>
      </c>
      <c r="M27" s="17">
        <v>2</v>
      </c>
      <c r="N27" s="32">
        <f>(($B$24)^M27)*((1-($B$24))^($B$21-M27))*HLOOKUP($B$21,$AV$24:$BF$34,M27+1)</f>
        <v>0.24765511880070762</v>
      </c>
      <c r="O27" s="16">
        <v>2</v>
      </c>
      <c r="P27" s="32">
        <f t="shared" si="16"/>
        <v>0.24765511880070762</v>
      </c>
      <c r="Q27" s="10">
        <v>2</v>
      </c>
      <c r="R27" s="11">
        <f>P25*N27+P26*N26+P27*N25</f>
        <v>1.4270953985226176E-2</v>
      </c>
      <c r="S27" s="16">
        <v>2</v>
      </c>
      <c r="T27" s="15">
        <f t="shared" si="17"/>
        <v>7.4625000000000011E-5</v>
      </c>
      <c r="U27" s="24">
        <v>2</v>
      </c>
      <c r="V27" s="23">
        <f>R27*T25+T26*R26+R25*T27</f>
        <v>1.4091835432056939E-2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3.5180493916192931E-3</v>
      </c>
      <c r="AD27" s="10">
        <v>2</v>
      </c>
      <c r="AE27" s="9">
        <f>((($W$25)^M27)*((1-($W$25))^($U$28-M27))*HLOOKUP($U$28,$AV$24:$BF$34,M27+1))*V28</f>
        <v>1.9615960077657063E-2</v>
      </c>
      <c r="AF27" s="10">
        <v>2</v>
      </c>
      <c r="AG27" s="9">
        <f>((($W$25)^M27)*((1-($W$25))^($U$29-M27))*HLOOKUP($U$29,$AV$24:$BF$34,M27+1))*V29</f>
        <v>4.7873981071506692E-2</v>
      </c>
      <c r="AH27" s="10">
        <v>2</v>
      </c>
      <c r="AI27" s="9">
        <f>((($W$25)^M27)*((1-($W$25))^($U$30-M27))*HLOOKUP($U$30,$AV$24:$BF$34,M27+1))*V30</f>
        <v>6.6812438513208186E-2</v>
      </c>
      <c r="AJ27" s="10">
        <v>2</v>
      </c>
      <c r="AK27" s="9">
        <f>((($W$25)^M27)*((1-($W$25))^($U$31-M27))*HLOOKUP($U$31,$AV$24:$BF$34,M27+1))*V31</f>
        <v>5.8342252421062266E-2</v>
      </c>
      <c r="AL27" s="10">
        <v>2</v>
      </c>
      <c r="AM27" s="9">
        <f>((($W$25)^Q27)*((1-($W$25))^($U$32-Q27))*HLOOKUP($U$32,$AV$24:$BF$34,Q27+1))*V32</f>
        <v>3.2669292883455638E-2</v>
      </c>
      <c r="AN27" s="10">
        <v>2</v>
      </c>
      <c r="AO27" s="9">
        <f>((($W$25)^Q27)*((1-($W$25))^($U$33-Q27))*HLOOKUP($U$33,$AV$24:$BF$34,Q27+1))*V33</f>
        <v>1.1478001535764377E-2</v>
      </c>
      <c r="AP27" s="10">
        <v>2</v>
      </c>
      <c r="AQ27" s="9">
        <f>((($W$25)^Q27)*((1-($W$25))^($U$34-Q27))*HLOOKUP($U$34,$AV$24:$BF$34,Q27+1))*V34</f>
        <v>2.3266137611550599E-3</v>
      </c>
      <c r="AR27" s="10">
        <v>2</v>
      </c>
      <c r="AS27" s="9">
        <f>((($W$25)^Q27)*((1-($W$25))^($U$35-Q27))*HLOOKUP($U$35,$AV$24:$BF$34,Q27+1))*V35</f>
        <v>2.1714144170697564E-4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6.3858643909124391E-6</v>
      </c>
      <c r="BQ27" s="1">
        <f>BQ21+1</f>
        <v>7</v>
      </c>
      <c r="BR27" s="1">
        <v>3</v>
      </c>
      <c r="BS27" s="2">
        <f t="shared" si="14"/>
        <v>2.1728348727106904E-3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0.23984106266318303</v>
      </c>
      <c r="I28" s="24">
        <v>3</v>
      </c>
      <c r="J28" s="23">
        <f t="shared" si="15"/>
        <v>0.26609817029183463</v>
      </c>
      <c r="K28" s="24">
        <v>3</v>
      </c>
      <c r="L28" s="23">
        <f>AE18</f>
        <v>4.5318707446642376E-2</v>
      </c>
      <c r="M28" s="17">
        <v>3</v>
      </c>
      <c r="N28" s="32">
        <f>(($B$24)^M28)*((1-($B$24))^($B$21-M28))*HLOOKUP($B$21,$AV$24:$BF$34,M28+1)</f>
        <v>0.34440890478411268</v>
      </c>
      <c r="O28" s="16">
        <v>3</v>
      </c>
      <c r="P28" s="32">
        <f t="shared" si="16"/>
        <v>0.34440890478411268</v>
      </c>
      <c r="Q28" s="10">
        <v>3</v>
      </c>
      <c r="R28" s="11">
        <f>P25*N28+P26*N27+P27*N26+P28*N25</f>
        <v>5.2923529636189334E-2</v>
      </c>
      <c r="S28" s="16">
        <v>3</v>
      </c>
      <c r="T28" s="15">
        <f t="shared" si="17"/>
        <v>1.2500000000000002E-7</v>
      </c>
      <c r="U28" s="24">
        <v>3</v>
      </c>
      <c r="V28" s="23">
        <f>R28*T25+R27*T26+R26*T27+R25*T28</f>
        <v>5.2345738555502834E-2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6.5295445037877294E-3</v>
      </c>
      <c r="AF28" s="10">
        <v>3</v>
      </c>
      <c r="AG28" s="9">
        <f>((($W$25)^M28)*((1-($W$25))^($U$29-M28))*HLOOKUP($U$29,$AV$24:$BF$34,M28+1))*V29</f>
        <v>3.1871525914854003E-2</v>
      </c>
      <c r="AH28" s="10">
        <v>3</v>
      </c>
      <c r="AI28" s="9">
        <f>((($W$25)^M28)*((1-($W$25))^($U$30-M28))*HLOOKUP($U$30,$AV$24:$BF$34,M28+1))*V30</f>
        <v>6.6719363561839065E-2</v>
      </c>
      <c r="AJ28" s="10">
        <v>3</v>
      </c>
      <c r="AK28" s="9">
        <f>((($W$25)^M28)*((1-($W$25))^($U$31-M28))*HLOOKUP($U$31,$AV$24:$BF$34,M28+1))*V31</f>
        <v>7.7681302801681479E-2</v>
      </c>
      <c r="AL28" s="10">
        <v>3</v>
      </c>
      <c r="AM28" s="9">
        <f>((($W$25)^Q28)*((1-($W$25))^($U$32-Q28))*HLOOKUP($U$32,$AV$24:$BF$34,Q28+1))*V32</f>
        <v>5.437297000639027E-2</v>
      </c>
      <c r="AN28" s="10">
        <v>3</v>
      </c>
      <c r="AO28" s="9">
        <f>((($W$25)^Q28)*((1-($W$25))^($U$33-Q28))*HLOOKUP($U$33,$AV$24:$BF$34,Q28+1))*V33</f>
        <v>2.2924023564163679E-2</v>
      </c>
      <c r="AP28" s="10">
        <v>3</v>
      </c>
      <c r="AQ28" s="9">
        <f>((($W$25)^Q28)*((1-($W$25))^($U$34-Q28))*HLOOKUP($U$34,$AV$24:$BF$34,Q28+1))*V34</f>
        <v>5.4212027479212735E-3</v>
      </c>
      <c r="AR28" s="10">
        <v>3</v>
      </c>
      <c r="AS28" s="9">
        <f>((($W$25)^Q28)*((1-($W$25))^($U$35-Q28))*HLOOKUP($U$35,$AV$24:$BF$34,Q28+1))*V35</f>
        <v>5.7823719119708713E-4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4.5661907893737273E-7</v>
      </c>
      <c r="BQ28" s="1">
        <f>BQ22+1</f>
        <v>7</v>
      </c>
      <c r="BR28" s="1">
        <v>4</v>
      </c>
      <c r="BS28" s="2">
        <f t="shared" si="14"/>
        <v>5.1063271480501467E-4</v>
      </c>
    </row>
    <row r="29" spans="1:71" x14ac:dyDescent="0.25">
      <c r="A29" s="67" t="s">
        <v>28</v>
      </c>
      <c r="B29" s="74">
        <f>1/(1+EXP(-3.1416*4*((B14/(B14+C13))-(3.1416/6))))</f>
        <v>1.7950143588563956E-2</v>
      </c>
      <c r="C29" s="73">
        <f>1/(1+EXP(-3.1416*4*((C14/(C14+B13))-(3.1416/6))))</f>
        <v>0.6739882978488535</v>
      </c>
      <c r="D29" s="8">
        <v>0.04</v>
      </c>
      <c r="E29" s="8">
        <v>0.04</v>
      </c>
      <c r="G29" s="62">
        <v>4</v>
      </c>
      <c r="H29" s="61">
        <f>J29*L25+J28*L26+J27*L27+J26*L28</f>
        <v>0.21741209894686411</v>
      </c>
      <c r="I29" s="24">
        <v>4</v>
      </c>
      <c r="J29" s="23">
        <f t="shared" si="15"/>
        <v>0.19149312199309601</v>
      </c>
      <c r="K29" s="24">
        <v>4</v>
      </c>
      <c r="L29" s="23"/>
      <c r="M29" s="17">
        <v>4</v>
      </c>
      <c r="N29" s="32">
        <f>(($B$24)^M29)*((1-($B$24))^($B$21-M29))*HLOOKUP($B$21,$AV$24:$BF$34,M29+1)</f>
        <v>0.23948120731161948</v>
      </c>
      <c r="O29" s="16">
        <v>4</v>
      </c>
      <c r="P29" s="32">
        <f t="shared" si="16"/>
        <v>0.23948120731161948</v>
      </c>
      <c r="Q29" s="10">
        <v>4</v>
      </c>
      <c r="R29" s="11">
        <f>P25*N29+P26*N28+P27*N27+P28*N26+P29*N25</f>
        <v>0.12879942152320448</v>
      </c>
      <c r="S29" s="16">
        <v>4</v>
      </c>
      <c r="T29" s="15">
        <f t="shared" si="17"/>
        <v>0</v>
      </c>
      <c r="U29" s="24">
        <v>4</v>
      </c>
      <c r="V29" s="23">
        <f>T29*R25+T28*R26+T27*R27+T26*R28+T25*R29</f>
        <v>0.12766407357345672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7.9567815967506589E-3</v>
      </c>
      <c r="AH29" s="10">
        <v>4</v>
      </c>
      <c r="AI29" s="9">
        <f>((($W$25)^M29)*((1-($W$25))^($U$30-M29))*HLOOKUP($U$30,$AV$24:$BF$34,M29+1))*V30</f>
        <v>3.3313209135577677E-2</v>
      </c>
      <c r="AJ29" s="10">
        <v>4</v>
      </c>
      <c r="AK29" s="9">
        <f>((($W$25)^M29)*((1-($W$25))^($U$31-M29))*HLOOKUP($U$31,$AV$24:$BF$34,M29+1))*V31</f>
        <v>5.8179815004335923E-2</v>
      </c>
      <c r="AL29" s="10">
        <v>4</v>
      </c>
      <c r="AM29" s="9">
        <f>((($W$25)^Q29)*((1-($W$25))^($U$32-Q29))*HLOOKUP($U$32,$AV$24:$BF$34,Q29+1))*V32</f>
        <v>5.4297224207378016E-2</v>
      </c>
      <c r="AN29" s="10">
        <v>4</v>
      </c>
      <c r="AO29" s="9">
        <f>((($W$25)^Q29)*((1-($W$25))^($U$33-Q29))*HLOOKUP($U$33,$AV$24:$BF$34,Q29+1))*V33</f>
        <v>2.8615110758441312E-2</v>
      </c>
      <c r="AP29" s="10">
        <v>4</v>
      </c>
      <c r="AQ29" s="9">
        <f>((($W$25)^Q29)*((1-($W$25))^($U$34-Q29))*HLOOKUP($U$34,$AV$24:$BF$34,Q29+1))*V34</f>
        <v>8.1204758828589043E-3</v>
      </c>
      <c r="AR29" s="10">
        <v>4</v>
      </c>
      <c r="AS29" s="9">
        <f>((($W$25)^Q29)*((1-($W$25))^($U$35-Q29))*HLOOKUP($U$35,$AV$24:$BF$34,Q29+1))*V35</f>
        <v>1.0105054077535201E-3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2.4284341463063003E-8</v>
      </c>
      <c r="BQ29" s="1">
        <f>BQ23+1</f>
        <v>7</v>
      </c>
      <c r="BR29" s="1">
        <v>5</v>
      </c>
      <c r="BS29" s="2">
        <f t="shared" si="14"/>
        <v>8.6661250798377132E-5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0.55000000000000004</v>
      </c>
      <c r="D30" s="8">
        <f>IF(B17="TL",0.875*B32,0.001)</f>
        <v>1E-3</v>
      </c>
      <c r="E30" s="8">
        <f>IF(C17="TL",0.875*C32,0.001)</f>
        <v>0.30624999999999997</v>
      </c>
      <c r="G30" s="62">
        <v>5</v>
      </c>
      <c r="H30" s="61">
        <f>J30*L25+J29*L26+J28*L27+J27*L28</f>
        <v>0.14445832251072707</v>
      </c>
      <c r="I30" s="24">
        <v>5</v>
      </c>
      <c r="J30" s="23">
        <f t="shared" si="15"/>
        <v>9.4606095787825084E-2</v>
      </c>
      <c r="K30" s="24">
        <v>5</v>
      </c>
      <c r="L30" s="23"/>
      <c r="M30" s="17">
        <v>5</v>
      </c>
      <c r="N30" s="32">
        <f>(($B$24)^M30)*((1-($B$24))^($B$21-M30))*HLOOKUP($B$21,$AV$24:$BF$34,M30+1)</f>
        <v>6.6608322675490148E-2</v>
      </c>
      <c r="O30" s="16">
        <v>5</v>
      </c>
      <c r="P30" s="32">
        <f t="shared" si="16"/>
        <v>6.6608322675490148E-2</v>
      </c>
      <c r="Q30" s="10">
        <v>5</v>
      </c>
      <c r="R30" s="11">
        <f>P25*N30+P26*N29+P27*N28+P28*N27+P29*N26+P30*N25</f>
        <v>0.21494246314043419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0.21365109092192633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6.6533602460529606E-3</v>
      </c>
      <c r="AJ30" s="10">
        <v>5</v>
      </c>
      <c r="AK30" s="9">
        <f>((($W$25)^M30)*((1-($W$25))^($U$31-M30))*HLOOKUP($U$31,$AV$24:$BF$34,M30+1))*V31</f>
        <v>2.3239506389023345E-2</v>
      </c>
      <c r="AL30" s="10">
        <v>5</v>
      </c>
      <c r="AM30" s="9">
        <f>((($W$25)^Q30)*((1-($W$25))^($U$32-Q30))*HLOOKUP($U$32,$AV$24:$BF$34,Q30+1))*V32</f>
        <v>3.253295035691213E-2</v>
      </c>
      <c r="AN30" s="10">
        <v>5</v>
      </c>
      <c r="AO30" s="9">
        <f>((($W$25)^Q30)*((1-($W$25))^($U$33-Q30))*HLOOKUP($U$33,$AV$24:$BF$34,Q30+1))*V33</f>
        <v>2.2860198137235312E-2</v>
      </c>
      <c r="AP30" s="10">
        <v>5</v>
      </c>
      <c r="AQ30" s="9">
        <f>((($W$25)^Q30)*((1-($W$25))^($U$34-Q30))*HLOOKUP($U$34,$AV$24:$BF$34,Q30+1))*V34</f>
        <v>8.1091634249586906E-3</v>
      </c>
      <c r="AR30" s="10">
        <v>5</v>
      </c>
      <c r="AS30" s="9">
        <f>((($W$25)^Q30)*((1-($W$25))^($U$35-Q30))*HLOOKUP($U$35,$AV$24:$BF$34,Q30+1))*V35</f>
        <v>1.210917233642652E-3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9.3428853943940088E-10</v>
      </c>
      <c r="BQ30" s="1">
        <f>BM10+1</f>
        <v>7</v>
      </c>
      <c r="BR30" s="1">
        <v>6</v>
      </c>
      <c r="BS30" s="2">
        <f t="shared" si="14"/>
        <v>1.0932954616873752E-5</v>
      </c>
    </row>
    <row r="31" spans="1:71" x14ac:dyDescent="0.25">
      <c r="A31" s="70" t="s">
        <v>26</v>
      </c>
      <c r="B31" s="69">
        <f>(B25*D25)+(B26*D26)+(B27*D27)+(B28*D28)+(B29*D29)+(B30*D30)/(B25+B26+B27+B28+B29+B30)</f>
        <v>0.4996514876983506</v>
      </c>
      <c r="C31" s="68">
        <f>(C25*E25)+(C26*E26)+(C27*E27)+(C28*E28)+(C29*E29)+(C30*E30)/(C25+C26+C27+C28+C29+C30)</f>
        <v>0.18617760657598442</v>
      </c>
      <c r="G31" s="62">
        <v>6</v>
      </c>
      <c r="H31" s="61">
        <f>J31*L25+J30*L26+J29*L27+J28*L28</f>
        <v>7.352568646596841E-2</v>
      </c>
      <c r="I31" s="24">
        <v>6</v>
      </c>
      <c r="J31" s="23">
        <f t="shared" si="15"/>
        <v>3.2517510934579434E-2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0.24909673675864324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0.24858053127875993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3.8678553232279894E-3</v>
      </c>
      <c r="AL31" s="10">
        <v>6</v>
      </c>
      <c r="AM31" s="9">
        <f>((($W$25)^Q31)*((1-($W$25))^($U$32-Q31))*HLOOKUP($U$32,$AV$24:$BF$34,Q31+1))*V32</f>
        <v>1.0829209804363896E-2</v>
      </c>
      <c r="AN31" s="10">
        <v>6</v>
      </c>
      <c r="AO31" s="9">
        <f>((($W$25)^Q31)*((1-($W$25))^($U$33-Q31))*HLOOKUP($U$33,$AV$24:$BF$34,Q31+1))*V33</f>
        <v>1.1414176046817673E-2</v>
      </c>
      <c r="AP31" s="10">
        <v>6</v>
      </c>
      <c r="AQ31" s="9">
        <f>((($W$25)^Q31)*((1-($W$25))^($U$34-Q31))*HLOOKUP($U$34,$AV$24:$BF$34,Q31+1))*V34</f>
        <v>5.3985778174646211E-3</v>
      </c>
      <c r="AR31" s="10">
        <v>6</v>
      </c>
      <c r="AS31" s="9">
        <f>((($W$25)^Q31)*((1-($W$25))^($U$35-Q31))*HLOOKUP($U$35,$AV$24:$BF$34,Q31+1))*V35</f>
        <v>1.0076919427052589E-3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4.1506894457771009E-3</v>
      </c>
      <c r="BQ31" s="1">
        <f t="shared" ref="BQ31:BQ37" si="21">BQ24+1</f>
        <v>8</v>
      </c>
      <c r="BR31" s="1">
        <v>0</v>
      </c>
      <c r="BS31" s="2">
        <f t="shared" ref="BS31:BS38" si="22">$H$33*H39</f>
        <v>2.939387079852905E-3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0.35</v>
      </c>
      <c r="G32" s="62">
        <v>7</v>
      </c>
      <c r="H32" s="61">
        <f>J32*L25+J31*L26+J30*L27+J29*L28</f>
        <v>2.9506108454830829E-2</v>
      </c>
      <c r="I32" s="24">
        <v>7</v>
      </c>
      <c r="J32" s="23">
        <f t="shared" si="15"/>
        <v>7.6869997725319879E-3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0.19795070478377255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0.19871150190441833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1.5448748383280926E-3</v>
      </c>
      <c r="AN32" s="10">
        <v>7</v>
      </c>
      <c r="AO32" s="9">
        <f>((($W$25)^Q32)*((1-($W$25))^($U$33-Q32))*HLOOKUP($U$33,$AV$24:$BF$34,Q32+1))*V33</f>
        <v>3.2566500591520537E-3</v>
      </c>
      <c r="AP32" s="10">
        <v>7</v>
      </c>
      <c r="AQ32" s="9">
        <f>((($W$25)^Q32)*((1-($W$25))^($U$34-Q32))*HLOOKUP($U$34,$AV$24:$BF$34,Q32+1))*V34</f>
        <v>2.3104530756056898E-3</v>
      </c>
      <c r="AR32" s="10">
        <v>7</v>
      </c>
      <c r="AS32" s="9">
        <f>((($W$25)^Q32)*((1-($W$25))^($U$35-Q32))*HLOOKUP($U$35,$AV$24:$BF$34,Q32+1))*V35</f>
        <v>5.7502179944615153E-4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7.0442791583382857E-4</v>
      </c>
      <c r="BQ32" s="1">
        <f t="shared" si="21"/>
        <v>8</v>
      </c>
      <c r="BR32" s="1">
        <v>1</v>
      </c>
      <c r="BS32" s="2">
        <f t="shared" si="22"/>
        <v>3.5925960563041679E-3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9.4442497216773863E-3</v>
      </c>
      <c r="I33" s="24">
        <v>8</v>
      </c>
      <c r="J33" s="23">
        <f t="shared" si="15"/>
        <v>1.1986555507383114E-3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0.10323224757977553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0.10464975128995826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4.0651416136999703E-4</v>
      </c>
      <c r="AP33" s="10">
        <v>8</v>
      </c>
      <c r="AQ33" s="9">
        <f>((($W$25)^Q33)*((1-($W$25))^($U$34-Q33))*HLOOKUP($U$34,$AV$24:$BF$34,Q33+1))*V34</f>
        <v>5.7680860845032186E-4</v>
      </c>
      <c r="AR33" s="10">
        <v>8</v>
      </c>
      <c r="AS33" s="9">
        <f>((($W$25)^Q33)*((1-($W$25))^($U$35-Q33))*HLOOKUP($U$35,$AV$24:$BF$34,Q33+1))*V35</f>
        <v>2.1533278091799259E-4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8.8868766186956928E-5</v>
      </c>
      <c r="BQ33" s="1">
        <f t="shared" si="21"/>
        <v>8</v>
      </c>
      <c r="BR33" s="1">
        <v>2</v>
      </c>
      <c r="BS33" s="2">
        <f t="shared" si="22"/>
        <v>2.0217530720509267E-3</v>
      </c>
    </row>
    <row r="34" spans="1:71" x14ac:dyDescent="0.25">
      <c r="A34" s="65" t="s">
        <v>23</v>
      </c>
      <c r="B34" s="64">
        <f>B23*2</f>
        <v>5.8170888799963025</v>
      </c>
      <c r="C34" s="63">
        <f>C23*2</f>
        <v>4.1829111200036975</v>
      </c>
      <c r="G34" s="62">
        <v>9</v>
      </c>
      <c r="H34" s="61">
        <f>J34*L25+J33*L26+J32*L27+J31*L28</f>
        <v>2.3844763369127867E-3</v>
      </c>
      <c r="I34" s="24">
        <v>9</v>
      </c>
      <c r="J34" s="23">
        <f t="shared" si="15"/>
        <v>1.1178563110953577E-4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3.1902883062656602E-2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3.2974569342175158E-2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6.4000563217127962E-5</v>
      </c>
      <c r="AR34" s="10">
        <v>9</v>
      </c>
      <c r="AS34" s="9">
        <f>((($W$25)^Q34)*((1-($W$25))^($U$35-Q34))*HLOOKUP($U$35,$AV$24:$BF$34,Q34+1))*V35</f>
        <v>4.7785067892407805E-5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8.4401207557276749E-6</v>
      </c>
      <c r="BQ34" s="1">
        <f t="shared" si="21"/>
        <v>8</v>
      </c>
      <c r="BR34" s="1">
        <v>3</v>
      </c>
      <c r="BS34" s="2">
        <f t="shared" si="22"/>
        <v>6.9547616464783681E-4</v>
      </c>
    </row>
    <row r="35" spans="1:71" ht="15.75" thickBot="1" x14ac:dyDescent="0.3">
      <c r="G35" s="60">
        <v>10</v>
      </c>
      <c r="H35" s="59">
        <f>J35*L25+J34*L26+J33*L27+J32*L28</f>
        <v>4.574800150639983E-4</v>
      </c>
      <c r="I35" s="14">
        <v>10</v>
      </c>
      <c r="J35" s="13">
        <f t="shared" si="15"/>
        <v>4.7718499556193325E-6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4.4366686496422145E-3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4.9205645215575355E-3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4.7718499556193325E-6</v>
      </c>
      <c r="BI35" s="1">
        <f t="shared" si="19"/>
        <v>3</v>
      </c>
      <c r="BJ35" s="1">
        <v>8</v>
      </c>
      <c r="BK35" s="2">
        <f t="shared" si="20"/>
        <v>6.0350798727968434E-7</v>
      </c>
      <c r="BQ35" s="1">
        <f t="shared" si="21"/>
        <v>8</v>
      </c>
      <c r="BR35" s="1">
        <v>4</v>
      </c>
      <c r="BS35" s="2">
        <f t="shared" si="22"/>
        <v>1.6344218628692349E-4</v>
      </c>
    </row>
    <row r="36" spans="1:71" ht="15.75" x14ac:dyDescent="0.25">
      <c r="A36" s="58" t="s">
        <v>22</v>
      </c>
      <c r="B36" s="48">
        <f>SUM(BO4:BO14)</f>
        <v>9.808578677216323E-2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1.0000000000000007</v>
      </c>
      <c r="BI36" s="1">
        <f t="shared" si="19"/>
        <v>3</v>
      </c>
      <c r="BJ36" s="1">
        <v>9</v>
      </c>
      <c r="BK36" s="2">
        <f t="shared" si="20"/>
        <v>3.2096324299221505E-8</v>
      </c>
      <c r="BQ36" s="1">
        <f t="shared" si="21"/>
        <v>8</v>
      </c>
      <c r="BR36" s="1">
        <v>5</v>
      </c>
      <c r="BS36" s="2">
        <f t="shared" si="22"/>
        <v>2.7738340858663395E-5</v>
      </c>
    </row>
    <row r="37" spans="1:71" ht="16.5" thickBot="1" x14ac:dyDescent="0.3">
      <c r="A37" s="55" t="s">
        <v>21</v>
      </c>
      <c r="B37" s="48">
        <f>SUM(BK4:BK59)</f>
        <v>8.3752149700185297E-2</v>
      </c>
      <c r="G37" s="4"/>
      <c r="H37" s="50">
        <f>SUM(H39:H49)</f>
        <v>0.99999999986187094</v>
      </c>
      <c r="I37" s="53"/>
      <c r="J37" s="50">
        <f>SUM(J39:J49)</f>
        <v>1.0000000000000004</v>
      </c>
      <c r="K37" s="50"/>
      <c r="L37" s="50">
        <f>SUM(L39:L49)</f>
        <v>1</v>
      </c>
      <c r="M37" s="53"/>
      <c r="N37" s="54">
        <f>SUM(N39:N49)</f>
        <v>1.0000000000000002</v>
      </c>
      <c r="O37" s="53"/>
      <c r="P37" s="54">
        <f>SUM(P39:P49)</f>
        <v>1.0000000000000002</v>
      </c>
      <c r="Q37" s="53"/>
      <c r="R37" s="50">
        <f>SUM(R39:R49)</f>
        <v>0.99999999999999989</v>
      </c>
      <c r="S37" s="53"/>
      <c r="T37" s="50">
        <f>SUM(T39:T49)</f>
        <v>1</v>
      </c>
      <c r="U37" s="53"/>
      <c r="V37" s="52">
        <f>SUM(V39:V48)</f>
        <v>0.99981291781564463</v>
      </c>
      <c r="W37" s="4"/>
      <c r="X37" s="4"/>
      <c r="Y37" s="50">
        <f>SUM(Y39:Y49)</f>
        <v>4.392412879862034E-3</v>
      </c>
      <c r="Z37" s="51"/>
      <c r="AA37" s="50">
        <f>SUM(AA39:AA49)</f>
        <v>3.1628796657170548E-2</v>
      </c>
      <c r="AB37" s="51"/>
      <c r="AC37" s="50">
        <f>SUM(AC39:AC49)</f>
        <v>0.10252005051335698</v>
      </c>
      <c r="AD37" s="51"/>
      <c r="AE37" s="50">
        <f>SUM(AE39:AE49)</f>
        <v>0.19700410493904985</v>
      </c>
      <c r="AF37" s="51"/>
      <c r="AG37" s="50">
        <f>SUM(AG39:AG49)</f>
        <v>0.24858418712826391</v>
      </c>
      <c r="AH37" s="51"/>
      <c r="AI37" s="50">
        <f>SUM(AI39:AI49)</f>
        <v>0.21528187336897656</v>
      </c>
      <c r="AJ37" s="51"/>
      <c r="AK37" s="50">
        <f>SUM(AK39:AK49)</f>
        <v>0.12965955222017689</v>
      </c>
      <c r="AL37" s="51"/>
      <c r="AM37" s="50">
        <f>SUM(AM39:AM49)</f>
        <v>5.3682545233802781E-2</v>
      </c>
      <c r="AN37" s="51"/>
      <c r="AO37" s="50">
        <f>SUM(AO39:AO49)</f>
        <v>1.465841032464172E-2</v>
      </c>
      <c r="AP37" s="51"/>
      <c r="AQ37" s="50">
        <f>SUM(AQ39:AQ49)</f>
        <v>2.4009845503438305E-3</v>
      </c>
      <c r="AR37" s="51"/>
      <c r="AS37" s="50">
        <f>SUM(AS39:AS49)</f>
        <v>1.8708218435536958E-4</v>
      </c>
      <c r="BI37" s="1">
        <f t="shared" si="19"/>
        <v>3</v>
      </c>
      <c r="BJ37" s="1">
        <v>10</v>
      </c>
      <c r="BK37" s="2">
        <f t="shared" si="20"/>
        <v>1.2348380126553654E-9</v>
      </c>
      <c r="BQ37" s="1">
        <f t="shared" si="21"/>
        <v>8</v>
      </c>
      <c r="BR37" s="1">
        <v>6</v>
      </c>
      <c r="BS37" s="2">
        <f t="shared" si="22"/>
        <v>3.4993958541020835E-6</v>
      </c>
    </row>
    <row r="38" spans="1:71" ht="16.5" thickBot="1" x14ac:dyDescent="0.3">
      <c r="A38" s="49" t="s">
        <v>20</v>
      </c>
      <c r="B38" s="48">
        <f>SUM(BS4:BS47)</f>
        <v>0.8176367291767126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6.3855267333130935E-4</v>
      </c>
      <c r="BQ38" s="1">
        <f>BM11+1</f>
        <v>8</v>
      </c>
      <c r="BR38" s="1">
        <v>7</v>
      </c>
      <c r="BS38" s="2">
        <f t="shared" si="22"/>
        <v>3.3234762727075202E-7</v>
      </c>
    </row>
    <row r="39" spans="1:71" x14ac:dyDescent="0.25">
      <c r="G39" s="38">
        <v>0</v>
      </c>
      <c r="H39" s="37">
        <f>L39*J39</f>
        <v>0.31123563718419367</v>
      </c>
      <c r="I39" s="36">
        <v>0</v>
      </c>
      <c r="J39" s="34">
        <f t="shared" ref="J39:J49" si="26">Y39+AA39+AC39+AE39+AG39+AI39+AK39+AM39+AO39+AQ39+AS39</f>
        <v>0.44369271229474444</v>
      </c>
      <c r="K39" s="35">
        <v>0</v>
      </c>
      <c r="L39" s="34">
        <f>AH18</f>
        <v>0.70146664247539026</v>
      </c>
      <c r="M39" s="17">
        <v>0</v>
      </c>
      <c r="N39" s="32">
        <f>(1-$C$24)^$B$21</f>
        <v>6.6608322675490148E-2</v>
      </c>
      <c r="O39" s="16">
        <v>0</v>
      </c>
      <c r="P39" s="32">
        <f t="shared" ref="P39:P44" si="27">N39</f>
        <v>6.6608322675490148E-2</v>
      </c>
      <c r="Q39" s="10">
        <v>0</v>
      </c>
      <c r="R39" s="11">
        <f>P39*N39</f>
        <v>4.4366686496422145E-3</v>
      </c>
      <c r="S39" s="16">
        <v>0</v>
      </c>
      <c r="T39" s="15">
        <f>(1-$C$33)^(INT(B23*2*(1-B31)))</f>
        <v>0.99002500000000004</v>
      </c>
      <c r="U39" s="24">
        <v>0</v>
      </c>
      <c r="V39" s="23">
        <f>R39*T39</f>
        <v>4.392412879862034E-3</v>
      </c>
      <c r="W39" s="33">
        <f>C31</f>
        <v>0.18617760657598442</v>
      </c>
      <c r="X39" s="10">
        <v>0</v>
      </c>
      <c r="Y39" s="9">
        <f>V39</f>
        <v>4.392412879862034E-3</v>
      </c>
      <c r="Z39" s="10">
        <v>0</v>
      </c>
      <c r="AA39" s="9">
        <f>((1-W39)^Z40)*V40</f>
        <v>2.5740222996660039E-2</v>
      </c>
      <c r="AB39" s="10">
        <v>0</v>
      </c>
      <c r="AC39" s="9">
        <f>(((1-$W$39)^AB41))*V41</f>
        <v>6.7899735617040338E-2</v>
      </c>
      <c r="AD39" s="10">
        <v>0</v>
      </c>
      <c r="AE39" s="9">
        <f>(((1-$W$39)^AB42))*V42</f>
        <v>0.10618524739338311</v>
      </c>
      <c r="AF39" s="10">
        <v>0</v>
      </c>
      <c r="AG39" s="9">
        <f>(((1-$W$39)^AB43))*V43</f>
        <v>0.10904155658352219</v>
      </c>
      <c r="AH39" s="10">
        <v>0</v>
      </c>
      <c r="AI39" s="9">
        <f>(((1-$W$39)^AB44))*V44</f>
        <v>7.6852083046796263E-2</v>
      </c>
      <c r="AJ39" s="10">
        <v>0</v>
      </c>
      <c r="AK39" s="9">
        <f>(((1-$W$39)^AB45))*V45</f>
        <v>3.7668847483073267E-2</v>
      </c>
      <c r="AL39" s="10">
        <v>0</v>
      </c>
      <c r="AM39" s="9">
        <f>(((1-$W$39)^AB46))*V46</f>
        <v>1.2692306464380404E-2</v>
      </c>
      <c r="AN39" s="10">
        <v>0</v>
      </c>
      <c r="AO39" s="9">
        <f>(((1-$W$39)^AB47))*V47</f>
        <v>2.8204860855754552E-3</v>
      </c>
      <c r="AP39" s="10">
        <v>0</v>
      </c>
      <c r="AQ39" s="9">
        <f>(((1-$W$39)^AB48))*V48</f>
        <v>3.7597250712779329E-4</v>
      </c>
      <c r="AR39" s="10">
        <v>0</v>
      </c>
      <c r="AS39" s="9">
        <f>(((1-$W$39)^AB49))*V49</f>
        <v>2.3841237323564417E-5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8.055811950207105E-5</v>
      </c>
      <c r="BQ39" s="1">
        <f t="shared" ref="BQ39:BQ46" si="28">BQ31+1</f>
        <v>9</v>
      </c>
      <c r="BR39" s="1">
        <v>0</v>
      </c>
      <c r="BS39" s="2">
        <f t="shared" ref="BS39:BS47" si="29">$H$34*H39</f>
        <v>7.4213401206968323E-4</v>
      </c>
    </row>
    <row r="40" spans="1:71" x14ac:dyDescent="0.25">
      <c r="G40" s="27">
        <v>1</v>
      </c>
      <c r="H40" s="26">
        <f>L39*J40+L40*J39</f>
        <v>0.38040036659112075</v>
      </c>
      <c r="I40" s="24">
        <v>1</v>
      </c>
      <c r="J40" s="23">
        <f t="shared" si="26"/>
        <v>0.37554027133367768</v>
      </c>
      <c r="K40" s="25">
        <v>1</v>
      </c>
      <c r="L40" s="23">
        <f>AI18</f>
        <v>0.26363154071073602</v>
      </c>
      <c r="M40" s="17">
        <v>1</v>
      </c>
      <c r="N40" s="32">
        <f>(($C$24)^M26)*((1-($C$24))^($B$21-M26))*HLOOKUP($B$21,$AV$24:$BF$34,M26+1)</f>
        <v>0.23948120731161948</v>
      </c>
      <c r="O40" s="16">
        <v>1</v>
      </c>
      <c r="P40" s="32">
        <f t="shared" si="27"/>
        <v>0.23948120731161948</v>
      </c>
      <c r="Q40" s="10">
        <v>1</v>
      </c>
      <c r="R40" s="11">
        <f>P40*N39+P39*N40</f>
        <v>3.1902883062656602E-2</v>
      </c>
      <c r="S40" s="16">
        <v>1</v>
      </c>
      <c r="T40" s="15">
        <f t="shared" ref="T40:T49" si="30">(($C$33)^S40)*((1-($C$33))^(INT($B$23*2*(1-$B$31))-S40))*HLOOKUP(INT($B$23*2*(1-$B$31)),$AV$24:$BF$34,S40+1)</f>
        <v>9.9500000000000005E-3</v>
      </c>
      <c r="U40" s="24">
        <v>1</v>
      </c>
      <c r="V40" s="23">
        <f>R40*T39+T40*R39</f>
        <v>3.1628796657170548E-2</v>
      </c>
      <c r="W40" s="12"/>
      <c r="X40" s="10">
        <v>1</v>
      </c>
      <c r="Y40" s="11"/>
      <c r="Z40" s="10">
        <v>1</v>
      </c>
      <c r="AA40" s="9">
        <f>(1-((1-W39)^Z40))*V40</f>
        <v>5.8885736605105076E-3</v>
      </c>
      <c r="AB40" s="10">
        <v>1</v>
      </c>
      <c r="AC40" s="9">
        <f>((($W$39)^M40)*((1-($W$39))^($U$27-M40))*HLOOKUP($U$27,$AV$24:$BF$34,M40+1))*V41</f>
        <v>3.1066754531381632E-2</v>
      </c>
      <c r="AD40" s="10">
        <v>1</v>
      </c>
      <c r="AE40" s="9">
        <f>((($W$39)^M40)*((1-($W$39))^($U$28-M40))*HLOOKUP($U$28,$AV$24:$BF$34,M40+1))*V42</f>
        <v>7.2875784838764071E-2</v>
      </c>
      <c r="AF40" s="10">
        <v>1</v>
      </c>
      <c r="AG40" s="9">
        <f>((($W$39)^M40)*((1-($W$39))^($U$29-M40))*HLOOKUP($U$29,$AV$24:$BF$34,M40+1))*V43</f>
        <v>9.9781456917775957E-2</v>
      </c>
      <c r="AH40" s="10">
        <v>1</v>
      </c>
      <c r="AI40" s="9">
        <f>((($W$39)^M40)*((1-($W$39))^($U$30-M40))*HLOOKUP($U$30,$AV$24:$BF$34,M40+1))*V44</f>
        <v>8.7906999104757536E-2</v>
      </c>
      <c r="AJ40" s="10">
        <v>1</v>
      </c>
      <c r="AK40" s="9">
        <f>((($W$39)^M40)*((1-($W$39))^($U$31-M40))*HLOOKUP($U$31,$AV$24:$BF$34,M40+1))*V45</f>
        <v>5.1704862806991575E-2</v>
      </c>
      <c r="AL40" s="10">
        <v>1</v>
      </c>
      <c r="AM40" s="9">
        <f>((($W$39)^Q40)*((1-($W$39))^($U$32-Q40))*HLOOKUP($U$32,$AV$24:$BF$34,Q40+1))*V46</f>
        <v>2.0325273437950778E-2</v>
      </c>
      <c r="AN40" s="10">
        <v>1</v>
      </c>
      <c r="AO40" s="9">
        <f>((($W$39)^Q40)*((1-($W$39))^($U$33-Q40))*HLOOKUP($U$33,$AV$24:$BF$34,Q40+1))*V47</f>
        <v>5.1619257767925595E-3</v>
      </c>
      <c r="AP40" s="10">
        <v>1</v>
      </c>
      <c r="AQ40" s="9">
        <f>((($W$39)^Q40)*((1-($W$39))^($U$34-Q40))*HLOOKUP($U$34,$AV$24:$BF$34,Q40+1))*V48</f>
        <v>7.7409881901663682E-4</v>
      </c>
      <c r="AR40" s="10">
        <v>1</v>
      </c>
      <c r="AS40" s="9">
        <f>((($W$39)^Q40)*((1-($W$39))^($U$35-Q40))*HLOOKUP($U$35,$AV$24:$BF$34,Q40+1))*V49</f>
        <v>5.4541439736453764E-5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7.6508348841193965E-6</v>
      </c>
      <c r="BQ40" s="1">
        <f t="shared" si="28"/>
        <v>9</v>
      </c>
      <c r="BR40" s="1">
        <v>1</v>
      </c>
      <c r="BS40" s="2">
        <f t="shared" si="29"/>
        <v>9.0705567268947686E-4</v>
      </c>
    </row>
    <row r="41" spans="1:71" x14ac:dyDescent="0.25">
      <c r="G41" s="27">
        <v>2</v>
      </c>
      <c r="H41" s="26">
        <f>L39*J41+J40*L40+J39*L41</f>
        <v>0.21407238601605344</v>
      </c>
      <c r="I41" s="24">
        <v>2</v>
      </c>
      <c r="J41" s="23">
        <f t="shared" si="26"/>
        <v>0.14310480242906218</v>
      </c>
      <c r="K41" s="25">
        <v>2</v>
      </c>
      <c r="L41" s="23">
        <f>AJ18</f>
        <v>3.309696101939729E-2</v>
      </c>
      <c r="M41" s="17">
        <v>2</v>
      </c>
      <c r="N41" s="32">
        <f>(($C$24)^M27)*((1-($C$24))^($B$21-M27))*HLOOKUP($B$21,$AV$24:$BF$34,M27+1)</f>
        <v>0.34440890478411268</v>
      </c>
      <c r="O41" s="16">
        <v>2</v>
      </c>
      <c r="P41" s="32">
        <f t="shared" si="27"/>
        <v>0.34440890478411268</v>
      </c>
      <c r="Q41" s="10">
        <v>2</v>
      </c>
      <c r="R41" s="11">
        <f>P41*N39+P40*N40+P39*N41</f>
        <v>0.10323224757977553</v>
      </c>
      <c r="S41" s="16">
        <v>2</v>
      </c>
      <c r="T41" s="15">
        <f t="shared" si="30"/>
        <v>2.5000000000000001E-5</v>
      </c>
      <c r="U41" s="24">
        <v>2</v>
      </c>
      <c r="V41" s="23">
        <f>R41*T39+T40*R40+R39*T41</f>
        <v>0.10252005051335696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3.5535603649350066E-3</v>
      </c>
      <c r="AD41" s="10">
        <v>2</v>
      </c>
      <c r="AE41" s="9">
        <f>((($W$39)^M41)*((1-($W$39))^($U$28-M41))*HLOOKUP($U$28,$AV$24:$BF$34,M41+1))*V42</f>
        <v>1.6671744729882889E-2</v>
      </c>
      <c r="AF41" s="10">
        <v>2</v>
      </c>
      <c r="AG41" s="9">
        <f>((($W$39)^M41)*((1-($W$39))^($U$29-M41))*HLOOKUP($U$29,$AV$24:$BF$34,M41+1))*V43</f>
        <v>3.424040610038348E-2</v>
      </c>
      <c r="AH41" s="10">
        <v>2</v>
      </c>
      <c r="AI41" s="9">
        <f>((($W$39)^M41)*((1-($W$39))^($U$30-M41))*HLOOKUP($U$30,$AV$24:$BF$34,M41+1))*V44</f>
        <v>4.0220851200082001E-2</v>
      </c>
      <c r="AJ41" s="10">
        <v>2</v>
      </c>
      <c r="AK41" s="9">
        <f>((($W$39)^M41)*((1-($W$39))^($U$31-M41))*HLOOKUP($U$31,$AV$24:$BF$34,M41+1))*V45</f>
        <v>2.9571217514808127E-2</v>
      </c>
      <c r="AL41" s="10">
        <v>2</v>
      </c>
      <c r="AM41" s="9">
        <f>((($W$39)^Q41)*((1-($W$39))^($U$32-Q41))*HLOOKUP($U$32,$AV$24:$BF$34,Q41+1))*V46</f>
        <v>1.3949397776187214E-2</v>
      </c>
      <c r="AN41" s="10">
        <v>2</v>
      </c>
      <c r="AO41" s="9">
        <f>((($W$39)^Q41)*((1-($W$39))^($U$33-Q41))*HLOOKUP($U$33,$AV$24:$BF$34,Q41+1))*V47</f>
        <v>4.1331161193655028E-3</v>
      </c>
      <c r="AP41" s="10">
        <v>2</v>
      </c>
      <c r="AQ41" s="9">
        <f>((($W$39)^Q41)*((1-($W$39))^($U$34-Q41))*HLOOKUP($U$34,$AV$24:$BF$34,Q41+1))*V48</f>
        <v>7.0836028372949704E-4</v>
      </c>
      <c r="AR41" s="10">
        <v>2</v>
      </c>
      <c r="AS41" s="9">
        <f>((($W$39)^Q41)*((1-($W$39))^($U$35-Q41))*HLOOKUP($U$35,$AV$24:$BF$34,Q41+1))*V49</f>
        <v>5.6148339688445834E-5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5.4707036730376782E-7</v>
      </c>
      <c r="BQ41" s="1">
        <f t="shared" si="28"/>
        <v>9</v>
      </c>
      <c r="BR41" s="1">
        <v>2</v>
      </c>
      <c r="BS41" s="2">
        <f t="shared" si="29"/>
        <v>5.1045053884173921E-4</v>
      </c>
    </row>
    <row r="42" spans="1:71" ht="15" customHeight="1" x14ac:dyDescent="0.25">
      <c r="G42" s="27">
        <v>3</v>
      </c>
      <c r="H42" s="26">
        <f>J42*L39+J41*L40+L42*J39+L41*J40</f>
        <v>7.3640171018721626E-2</v>
      </c>
      <c r="I42" s="24">
        <v>3</v>
      </c>
      <c r="J42" s="23">
        <f t="shared" si="26"/>
        <v>3.2336802655218974E-2</v>
      </c>
      <c r="K42" s="25">
        <v>3</v>
      </c>
      <c r="L42" s="23">
        <f>AK18</f>
        <v>1.8048557944764301E-3</v>
      </c>
      <c r="M42" s="17">
        <v>3</v>
      </c>
      <c r="N42" s="32">
        <f>(($C$24)^M28)*((1-($C$24))^($B$21-M28))*HLOOKUP($B$21,$AV$24:$BF$34,M28+1)</f>
        <v>0.24765511880070762</v>
      </c>
      <c r="O42" s="16">
        <v>3</v>
      </c>
      <c r="P42" s="32">
        <f t="shared" si="27"/>
        <v>0.24765511880070762</v>
      </c>
      <c r="Q42" s="10">
        <v>3</v>
      </c>
      <c r="R42" s="11">
        <f>P42*N39+P41*N40+P40*N41+P39*N42</f>
        <v>0.19795070478377255</v>
      </c>
      <c r="S42" s="16">
        <v>3</v>
      </c>
      <c r="T42" s="15">
        <f t="shared" si="30"/>
        <v>0</v>
      </c>
      <c r="U42" s="24">
        <v>3</v>
      </c>
      <c r="V42" s="23">
        <f>R42*T39+R41*T40+R40*T41+R39*T42</f>
        <v>0.1970041049390498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1.2713279770197512E-3</v>
      </c>
      <c r="AF42" s="10">
        <v>3</v>
      </c>
      <c r="AG42" s="9">
        <f>((($W$39)^M42)*((1-($W$39))^($U$29-M42))*HLOOKUP($U$29,$AV$24:$BF$34,M42+1))*V43</f>
        <v>5.2221032561648477E-3</v>
      </c>
      <c r="AH42" s="10">
        <v>3</v>
      </c>
      <c r="AI42" s="9">
        <f>((($W$39)^M42)*((1-($W$39))^($U$30-M42))*HLOOKUP($U$30,$AV$24:$BF$34,M42+1))*V44</f>
        <v>9.2012973240693102E-3</v>
      </c>
      <c r="AJ42" s="10">
        <v>3</v>
      </c>
      <c r="AK42" s="9">
        <f>((($W$39)^M42)*((1-($W$39))^($U$31-M42))*HLOOKUP($U$31,$AV$24:$BF$34,M42+1))*V45</f>
        <v>9.0199836310416292E-3</v>
      </c>
      <c r="AL42" s="10">
        <v>3</v>
      </c>
      <c r="AM42" s="9">
        <f>((($W$39)^Q42)*((1-($W$39))^($U$32-Q42))*HLOOKUP($U$32,$AV$24:$BF$34,Q42+1))*V46</f>
        <v>5.3186573879266934E-3</v>
      </c>
      <c r="AN42" s="10">
        <v>3</v>
      </c>
      <c r="AO42" s="9">
        <f>((($W$39)^Q42)*((1-($W$39))^($U$33-Q42))*HLOOKUP($U$33,$AV$24:$BF$34,Q42+1))*V47</f>
        <v>1.8910604402677586E-3</v>
      </c>
      <c r="AP42" s="10">
        <v>3</v>
      </c>
      <c r="AQ42" s="9">
        <f>((($W$39)^Q42)*((1-($W$39))^($U$34-Q42))*HLOOKUP($U$34,$AV$24:$BF$34,Q42+1))*V48</f>
        <v>3.7811925672694689E-4</v>
      </c>
      <c r="AR42" s="10">
        <v>3</v>
      </c>
      <c r="AS42" s="9">
        <f>((($W$39)^Q42)*((1-($W$39))^($U$35-Q42))*HLOOKUP($U$35,$AV$24:$BF$34,Q42+1))*V49</f>
        <v>3.4253382002031684E-5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2.9094806189099524E-8</v>
      </c>
      <c r="BQ42" s="1">
        <f t="shared" si="28"/>
        <v>9</v>
      </c>
      <c r="BR42" s="1">
        <v>3</v>
      </c>
      <c r="BS42" s="2">
        <f t="shared" si="29"/>
        <v>1.755932452403525E-4</v>
      </c>
    </row>
    <row r="43" spans="1:71" ht="15" customHeight="1" x14ac:dyDescent="0.25">
      <c r="G43" s="27">
        <v>4</v>
      </c>
      <c r="H43" s="26">
        <f>J43*L39+J42*L40+J41*L41+J40*L42</f>
        <v>1.730600006390922E-2</v>
      </c>
      <c r="I43" s="24">
        <v>4</v>
      </c>
      <c r="J43" s="23">
        <f t="shared" si="26"/>
        <v>4.799756185004736E-3</v>
      </c>
      <c r="K43" s="25">
        <v>4</v>
      </c>
      <c r="L43" s="23"/>
      <c r="M43" s="17">
        <v>4</v>
      </c>
      <c r="N43" s="32">
        <f>(($C$24)^M29)*((1-($C$24))^($B$21-M29))*HLOOKUP($B$21,$AV$24:$BF$34,M29+1)</f>
        <v>8.9041045420469422E-2</v>
      </c>
      <c r="O43" s="16">
        <v>4</v>
      </c>
      <c r="P43" s="32">
        <f t="shared" si="27"/>
        <v>8.9041045420469422E-2</v>
      </c>
      <c r="Q43" s="10">
        <v>4</v>
      </c>
      <c r="R43" s="11">
        <f>P43*N39+P42*N40+P41*N41+P40*N42+P39*N43</f>
        <v>0.24909673675864324</v>
      </c>
      <c r="S43" s="16">
        <v>4</v>
      </c>
      <c r="T43" s="15">
        <f t="shared" si="30"/>
        <v>0</v>
      </c>
      <c r="U43" s="24">
        <v>4</v>
      </c>
      <c r="V43" s="23">
        <f>T43*R39+T42*R40+T41*R41+T40*R42+T39*R43</f>
        <v>0.24858418712826383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2.9866427041743771E-4</v>
      </c>
      <c r="AH43" s="10">
        <v>4</v>
      </c>
      <c r="AI43" s="9">
        <f>((($W$39)^M43)*((1-($W$39))^($U$30-M43))*HLOOKUP($U$30,$AV$24:$BF$34,M43+1))*V44</f>
        <v>1.0524873283357123E-3</v>
      </c>
      <c r="AJ43" s="10">
        <v>4</v>
      </c>
      <c r="AK43" s="9">
        <f>((($W$39)^M43)*((1-($W$39))^($U$31-M43))*HLOOKUP($U$31,$AV$24:$BF$34,M43+1))*V45</f>
        <v>1.5476217329647751E-3</v>
      </c>
      <c r="AL43" s="10">
        <v>4</v>
      </c>
      <c r="AM43" s="9">
        <f>((($W$39)^Q43)*((1-($W$39))^($U$32-Q43))*HLOOKUP($U$32,$AV$24:$BF$34,Q43+1))*V46</f>
        <v>1.2167457060449178E-3</v>
      </c>
      <c r="AN43" s="10">
        <v>4</v>
      </c>
      <c r="AO43" s="9">
        <f>((($W$39)^Q43)*((1-($W$39))^($U$33-Q43))*HLOOKUP($U$33,$AV$24:$BF$34,Q43+1))*V47</f>
        <v>5.4077079579103939E-4</v>
      </c>
      <c r="AP43" s="10">
        <v>4</v>
      </c>
      <c r="AQ43" s="9">
        <f>((($W$39)^Q43)*((1-($W$39))^($U$34-Q43))*HLOOKUP($U$34,$AV$24:$BF$34,Q43+1))*V48</f>
        <v>1.297531355487688E-4</v>
      </c>
      <c r="AR43" s="10">
        <v>4</v>
      </c>
      <c r="AS43" s="9">
        <f>((($W$39)^Q43)*((1-($W$39))^($U$35-Q43))*HLOOKUP($U$35,$AV$24:$BF$34,Q43+1))*V49</f>
        <v>1.3713215902084319E-5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1.1193609685085372E-9</v>
      </c>
      <c r="BQ43" s="1">
        <f t="shared" si="28"/>
        <v>9</v>
      </c>
      <c r="BR43" s="1">
        <v>4</v>
      </c>
      <c r="BS43" s="2">
        <f t="shared" si="29"/>
        <v>4.1265747639002708E-5</v>
      </c>
    </row>
    <row r="44" spans="1:71" ht="15" customHeight="1" thickBot="1" x14ac:dyDescent="0.3">
      <c r="G44" s="27">
        <v>5</v>
      </c>
      <c r="H44" s="26">
        <f>J44*L39+J43*L40+J42*L41+J41*L42</f>
        <v>2.9370613522634393E-3</v>
      </c>
      <c r="I44" s="24">
        <v>5</v>
      </c>
      <c r="J44" s="23">
        <f t="shared" si="26"/>
        <v>4.892047383900696E-4</v>
      </c>
      <c r="K44" s="25">
        <v>5</v>
      </c>
      <c r="L44" s="23"/>
      <c r="M44" s="17">
        <v>5</v>
      </c>
      <c r="N44" s="32">
        <f>(($C$24)^M30)*((1-($C$24))^($B$21-M30))*HLOOKUP($B$21,$AV$24:$BF$34,M30+1)</f>
        <v>1.2805401007600645E-2</v>
      </c>
      <c r="O44" s="16">
        <v>5</v>
      </c>
      <c r="P44" s="32">
        <f t="shared" si="27"/>
        <v>1.2805401007600645E-2</v>
      </c>
      <c r="Q44" s="10">
        <v>5</v>
      </c>
      <c r="R44" s="11">
        <f>P44*N39+P43*N40+P42*N41+P41*N42+P40*N43+P39*N44</f>
        <v>0.21494246314043419</v>
      </c>
      <c r="S44" s="16">
        <v>5</v>
      </c>
      <c r="T44" s="15">
        <f t="shared" si="30"/>
        <v>0</v>
      </c>
      <c r="U44" s="24">
        <v>5</v>
      </c>
      <c r="V44" s="23">
        <f>T44*R39+T43*R40+T42*R41+T41*R42+T40*R43+T39*R44</f>
        <v>0.21528187336897647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4.8155364935750072E-5</v>
      </c>
      <c r="AJ44" s="10">
        <v>5</v>
      </c>
      <c r="AK44" s="9">
        <f>((($W$39)^M44)*((1-($W$39))^($U$31-M44))*HLOOKUP($U$31,$AV$24:$BF$34,M44+1))*V45</f>
        <v>1.4161935697841485E-4</v>
      </c>
      <c r="AL44" s="10">
        <v>5</v>
      </c>
      <c r="AM44" s="9">
        <f>((($W$39)^Q44)*((1-($W$39))^($U$32-Q44))*HLOOKUP($U$32,$AV$24:$BF$34,Q44+1))*V46</f>
        <v>1.6701246256689523E-4</v>
      </c>
      <c r="AN44" s="10">
        <v>5</v>
      </c>
      <c r="AO44" s="9">
        <f>((($W$39)^Q44)*((1-($W$39))^($U$33-Q44))*HLOOKUP($U$33,$AV$24:$BF$34,Q44+1))*V47</f>
        <v>9.8969419647424646E-5</v>
      </c>
      <c r="AP44" s="10">
        <v>5</v>
      </c>
      <c r="AQ44" s="9">
        <f>((($W$39)^Q44)*((1-($W$39))^($U$34-Q44))*HLOOKUP($U$34,$AV$24:$BF$34,Q44+1))*V48</f>
        <v>2.968353834620126E-5</v>
      </c>
      <c r="AR44" s="10">
        <v>5</v>
      </c>
      <c r="AS44" s="9">
        <f>((($W$39)^Q44)*((1-($W$39))^($U$35-Q44))*HLOOKUP($U$35,$AV$24:$BF$34,Q44+1))*V49</f>
        <v>3.7645959153835891E-6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5.3526417638477636E-5</v>
      </c>
      <c r="BQ44" s="1">
        <f t="shared" si="28"/>
        <v>9</v>
      </c>
      <c r="BR44" s="1">
        <v>5</v>
      </c>
      <c r="BS44" s="2">
        <f t="shared" si="29"/>
        <v>7.0033532945332419E-6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3.7053190642237255E-4</v>
      </c>
      <c r="I45" s="24">
        <v>6</v>
      </c>
      <c r="J45" s="23">
        <f t="shared" si="26"/>
        <v>3.4700863931151719E-5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0.12879942152320448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0.1296595522201768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5.3996943190801517E-6</v>
      </c>
      <c r="AL45" s="10">
        <v>6</v>
      </c>
      <c r="AM45" s="9">
        <f>((($W$39)^Q45)*((1-($W$39))^($U$32-Q45))*HLOOKUP($U$32,$AV$24:$BF$34,Q45+1))*V46</f>
        <v>1.2735776585618902E-5</v>
      </c>
      <c r="AN45" s="10">
        <v>6</v>
      </c>
      <c r="AO45" s="9">
        <f>((($W$39)^Q45)*((1-($W$39))^($U$33-Q45))*HLOOKUP($U$33,$AV$24:$BF$34,Q45+1))*V47</f>
        <v>1.1320584087547663E-5</v>
      </c>
      <c r="AP45" s="10">
        <v>6</v>
      </c>
      <c r="AQ45" s="9">
        <f>((($W$39)^Q45)*((1-($W$39))^($U$34-Q45))*HLOOKUP($U$34,$AV$24:$BF$34,Q45+1))*V48</f>
        <v>4.5271221900156045E-6</v>
      </c>
      <c r="AR45" s="10">
        <v>6</v>
      </c>
      <c r="AS45" s="9">
        <f>((($W$39)^Q45)*((1-($W$39))^($U$35-Q45))*HLOOKUP($U$35,$AV$24:$BF$34,Q45+1))*V49</f>
        <v>7.1768674888939733E-7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5.0835568881406196E-6</v>
      </c>
      <c r="BQ45" s="1">
        <f t="shared" si="28"/>
        <v>9</v>
      </c>
      <c r="BR45" s="1">
        <v>6</v>
      </c>
      <c r="BS45" s="2">
        <f t="shared" si="29"/>
        <v>8.8352456293533035E-7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3.519047431665371E-5</v>
      </c>
      <c r="I46" s="24">
        <v>7</v>
      </c>
      <c r="J46" s="23">
        <f t="shared" si="26"/>
        <v>1.6938427331586074E-6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5.2923529636189334E-2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5.3682545233802746E-2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4.1622216025730347E-7</v>
      </c>
      <c r="AN46" s="10">
        <v>7</v>
      </c>
      <c r="AO46" s="9">
        <f>((($W$39)^Q46)*((1-($W$39))^($U$33-Q46))*HLOOKUP($U$33,$AV$24:$BF$34,Q46+1))*V47</f>
        <v>7.3994356490426236E-7</v>
      </c>
      <c r="AP46" s="10">
        <v>7</v>
      </c>
      <c r="AQ46" s="9">
        <f>((($W$39)^Q46)*((1-($W$39))^($U$34-Q46))*HLOOKUP($U$34,$AV$24:$BF$34,Q46+1))*V48</f>
        <v>4.4385716842853229E-7</v>
      </c>
      <c r="AR46" s="10">
        <v>7</v>
      </c>
      <c r="AS46" s="9">
        <f>((($W$39)^Q46)*((1-($W$39))^($U$35-Q46))*HLOOKUP($U$35,$AV$24:$BF$34,Q46+1))*V49</f>
        <v>9.3819839568509337E-8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3.6349802029805343E-7</v>
      </c>
      <c r="BQ46" s="1">
        <f t="shared" si="28"/>
        <v>9</v>
      </c>
      <c r="BR46" s="1">
        <v>7</v>
      </c>
      <c r="BS46" s="2">
        <f t="shared" si="29"/>
        <v>8.3910853292797941E-8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2.5162829941560555E-6</v>
      </c>
      <c r="I47" s="24">
        <v>8</v>
      </c>
      <c r="J47" s="23">
        <f t="shared" si="26"/>
        <v>5.4593439994875E-8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1.4270953985226176E-2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1.465841032464171E-2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2.115954952645935E-8</v>
      </c>
      <c r="AP47" s="10">
        <v>8</v>
      </c>
      <c r="AQ47" s="9">
        <f>((($W$39)^Q47)*((1-($W$39))^($U$34-Q47))*HLOOKUP($U$34,$AV$24:$BF$34,Q47+1))*V48</f>
        <v>2.5385227153783548E-8</v>
      </c>
      <c r="AR47" s="10">
        <v>8</v>
      </c>
      <c r="AS47" s="9">
        <f>((($W$39)^Q47)*((1-($W$39))^($U$35-Q47))*HLOOKUP($U$35,$AV$24:$BF$34,Q47+1))*V49</f>
        <v>8.0486633146321004E-9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1.9331890525923556E-8</v>
      </c>
      <c r="BQ47" s="1">
        <f>BM12+1</f>
        <v>9</v>
      </c>
      <c r="BR47" s="1">
        <v>8</v>
      </c>
      <c r="BS47" s="2">
        <f t="shared" si="29"/>
        <v>6.0000172565411702E-9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1.3382330758055164E-7</v>
      </c>
      <c r="I48" s="24">
        <v>9</v>
      </c>
      <c r="J48" s="23">
        <f t="shared" si="26"/>
        <v>1.0544373536799304E-9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2.2804125854901879E-3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2.4009845503438288E-3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6.4526238868008382E-10</v>
      </c>
      <c r="AR48" s="10">
        <v>9</v>
      </c>
      <c r="AS48" s="9">
        <f>((($W$39)^Q48)*((1-($W$39))^($U$35-Q48))*HLOOKUP($U$35,$AV$24:$BF$34,Q48+1))*V49</f>
        <v>4.0917496499984665E-10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7.4375349199975336E-10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5.148567968069298E-9</v>
      </c>
      <c r="I49" s="14">
        <v>10</v>
      </c>
      <c r="J49" s="13">
        <f t="shared" si="26"/>
        <v>9.3606684050524727E-12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1.6397829496545962E-4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1.8708218435536939E-4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9.3606684050524727E-12</v>
      </c>
      <c r="BI49" s="1">
        <f>BQ14+1</f>
        <v>6</v>
      </c>
      <c r="BJ49" s="1">
        <v>0</v>
      </c>
      <c r="BK49" s="2">
        <f>$H$31*H39</f>
        <v>2.2883813876640922E-2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2.5874037811949947E-6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1.8501143448796636E-7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9.8394505550064926E-9</v>
      </c>
    </row>
    <row r="53" spans="1:63" x14ac:dyDescent="0.25">
      <c r="BI53" s="1">
        <f>BI48+1</f>
        <v>6</v>
      </c>
      <c r="BJ53" s="1">
        <v>10</v>
      </c>
      <c r="BK53" s="2">
        <f>$H$31*H49</f>
        <v>3.7855199416899124E-10</v>
      </c>
    </row>
    <row r="54" spans="1:63" x14ac:dyDescent="0.25">
      <c r="BI54" s="1">
        <f>BI51+1</f>
        <v>7</v>
      </c>
      <c r="BJ54" s="1">
        <v>8</v>
      </c>
      <c r="BK54" s="2">
        <f>$H$32*H47</f>
        <v>7.4245718928615029E-8</v>
      </c>
    </row>
    <row r="55" spans="1:63" x14ac:dyDescent="0.25">
      <c r="BI55" s="1">
        <f>BI52+1</f>
        <v>7</v>
      </c>
      <c r="BJ55" s="1">
        <v>9</v>
      </c>
      <c r="BK55" s="2">
        <f>$H$32*H48</f>
        <v>3.9486050272559413E-9</v>
      </c>
    </row>
    <row r="56" spans="1:63" x14ac:dyDescent="0.25">
      <c r="BI56" s="1">
        <f>BI53+1</f>
        <v>7</v>
      </c>
      <c r="BJ56" s="1">
        <v>10</v>
      </c>
      <c r="BK56" s="2">
        <f>$H$32*H49</f>
        <v>1.5191420485292068E-10</v>
      </c>
    </row>
    <row r="57" spans="1:63" x14ac:dyDescent="0.25">
      <c r="BI57" s="1">
        <f>BI55+1</f>
        <v>8</v>
      </c>
      <c r="BJ57" s="1">
        <v>9</v>
      </c>
      <c r="BK57" s="2">
        <f>$H$33*H48</f>
        <v>1.2638607353715721E-9</v>
      </c>
    </row>
    <row r="58" spans="1:63" x14ac:dyDescent="0.25">
      <c r="BI58" s="1">
        <f>BI56+1</f>
        <v>8</v>
      </c>
      <c r="BJ58" s="1">
        <v>10</v>
      </c>
      <c r="BK58" s="2">
        <f>$H$33*H49</f>
        <v>4.8624361599475574E-11</v>
      </c>
    </row>
    <row r="59" spans="1:63" x14ac:dyDescent="0.25">
      <c r="BI59" s="1">
        <f>BI58+1</f>
        <v>9</v>
      </c>
      <c r="BJ59" s="1">
        <v>10</v>
      </c>
      <c r="BK59" s="2">
        <f>$H$34*H49</f>
        <v>1.2276638488848389E-11</v>
      </c>
    </row>
  </sheetData>
  <mergeCells count="1"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B845-4073-4952-8191-51A59CD4248E}">
  <sheetPr>
    <tabColor theme="5" tint="0.59999389629810485"/>
  </sheetPr>
  <dimension ref="A1:G35"/>
  <sheetViews>
    <sheetView workbookViewId="0">
      <selection activeCell="E4" sqref="E4"/>
    </sheetView>
  </sheetViews>
  <sheetFormatPr baseColWidth="10" defaultRowHeight="15" x14ac:dyDescent="0.25"/>
  <cols>
    <col min="1" max="1" width="7.85546875" style="163" bestFit="1" customWidth="1"/>
    <col min="2" max="2" width="26.140625" style="163" bestFit="1" customWidth="1"/>
    <col min="3" max="3" width="9.85546875" style="163" bestFit="1" customWidth="1"/>
    <col min="4" max="4" width="11.85546875" style="163" bestFit="1" customWidth="1"/>
    <col min="5" max="5" width="31" style="163" bestFit="1" customWidth="1"/>
    <col min="6" max="6" width="56.28515625" style="172" bestFit="1" customWidth="1"/>
    <col min="7" max="7" width="54.28515625" style="172" customWidth="1"/>
  </cols>
  <sheetData>
    <row r="1" spans="1:7" s="175" customFormat="1" x14ac:dyDescent="0.25">
      <c r="A1" s="176" t="s">
        <v>444</v>
      </c>
      <c r="B1" s="176" t="s">
        <v>445</v>
      </c>
      <c r="C1" s="176" t="s">
        <v>450</v>
      </c>
      <c r="D1" s="176" t="s">
        <v>446</v>
      </c>
      <c r="E1" s="176" t="s">
        <v>447</v>
      </c>
      <c r="F1" s="177" t="s">
        <v>448</v>
      </c>
      <c r="G1" s="177" t="s">
        <v>449</v>
      </c>
    </row>
    <row r="2" spans="1:7" ht="61.5" customHeight="1" x14ac:dyDescent="0.25">
      <c r="A2" s="179">
        <v>1</v>
      </c>
      <c r="B2" s="179" t="s">
        <v>471</v>
      </c>
      <c r="C2" s="180" t="s">
        <v>451</v>
      </c>
      <c r="D2" s="179" t="s">
        <v>452</v>
      </c>
      <c r="E2" s="179" t="s">
        <v>455</v>
      </c>
      <c r="F2" s="178" t="s">
        <v>453</v>
      </c>
      <c r="G2" s="178" t="s">
        <v>454</v>
      </c>
    </row>
    <row r="3" spans="1:7" ht="61.5" customHeight="1" x14ac:dyDescent="0.25">
      <c r="A3" s="179">
        <v>2</v>
      </c>
      <c r="B3" s="179" t="s">
        <v>470</v>
      </c>
      <c r="C3" s="179" t="s">
        <v>472</v>
      </c>
      <c r="D3" s="179" t="s">
        <v>473</v>
      </c>
      <c r="E3" s="179" t="s">
        <v>473</v>
      </c>
      <c r="F3" s="184" t="s">
        <v>474</v>
      </c>
      <c r="G3" s="184" t="s">
        <v>475</v>
      </c>
    </row>
    <row r="4" spans="1:7" ht="61.5" customHeight="1" x14ac:dyDescent="0.25">
      <c r="A4" s="179">
        <v>3</v>
      </c>
      <c r="B4" s="179" t="s">
        <v>492</v>
      </c>
      <c r="C4" s="179"/>
      <c r="D4" s="179" t="s">
        <v>494</v>
      </c>
      <c r="E4" s="179" t="s">
        <v>493</v>
      </c>
      <c r="F4" s="184" t="s">
        <v>495</v>
      </c>
      <c r="G4" s="184"/>
    </row>
    <row r="5" spans="1:7" ht="46.5" customHeight="1" x14ac:dyDescent="0.25">
      <c r="A5" s="179"/>
      <c r="B5" s="179"/>
      <c r="C5" s="179"/>
      <c r="D5" s="179"/>
      <c r="E5" s="179"/>
      <c r="F5" s="183"/>
      <c r="G5" s="183"/>
    </row>
    <row r="6" spans="1:7" ht="46.5" customHeight="1" x14ac:dyDescent="0.25">
      <c r="A6" s="179"/>
      <c r="B6" s="179"/>
      <c r="C6" s="179"/>
      <c r="D6" s="179"/>
      <c r="E6" s="179"/>
      <c r="F6" s="183"/>
      <c r="G6" s="183"/>
    </row>
    <row r="7" spans="1:7" ht="46.5" customHeight="1" x14ac:dyDescent="0.25">
      <c r="A7" s="179"/>
      <c r="B7" s="179"/>
      <c r="C7" s="179"/>
      <c r="D7" s="179"/>
      <c r="E7" s="179"/>
      <c r="F7" s="183"/>
      <c r="G7" s="183"/>
    </row>
    <row r="8" spans="1:7" ht="46.5" customHeight="1" x14ac:dyDescent="0.25">
      <c r="A8" s="179"/>
      <c r="B8" s="179"/>
      <c r="C8" s="179"/>
      <c r="D8" s="179"/>
      <c r="E8" s="179"/>
      <c r="F8" s="183"/>
      <c r="G8" s="183"/>
    </row>
    <row r="9" spans="1:7" ht="46.5" customHeight="1" x14ac:dyDescent="0.25">
      <c r="A9" s="179"/>
      <c r="B9" s="179"/>
      <c r="C9" s="179"/>
      <c r="D9" s="179"/>
      <c r="E9" s="179"/>
      <c r="F9" s="183"/>
      <c r="G9" s="183"/>
    </row>
    <row r="10" spans="1:7" ht="46.5" customHeight="1" x14ac:dyDescent="0.25">
      <c r="A10" s="179"/>
      <c r="B10" s="179"/>
      <c r="C10" s="179"/>
      <c r="D10" s="179"/>
      <c r="E10" s="179"/>
      <c r="F10" s="183"/>
      <c r="G10" s="183"/>
    </row>
    <row r="11" spans="1:7" ht="46.5" customHeight="1" x14ac:dyDescent="0.25">
      <c r="A11" s="179"/>
      <c r="B11" s="179"/>
      <c r="C11" s="179"/>
      <c r="D11" s="179"/>
      <c r="E11" s="179"/>
      <c r="F11" s="183"/>
      <c r="G11" s="183"/>
    </row>
    <row r="12" spans="1:7" ht="46.5" customHeight="1" x14ac:dyDescent="0.25">
      <c r="A12" s="179"/>
      <c r="B12" s="179"/>
      <c r="C12" s="179"/>
      <c r="D12" s="179"/>
      <c r="E12" s="179"/>
      <c r="F12" s="183"/>
      <c r="G12" s="183"/>
    </row>
    <row r="13" spans="1:7" ht="46.5" customHeight="1" x14ac:dyDescent="0.25">
      <c r="A13" s="179"/>
      <c r="B13" s="179"/>
      <c r="C13" s="179"/>
      <c r="D13" s="179"/>
      <c r="E13" s="179"/>
      <c r="F13" s="178"/>
      <c r="G13" s="178"/>
    </row>
    <row r="14" spans="1:7" ht="46.5" customHeight="1" x14ac:dyDescent="0.25">
      <c r="A14" s="179"/>
      <c r="B14" s="179"/>
      <c r="C14" s="179"/>
      <c r="D14" s="179"/>
      <c r="E14" s="179"/>
      <c r="F14" s="178"/>
      <c r="G14" s="178"/>
    </row>
    <row r="15" spans="1:7" ht="46.5" customHeight="1" x14ac:dyDescent="0.25">
      <c r="A15" s="179"/>
      <c r="B15" s="179"/>
      <c r="C15" s="179"/>
      <c r="D15" s="179"/>
      <c r="E15" s="179"/>
      <c r="F15" s="178"/>
      <c r="G15" s="178"/>
    </row>
    <row r="16" spans="1:7" ht="46.5" customHeight="1" x14ac:dyDescent="0.25">
      <c r="A16" s="179"/>
      <c r="B16" s="179"/>
      <c r="C16" s="179"/>
      <c r="D16" s="179"/>
      <c r="E16" s="179"/>
      <c r="F16" s="178"/>
      <c r="G16" s="178"/>
    </row>
    <row r="17" spans="1:7" ht="46.5" customHeight="1" x14ac:dyDescent="0.25">
      <c r="A17" s="179"/>
      <c r="B17" s="179"/>
      <c r="C17" s="179"/>
      <c r="D17" s="179"/>
      <c r="E17" s="179"/>
      <c r="F17" s="178"/>
      <c r="G17" s="178"/>
    </row>
    <row r="18" spans="1:7" ht="46.5" customHeight="1" x14ac:dyDescent="0.25">
      <c r="A18" s="179"/>
      <c r="B18" s="179"/>
      <c r="C18" s="179"/>
      <c r="D18" s="179"/>
      <c r="E18" s="179"/>
      <c r="F18" s="178"/>
      <c r="G18" s="178"/>
    </row>
    <row r="19" spans="1:7" x14ac:dyDescent="0.25">
      <c r="A19" s="179"/>
      <c r="B19" s="179"/>
      <c r="C19" s="179"/>
      <c r="D19" s="179"/>
      <c r="E19" s="179"/>
      <c r="F19" s="178"/>
      <c r="G19" s="178"/>
    </row>
    <row r="20" spans="1:7" x14ac:dyDescent="0.25">
      <c r="A20" s="179"/>
      <c r="B20" s="179"/>
      <c r="C20" s="179"/>
      <c r="D20" s="179"/>
      <c r="E20" s="179"/>
      <c r="F20" s="178"/>
      <c r="G20" s="178"/>
    </row>
    <row r="21" spans="1:7" x14ac:dyDescent="0.25">
      <c r="A21" s="179"/>
      <c r="B21" s="179"/>
      <c r="C21" s="179"/>
      <c r="D21" s="179"/>
      <c r="E21" s="179"/>
      <c r="F21" s="178"/>
      <c r="G21" s="178"/>
    </row>
    <row r="22" spans="1:7" x14ac:dyDescent="0.25">
      <c r="A22" s="179"/>
      <c r="B22" s="179"/>
      <c r="C22" s="179"/>
      <c r="D22" s="179"/>
      <c r="E22" s="179"/>
      <c r="F22" s="178"/>
      <c r="G22" s="178"/>
    </row>
    <row r="23" spans="1:7" x14ac:dyDescent="0.25">
      <c r="A23" s="179"/>
      <c r="B23" s="179"/>
      <c r="C23" s="179"/>
      <c r="D23" s="179"/>
      <c r="E23" s="179"/>
      <c r="F23" s="178"/>
      <c r="G23" s="178"/>
    </row>
    <row r="24" spans="1:7" x14ac:dyDescent="0.25">
      <c r="A24" s="179"/>
      <c r="B24" s="179"/>
      <c r="C24" s="179"/>
      <c r="D24" s="179"/>
      <c r="E24" s="179"/>
      <c r="F24" s="178"/>
      <c r="G24" s="178"/>
    </row>
    <row r="25" spans="1:7" x14ac:dyDescent="0.25">
      <c r="A25" s="179"/>
      <c r="B25" s="179"/>
      <c r="C25" s="179"/>
      <c r="D25" s="179"/>
      <c r="E25" s="179"/>
      <c r="F25" s="178"/>
      <c r="G25" s="178"/>
    </row>
    <row r="26" spans="1:7" x14ac:dyDescent="0.25">
      <c r="A26" s="179"/>
      <c r="B26" s="179"/>
      <c r="C26" s="179"/>
      <c r="D26" s="179"/>
      <c r="E26" s="179"/>
      <c r="F26" s="178"/>
      <c r="G26" s="178"/>
    </row>
    <row r="27" spans="1:7" x14ac:dyDescent="0.25">
      <c r="A27" s="179"/>
      <c r="B27" s="179"/>
      <c r="C27" s="179"/>
      <c r="D27" s="179"/>
      <c r="E27" s="179"/>
      <c r="F27" s="178"/>
      <c r="G27" s="178"/>
    </row>
    <row r="28" spans="1:7" x14ac:dyDescent="0.25">
      <c r="A28" s="179"/>
      <c r="B28" s="179"/>
      <c r="C28" s="179"/>
      <c r="D28" s="179"/>
      <c r="E28" s="179"/>
      <c r="F28" s="178"/>
      <c r="G28" s="178"/>
    </row>
    <row r="29" spans="1:7" x14ac:dyDescent="0.25">
      <c r="A29" s="179"/>
      <c r="B29" s="179"/>
      <c r="C29" s="179"/>
      <c r="D29" s="179"/>
      <c r="E29" s="179"/>
      <c r="F29" s="178"/>
      <c r="G29" s="178"/>
    </row>
    <row r="30" spans="1:7" x14ac:dyDescent="0.25">
      <c r="A30" s="179"/>
      <c r="B30" s="179"/>
      <c r="C30" s="179"/>
      <c r="D30" s="179"/>
      <c r="E30" s="179"/>
      <c r="F30" s="178"/>
      <c r="G30" s="178"/>
    </row>
    <row r="31" spans="1:7" x14ac:dyDescent="0.25">
      <c r="A31" s="179"/>
      <c r="B31" s="179"/>
      <c r="C31" s="179"/>
      <c r="D31" s="179"/>
      <c r="E31" s="179"/>
      <c r="F31" s="178"/>
      <c r="G31" s="178"/>
    </row>
    <row r="32" spans="1:7" x14ac:dyDescent="0.25">
      <c r="A32" s="179"/>
      <c r="B32" s="179"/>
      <c r="C32" s="179"/>
      <c r="D32" s="179"/>
      <c r="E32" s="179"/>
      <c r="F32" s="178"/>
      <c r="G32" s="178"/>
    </row>
    <row r="33" spans="1:7" x14ac:dyDescent="0.25">
      <c r="A33" s="179"/>
      <c r="B33" s="179"/>
      <c r="C33" s="179"/>
      <c r="D33" s="179"/>
      <c r="E33" s="179"/>
      <c r="F33" s="178"/>
      <c r="G33" s="178"/>
    </row>
    <row r="34" spans="1:7" x14ac:dyDescent="0.25">
      <c r="A34" s="179"/>
      <c r="B34" s="179"/>
      <c r="C34" s="179"/>
      <c r="D34" s="179"/>
      <c r="E34" s="179"/>
      <c r="F34" s="178"/>
      <c r="G34" s="178"/>
    </row>
    <row r="35" spans="1:7" x14ac:dyDescent="0.25">
      <c r="A35" s="179"/>
      <c r="B35" s="179"/>
      <c r="C35" s="179"/>
      <c r="D35" s="179"/>
      <c r="E35" s="17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E9F6-7055-4EB0-AB87-6DE5BC4B079C}">
  <sheetPr>
    <tabColor rgb="FF00B0F0"/>
  </sheetPr>
  <dimension ref="A1:Y10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3.140625" bestFit="1" customWidth="1"/>
    <col min="2" max="2" width="11.28515625" bestFit="1" customWidth="1"/>
    <col min="3" max="3" width="9.85546875" bestFit="1" customWidth="1"/>
    <col min="4" max="4" width="10.85546875" bestFit="1" customWidth="1"/>
    <col min="5" max="6" width="14.85546875" bestFit="1" customWidth="1"/>
    <col min="7" max="7" width="6" bestFit="1" customWidth="1"/>
    <col min="8" max="8" width="9.85546875" bestFit="1" customWidth="1"/>
    <col min="9" max="9" width="11.140625" bestFit="1" customWidth="1"/>
    <col min="10" max="10" width="7.85546875" style="163" bestFit="1" customWidth="1"/>
    <col min="11" max="11" width="9.85546875" bestFit="1" customWidth="1"/>
    <col min="12" max="12" width="11.140625" bestFit="1" customWidth="1"/>
    <col min="13" max="13" width="9" bestFit="1" customWidth="1"/>
    <col min="14" max="14" width="6.42578125" bestFit="1" customWidth="1"/>
    <col min="15" max="15" width="6.28515625" bestFit="1" customWidth="1"/>
    <col min="16" max="16" width="7.7109375" bestFit="1" customWidth="1"/>
    <col min="17" max="20" width="4.85546875" bestFit="1" customWidth="1"/>
    <col min="21" max="21" width="4.42578125" bestFit="1" customWidth="1"/>
    <col min="22" max="22" width="4.140625" bestFit="1" customWidth="1"/>
    <col min="23" max="23" width="22.7109375" bestFit="1" customWidth="1"/>
    <col min="24" max="24" width="12.7109375" bestFit="1" customWidth="1"/>
    <col min="25" max="25" width="11.42578125" style="163"/>
  </cols>
  <sheetData>
    <row r="1" spans="1:25" x14ac:dyDescent="0.25">
      <c r="A1" t="s">
        <v>144</v>
      </c>
      <c r="B1" s="168">
        <v>44771</v>
      </c>
    </row>
    <row r="2" spans="1:25" x14ac:dyDescent="0.25">
      <c r="A2" s="162" t="s">
        <v>122</v>
      </c>
      <c r="B2" s="162" t="s">
        <v>123</v>
      </c>
      <c r="C2" s="162" t="s">
        <v>124</v>
      </c>
      <c r="D2" s="162" t="s">
        <v>125</v>
      </c>
      <c r="E2" s="162" t="s">
        <v>126</v>
      </c>
      <c r="F2" s="162" t="s">
        <v>127</v>
      </c>
      <c r="G2" s="162" t="s">
        <v>128</v>
      </c>
      <c r="H2" s="162" t="s">
        <v>129</v>
      </c>
      <c r="I2" s="162" t="s">
        <v>130</v>
      </c>
      <c r="J2" s="162" t="s">
        <v>217</v>
      </c>
      <c r="K2" s="162" t="s">
        <v>218</v>
      </c>
      <c r="L2" s="162" t="s">
        <v>219</v>
      </c>
      <c r="M2" s="162" t="s">
        <v>220</v>
      </c>
      <c r="N2" s="162" t="s">
        <v>222</v>
      </c>
      <c r="O2" s="162" t="s">
        <v>221</v>
      </c>
      <c r="P2" s="162" t="s">
        <v>223</v>
      </c>
      <c r="Q2" s="162" t="s">
        <v>94</v>
      </c>
      <c r="R2" s="162" t="s">
        <v>93</v>
      </c>
      <c r="S2" s="162" t="s">
        <v>131</v>
      </c>
      <c r="T2" s="162" t="s">
        <v>3</v>
      </c>
      <c r="U2" s="162" t="s">
        <v>13</v>
      </c>
      <c r="V2" s="162" t="s">
        <v>132</v>
      </c>
      <c r="W2" s="162" t="s">
        <v>133</v>
      </c>
      <c r="X2" s="162" t="s">
        <v>134</v>
      </c>
      <c r="Y2" s="162" t="s">
        <v>237</v>
      </c>
    </row>
    <row r="3" spans="1:25" x14ac:dyDescent="0.25">
      <c r="A3" s="163" t="s">
        <v>142</v>
      </c>
      <c r="B3" s="164">
        <v>38109</v>
      </c>
      <c r="C3" s="163" t="s">
        <v>136</v>
      </c>
      <c r="D3" s="163" t="s">
        <v>143</v>
      </c>
      <c r="E3" s="165">
        <v>345859603</v>
      </c>
      <c r="F3" s="165">
        <v>400664099</v>
      </c>
      <c r="G3" s="163">
        <v>849</v>
      </c>
      <c r="H3" s="166">
        <v>2069410</v>
      </c>
      <c r="I3" s="165">
        <v>421200</v>
      </c>
      <c r="J3" s="170">
        <v>14</v>
      </c>
      <c r="K3" s="166">
        <v>2180770</v>
      </c>
      <c r="L3" s="165">
        <v>432658</v>
      </c>
      <c r="M3" s="167">
        <v>6</v>
      </c>
      <c r="N3" s="167">
        <v>8.4</v>
      </c>
      <c r="O3" s="167">
        <v>5.9</v>
      </c>
      <c r="P3" s="163" t="s">
        <v>236</v>
      </c>
      <c r="Q3" s="163">
        <v>4</v>
      </c>
      <c r="R3" s="163">
        <v>3</v>
      </c>
      <c r="S3" s="163">
        <v>4</v>
      </c>
      <c r="T3" s="163">
        <v>3</v>
      </c>
      <c r="U3" s="163">
        <v>0</v>
      </c>
      <c r="V3" s="163">
        <f>SUM(Q3:U3)</f>
        <v>14</v>
      </c>
      <c r="W3" s="163" t="s">
        <v>281</v>
      </c>
      <c r="X3" s="163" t="s">
        <v>238</v>
      </c>
      <c r="Y3" s="163">
        <v>1099</v>
      </c>
    </row>
    <row r="4" spans="1:25" x14ac:dyDescent="0.25">
      <c r="A4" s="163" t="s">
        <v>141</v>
      </c>
      <c r="B4" s="164">
        <v>40792</v>
      </c>
      <c r="C4" s="163" t="s">
        <v>136</v>
      </c>
      <c r="D4" s="163" t="s">
        <v>248</v>
      </c>
      <c r="E4" s="165">
        <v>338532735</v>
      </c>
      <c r="F4" s="165">
        <v>338899241</v>
      </c>
      <c r="G4" s="163">
        <v>967</v>
      </c>
      <c r="H4" s="166">
        <v>1586420</v>
      </c>
      <c r="I4" s="165">
        <v>286522</v>
      </c>
      <c r="J4" s="170">
        <v>16</v>
      </c>
      <c r="K4" s="166">
        <f>H4-180-20</f>
        <v>1586220</v>
      </c>
      <c r="L4" s="165">
        <f>I4-830-200</f>
        <v>285492</v>
      </c>
      <c r="M4" s="167">
        <v>6.25</v>
      </c>
      <c r="N4" s="167">
        <v>10.5</v>
      </c>
      <c r="O4" s="167">
        <v>7</v>
      </c>
      <c r="P4" s="163" t="s">
        <v>249</v>
      </c>
      <c r="Q4" s="163">
        <v>1</v>
      </c>
      <c r="R4" s="163">
        <v>4</v>
      </c>
      <c r="S4" s="163">
        <v>0</v>
      </c>
      <c r="T4" s="163">
        <v>5</v>
      </c>
      <c r="U4" s="163">
        <v>0</v>
      </c>
      <c r="V4" s="163">
        <f t="shared" ref="V4:V10" si="0">SUM(Q4:U4)</f>
        <v>10</v>
      </c>
      <c r="W4" s="163" t="s">
        <v>250</v>
      </c>
      <c r="X4" s="163" t="s">
        <v>251</v>
      </c>
      <c r="Y4" s="163">
        <v>1148</v>
      </c>
    </row>
    <row r="5" spans="1:25" x14ac:dyDescent="0.25">
      <c r="A5" s="163" t="s">
        <v>137</v>
      </c>
      <c r="B5" s="164">
        <v>42724</v>
      </c>
      <c r="C5" s="163" t="s">
        <v>138</v>
      </c>
      <c r="D5" s="163" t="s">
        <v>135</v>
      </c>
      <c r="E5" s="165">
        <v>58980220</v>
      </c>
      <c r="F5" s="165">
        <v>47077563</v>
      </c>
      <c r="G5" s="163">
        <v>361</v>
      </c>
      <c r="H5" s="166">
        <v>1033260</v>
      </c>
      <c r="I5" s="165">
        <v>327226</v>
      </c>
      <c r="J5" s="170">
        <v>14</v>
      </c>
      <c r="K5" s="166">
        <v>1000260</v>
      </c>
      <c r="L5" s="165">
        <v>318288</v>
      </c>
      <c r="M5" s="167">
        <v>4.95</v>
      </c>
      <c r="N5" s="167">
        <v>10.8</v>
      </c>
      <c r="O5" s="167">
        <v>6.79</v>
      </c>
      <c r="P5" s="163" t="s">
        <v>280</v>
      </c>
      <c r="Q5" s="163">
        <v>5</v>
      </c>
      <c r="R5" s="163">
        <v>2</v>
      </c>
      <c r="S5" s="163">
        <v>2</v>
      </c>
      <c r="T5" s="163">
        <v>4</v>
      </c>
      <c r="U5" s="163">
        <v>0</v>
      </c>
      <c r="V5" s="163">
        <f>SUM(Q5:U5)</f>
        <v>13</v>
      </c>
      <c r="W5" s="163" t="s">
        <v>282</v>
      </c>
      <c r="X5" s="163" t="s">
        <v>139</v>
      </c>
      <c r="Y5" s="163">
        <v>1163</v>
      </c>
    </row>
    <row r="6" spans="1:25" x14ac:dyDescent="0.25">
      <c r="A6" s="163" t="s">
        <v>283</v>
      </c>
      <c r="B6" s="164">
        <v>42652</v>
      </c>
      <c r="C6" s="163" t="s">
        <v>136</v>
      </c>
      <c r="D6" s="163" t="s">
        <v>284</v>
      </c>
      <c r="E6" s="165">
        <v>254416591</v>
      </c>
      <c r="F6" s="165">
        <v>266297698</v>
      </c>
      <c r="G6" s="163">
        <v>307</v>
      </c>
      <c r="H6" s="166">
        <v>2218860</v>
      </c>
      <c r="I6" s="165">
        <v>406454</v>
      </c>
      <c r="J6" s="170">
        <v>12</v>
      </c>
      <c r="K6" s="166">
        <v>2137760</v>
      </c>
      <c r="L6" s="165">
        <v>527806</v>
      </c>
      <c r="M6" s="167">
        <v>5.75</v>
      </c>
      <c r="N6" s="167">
        <v>9.5</v>
      </c>
      <c r="O6" s="167">
        <v>6.42</v>
      </c>
      <c r="P6" s="163" t="s">
        <v>311</v>
      </c>
      <c r="Q6" s="163">
        <v>7</v>
      </c>
      <c r="R6" s="163">
        <v>0</v>
      </c>
      <c r="S6" s="163">
        <v>1</v>
      </c>
      <c r="T6" s="163">
        <v>0</v>
      </c>
      <c r="U6" s="163">
        <v>0</v>
      </c>
      <c r="V6" s="163">
        <f t="shared" si="0"/>
        <v>8</v>
      </c>
      <c r="W6" s="163" t="s">
        <v>312</v>
      </c>
      <c r="X6" s="163" t="s">
        <v>139</v>
      </c>
      <c r="Y6" s="163">
        <v>1146</v>
      </c>
    </row>
    <row r="7" spans="1:25" x14ac:dyDescent="0.25">
      <c r="A7" s="163" t="s">
        <v>313</v>
      </c>
      <c r="B7" s="164">
        <v>42246</v>
      </c>
      <c r="C7" s="163" t="s">
        <v>314</v>
      </c>
      <c r="D7" s="163" t="s">
        <v>140</v>
      </c>
      <c r="E7" s="165">
        <v>109830250</v>
      </c>
      <c r="F7" s="165">
        <v>126272349</v>
      </c>
      <c r="G7" s="163">
        <v>211</v>
      </c>
      <c r="H7" s="166">
        <v>1354780</v>
      </c>
      <c r="I7" s="165">
        <v>346236</v>
      </c>
      <c r="J7" s="170">
        <v>18</v>
      </c>
      <c r="K7" s="166">
        <v>1274500</v>
      </c>
      <c r="L7" s="165">
        <v>297754</v>
      </c>
      <c r="M7" s="167">
        <v>5.61</v>
      </c>
      <c r="N7" s="167">
        <v>9.17</v>
      </c>
      <c r="O7" s="167">
        <v>6.89</v>
      </c>
      <c r="P7" s="163" t="s">
        <v>340</v>
      </c>
      <c r="Q7" s="163">
        <v>6</v>
      </c>
      <c r="R7" s="163">
        <v>1</v>
      </c>
      <c r="S7" s="163">
        <v>4</v>
      </c>
      <c r="T7" s="163">
        <v>5</v>
      </c>
      <c r="U7" s="163">
        <v>0</v>
      </c>
      <c r="V7" s="163">
        <f t="shared" si="0"/>
        <v>16</v>
      </c>
      <c r="W7" s="163" t="s">
        <v>341</v>
      </c>
      <c r="X7" s="163" t="s">
        <v>342</v>
      </c>
      <c r="Y7" s="163">
        <v>1091</v>
      </c>
    </row>
    <row r="8" spans="1:25" x14ac:dyDescent="0.25">
      <c r="A8" s="163" t="s">
        <v>343</v>
      </c>
      <c r="B8" s="164">
        <v>38651</v>
      </c>
      <c r="C8" s="163" t="s">
        <v>138</v>
      </c>
      <c r="D8" s="163" t="s">
        <v>284</v>
      </c>
      <c r="E8" s="165">
        <v>340496625</v>
      </c>
      <c r="F8" s="165">
        <v>373778525</v>
      </c>
      <c r="G8" s="163">
        <v>1044</v>
      </c>
      <c r="H8" s="166">
        <v>1276840</v>
      </c>
      <c r="I8" s="165">
        <v>286522</v>
      </c>
      <c r="J8" s="170">
        <v>14</v>
      </c>
      <c r="K8" s="166">
        <v>1266740</v>
      </c>
      <c r="L8" s="165">
        <v>281724</v>
      </c>
      <c r="M8" s="167">
        <v>6.3</v>
      </c>
      <c r="N8" s="167">
        <v>9.6</v>
      </c>
      <c r="O8" s="167">
        <v>6.1</v>
      </c>
      <c r="P8" s="163" t="s">
        <v>373</v>
      </c>
      <c r="Q8" s="163">
        <v>3</v>
      </c>
      <c r="R8" s="163">
        <v>4</v>
      </c>
      <c r="S8" s="163">
        <v>0</v>
      </c>
      <c r="T8" s="163">
        <v>1</v>
      </c>
      <c r="U8" s="163">
        <v>1</v>
      </c>
      <c r="V8" s="163">
        <f t="shared" si="0"/>
        <v>9</v>
      </c>
      <c r="W8" s="163" t="s">
        <v>374</v>
      </c>
      <c r="X8" s="163">
        <v>352</v>
      </c>
      <c r="Y8" s="163">
        <v>1062</v>
      </c>
    </row>
    <row r="9" spans="1:25" x14ac:dyDescent="0.25">
      <c r="A9" s="163" t="s">
        <v>442</v>
      </c>
      <c r="B9" s="164">
        <v>38111</v>
      </c>
      <c r="C9" s="163" t="s">
        <v>375</v>
      </c>
      <c r="D9" s="163" t="s">
        <v>376</v>
      </c>
      <c r="E9" s="165">
        <v>792988698</v>
      </c>
      <c r="F9" s="165">
        <v>928152920</v>
      </c>
      <c r="G9" s="163">
        <v>1536</v>
      </c>
      <c r="H9" s="166">
        <v>2610000</v>
      </c>
      <c r="I9" s="165">
        <v>532570</v>
      </c>
      <c r="J9" s="170">
        <v>15</v>
      </c>
      <c r="K9" s="166">
        <v>2809420</v>
      </c>
      <c r="L9" s="165">
        <v>570240</v>
      </c>
      <c r="M9" s="167">
        <v>4.93</v>
      </c>
      <c r="N9" s="167">
        <v>11.4</v>
      </c>
      <c r="O9" s="167">
        <v>6.4</v>
      </c>
      <c r="P9" s="163" t="s">
        <v>373</v>
      </c>
      <c r="Q9" s="163">
        <v>2</v>
      </c>
      <c r="R9" s="163">
        <v>6</v>
      </c>
      <c r="S9" s="163">
        <v>4</v>
      </c>
      <c r="T9" s="163">
        <v>2</v>
      </c>
      <c r="U9" s="163">
        <v>0</v>
      </c>
      <c r="V9" s="163">
        <f t="shared" si="0"/>
        <v>14</v>
      </c>
      <c r="W9" s="163" t="s">
        <v>250</v>
      </c>
      <c r="X9" s="163" t="s">
        <v>342</v>
      </c>
      <c r="Y9" s="163">
        <v>1124</v>
      </c>
    </row>
    <row r="10" spans="1:25" x14ac:dyDescent="0.25">
      <c r="A10" s="163" t="s">
        <v>423</v>
      </c>
      <c r="B10" s="164">
        <v>40715</v>
      </c>
      <c r="C10" s="163" t="s">
        <v>424</v>
      </c>
      <c r="D10" s="163" t="s">
        <v>135</v>
      </c>
      <c r="E10" s="165">
        <v>306104153</v>
      </c>
      <c r="F10" s="165">
        <v>274951540</v>
      </c>
      <c r="G10" s="163">
        <v>465</v>
      </c>
      <c r="H10" s="166">
        <v>2603370</v>
      </c>
      <c r="I10" s="165">
        <v>343524</v>
      </c>
      <c r="J10" s="170">
        <v>17</v>
      </c>
      <c r="K10" s="166">
        <v>2603370</v>
      </c>
      <c r="L10" s="165">
        <v>343224</v>
      </c>
      <c r="M10" s="167">
        <v>5.4</v>
      </c>
      <c r="N10" s="167">
        <v>8.1199999999999992</v>
      </c>
      <c r="O10" s="167">
        <v>5.3</v>
      </c>
      <c r="P10" s="163" t="s">
        <v>441</v>
      </c>
      <c r="Q10" s="163">
        <v>3</v>
      </c>
      <c r="R10" s="163">
        <v>2</v>
      </c>
      <c r="S10" s="163">
        <v>3</v>
      </c>
      <c r="T10" s="163">
        <v>1</v>
      </c>
      <c r="U10" s="163">
        <v>1</v>
      </c>
      <c r="V10" s="163">
        <f t="shared" si="0"/>
        <v>10</v>
      </c>
      <c r="W10" s="163" t="s">
        <v>281</v>
      </c>
      <c r="X10" s="163">
        <v>352</v>
      </c>
      <c r="Y10" s="163">
        <v>1044</v>
      </c>
    </row>
  </sheetData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10">
    <cfRule type="colorScale" priority="3">
      <colorScale>
        <cfvo type="min"/>
        <cfvo type="max"/>
        <color rgb="FFFCFCFF"/>
        <color rgb="FFF8696B"/>
      </colorScale>
    </cfRule>
  </conditionalFormatting>
  <conditionalFormatting sqref="M3:M10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10 L3:L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 K3:K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0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G A A B Q S w M E F A A C A A g A m X Q 1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J l 0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d D V V x y z o X O A D A A C y Y A A A E w A c A E Z v c m 1 1 b G F z L 1 N l Y 3 R p b 2 4 x L m 0 g o h g A K K A U A A A A A A A A A A A A A A A A A A A A A A A A A A A A 7 Z z P b 9 s 2 F M f v A f I / P K g X B x A M / b J j b / C h i x s s w J B 2 t X d q h o C W 2 J Q D R R o k n T Y N + i f t t N u u + c d G y f G c m H K 6 A e E h 0 s s l z i P 1 v o + U 3 g d 8 p G J N c 8 O k g N n 6 d / z j 4 c H h g f 5 E F C 3 g V b D k 5 I Y q f Z m M L 4 8 v k y h J Q o i H k G a Q Z Q F M g F N z e A D 2 5 6 1 i V 1 R Y y 4 m + 7 k 9 l v i q p M L 1 T x m n / R A p j / 9 C 9 4 O S H i 9 + 0 9 X Z x 9 u 7 t + 4 u p / C y 4 J I W + e E K k n + v r 4 C j 8 M K W c l c x Q N Q n C I I Q T y V e l 0 J M k D e G N y G X B x N V k O I i i O I R f V 9 L Q m b n h d L L 9 2 D + X g v 5 + F K 6 j f R X Y i 8 i C f i W F 1 L B U s p T X z H 6 s h j Q n C 9 v 9 X W U z 9 G d K C h t Z b z 2 8 E D 7 c 2 1 9 z P s s J J 0 p P j F o 9 d D x n S w k 5 K R f M + t 7 6 m y s i 9 E e p y n X k 8 5 s l 1 b 2 9 Y Y S 3 t 8 E 5 y e 3 t I J w V p L A j N v Y K M P S L + R b C b T C V S h N u z W f C D L N + 5 a 6 2 n 8 t y o a j T / W w K B e X w x + r K K i n 3 s j f C K C r 2 t O k l z d m e O H 6 S g n 1 k u Q 3 1 7 i 8 B S 6 k g 5 6 u F F Q N Z z 5 j r 7 h e q 7 b C o d l y 9 L i u z q U d d N z s x A i f A m e 1 S + T f 1 h F I b t g 2 u q f s 6 3 B 3 r 9 O 7 P p s 7 z 2 Z l r n F X 3 l 8 m G B l o S Q T T Y 5 9 1 O a j X g B v k v S 6 p Y H V z D H D D 7 U J G v V w 2 + T 2 3 T Z q p 3 m + z T 0 + D s v Z 1 Q b f Y o n d L 8 E 4 G 7 v 7 l h p Y Q l U c Y + X 5 u p L 4 j Z u B C F z S 6 b p L K h 7 + 4 U 2 t G r z R 3 f 4 7 m + q d + O D g + Y a M 6 L 7 0 P m G N I R p I l f y N y L I G T a C 5 m d F o c y j 6 U Q M h 2 D T D a G Q e w b M r U I Q g Y h 8 9 8 g s 9 M b G f P C G T M Y Q H b s m z G 1 C D K m u 4 z 5 n + U S Q q Z N k B l B l E D q e S F z L 4 K Q e R o y j 8 3 I G G T M y 2 V M f D n a Z H 8 E U Q R p + v y I c T W Q M O 1 d x u C m L y L m C c T Y N Y a H g y V X A x H T W c T g j m / H C D N 4 m P 3 J s a 1 i n p 8 w r g Y S p r O E w T K p Y 4 Q Z b b M / r k 5 7 U g / b v a 4 G E q a 9 h M E T J S T M o y o p e p j + g 6 q K 8 V A m u S L I m P Y y B l c x y J j v M A Z 6 y R F y B j m D n E H O + O V M i p x B z i B n k D N + O J N A N I B k 4 J c x 9 y L I G H x B B h n T E c Y 8 O F r O I B l B 7 O M N G V c E G Y P r G G R M J x k z h s z D A X a D C D K m v Y x 5 5 o X M b n e k z A u n T B p B N v Z N m V o E K Y O U Q c p 0 h j L J v w A Y Q 5 p A 5 O F / l l w N Z E x 3 G b N T / 2 C 1 1 H 7 C j L d f I h X Z Q s b H m z K u C D K m u 4 z B L Z l O Q y a O I f F R L L k i C J n 2 Q g a 3 f Z E x T z A m 8 X O 0 5 I o g Y 5 A x u B / T F c g M t / k f Q z r 0 s y H j i i B k E D K 4 k O k G Y 5 J 4 m / 4 Z p C l E k Y c v q n J F k D H I G F z I t A 8 y / w B Q S w E C L Q A U A A I A C A C Z d D V V 1 Q 7 B x 6 U A A A D 2 A A A A E g A A A A A A A A A A A A A A A A A A A A A A Q 2 9 u Z m l n L 1 B h Y 2 t h Z 2 U u e G 1 s U E s B A i 0 A F A A C A A g A m X Q 1 V Q / K 6 a u k A A A A 6 Q A A A B M A A A A A A A A A A A A A A A A A 8 Q A A A F t D b 2 5 0 Z W 5 0 X 1 R 5 c G V z X S 5 4 b W x Q S w E C L Q A U A A I A C A C Z d D V V x y z o X O A D A A C y Y A A A E w A A A A A A A A A A A A A A A A D i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K Q I A A A A A A E M p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i U y M D M 0 J T I w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e W V y c 1 8 y O V 8 3 X z I w M j J f X z E 2 X z M 0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E 0 O j M 1 O j U 5 L j A w N j Y 5 O D Z a I i A v P j x F b n R y e S B U e X B l P S J G a W x s Q 2 9 s d W 1 u V H l w Z X M i I F Z h b H V l P S J z Q m d N R 0 F 3 T U d B d 1 l E Q X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y O V 8 3 X z I w M j I s I D E 2 I D M 0 I D Q 0 L 0 F 1 d G 9 S Z W 1 v d m V k Q 2 9 s d W 1 u c z E u e 0 5 h Y 2 l v b m F s a W R h Z C w w f S Z x d W 9 0 O y w m c X V v d D t T Z W N 0 a W 9 u M S 9 w b G F 5 Z X J z X z I 5 X z d f M j A y M i w g M T Y g M z Q g N D Q v Q X V 0 b 1 J l b W 9 2 Z W R D b 2 x 1 b W 5 z M S 5 7 R G 9 y c 2 F s L D F 9 J n F 1 b 3 Q 7 L C Z x d W 9 0 O 1 N l Y 3 R p b 2 4 x L 3 B s Y X l l c n N f M j l f N 1 8 y M D I y L C A x N i A z N C A 0 N C 9 B d X R v U m V t b 3 Z l Z E N v b H V t b n M x L n t O b 2 1 i c m U s M n 0 m c X V v d D s s J n F 1 b 3 Q 7 U 2 V j d G l v b j E v c G x h e W V y c 1 8 y O V 8 3 X z I w M j I s I D E 2 I D M 0 I D Q 0 L 0 F 1 d G 9 S Z W 1 v d m V k Q 2 9 s d W 1 u c z E u e 0 l E I G R l b C B q d W d h Z G 9 y L D N 9 J n F 1 b 3 Q 7 L C Z x d W 9 0 O 1 N l Y 3 R p b 2 4 x L 3 B s Y X l l c n N f M j l f N 1 8 y M D I y L C A x N i A z N C A 0 N C 9 B d X R v U m V t b 3 Z l Z E N v b H V t b n M x L n t F b n R y Z W 5 h Z G 9 y L D R 9 J n F 1 b 3 Q 7 L C Z x d W 9 0 O 1 N l Y 3 R p b 2 4 x L 3 B s Y X l l c n N f M j l f N 1 8 y M D I y L C A x N i A z N C A 0 N C 9 B d X R v U m V t b 3 Z l Z E N v b H V t b n M x L n t F c 3 B l Y 2 l h b G l k Y W Q s N X 0 m c X V v d D s s J n F 1 b 3 Q 7 U 2 V j d G l v b j E v c G x h e W V y c 1 8 y O V 8 3 X z I w M j I s I D E 2 I D M 0 I D Q 0 L 0 F 1 d G 9 S Z W 1 v d m V k Q 2 9 s d W 1 u c z E u e 0 J v b m l m a W N h Y 2 n D s 2 4 g c G 9 y I G N s d W I g Z G U g b 3 J p Z 2 V u L D Z 9 J n F 1 b 3 Q 7 L C Z x d W 9 0 O 1 N l Y 3 R p b 2 4 x L 3 B s Y X l l c n N f M j l f N 1 8 y M D I y L C A x N i A z N C A 0 N C 9 B d X R v U m V t b 3 Z l Z E N v b H V t b n M x L n t M Z X N p b 2 5 l c y w 3 f S Z x d W 9 0 O y w m c X V v d D t T Z W N 0 a W 9 u M S 9 w b G F 5 Z X J z X z I 5 X z d f M j A y M i w g M T Y g M z Q g N D Q v Q X V 0 b 1 J l b W 9 2 Z W R D b 2 x 1 b W 5 z M S 5 7 Q W 1 v b m V z d G F j a W 9 u Z X M s O H 0 m c X V v d D s s J n F 1 b 3 Q 7 U 2 V j d G l v b j E v c G x h e W V y c 1 8 y O V 8 3 X z I w M j I s I D E 2 I D M 0 I D Q 0 L 0 F 1 d G 9 S Z W 1 v d m V k Q 2 9 s d W 1 u c z E u e 0 V u I G x h I G x p c 3 R h I G R l I H R y Y W 5 z Z m V y Z W 5 j a W F z L D l 9 J n F 1 b 3 Q 7 L C Z x d W 9 0 O 1 N l Y 3 R p b 2 4 x L 3 B s Y X l l c n N f M j l f N 1 8 y M D I y L C A x N i A z N C A 0 N C 9 B d X R v U m V t b 3 Z l Z E N v b H V t b n M x L n t F Z G F k L D E w f S Z x d W 9 0 O y w m c X V v d D t T Z W N 0 a W 9 u M S 9 w b G F 5 Z X J z X z I 5 X z d f M j A y M i w g M T Y g M z Q g N D Q v Q X V 0 b 1 J l b W 9 2 Z W R D b 2 x 1 b W 5 z M S 5 7 R M O t Y X M s M T F 9 J n F 1 b 3 Q 7 L C Z x d W 9 0 O 1 N l Y 3 R p b 2 4 x L 3 B s Y X l l c n N f M j l f N 1 8 y M D I y L C A x N i A z N C A 0 N C 9 B d X R v U m V t b 3 Z l Z E N v b H V t b n M x L n t U U 0 k s M T J 9 J n F 1 b 3 Q 7 L C Z x d W 9 0 O 1 N l Y 3 R p b 2 4 x L 3 B s Y X l l c n N f M j l f N 1 8 y M D I y L C A x N i A z N C A 0 N C 9 B d X R v U m V t b 3 Z l Z E N v b H V t b n M x L n t T Y W x h c m l v L D E z f S Z x d W 9 0 O y w m c X V v d D t T Z W N 0 a W 9 u M S 9 w b G F 5 Z X J z X z I 5 X z d f M j A y M i w g M T Y g M z Q g N D Q v Q X V 0 b 1 J l b W 9 2 Z W R D b 2 x 1 b W 5 z M S 5 7 U 2 V t Y W 5 h c y B l b i B l b C B j b H V i L D E 0 f S Z x d W 9 0 O y w m c X V v d D t T Z W N 0 a W 9 u M S 9 w b G F 5 Z X J z X z I 5 X z d f M j A y M i w g M T Y g M z Q g N D Q v Q X V 0 b 1 J l b W 9 2 Z W R D b 2 x 1 b W 5 z M S 5 7 R X h w Z X J p Z W 5 j a W E s M T V 9 J n F 1 b 3 Q 7 L C Z x d W 9 0 O 1 N l Y 3 R p b 2 4 x L 3 B s Y X l l c n N f M j l f N 1 8 y M D I y L C A x N i A z N C A 0 N C 9 B d X R v U m V t b 3 Z l Z E N v b H V t b n M x L n t M a W R l c m F 6 Z 2 8 s M T Z 9 J n F 1 b 3 Q 7 L C Z x d W 9 0 O 1 N l Y 3 R p b 2 4 x L 3 B s Y X l l c n N f M j l f N 1 8 y M D I y L C A x N i A z N C A 0 N C 9 B d X R v U m V t b 3 Z l Z E N v b H V t b n M x L n t G a W R l b G l k Y W Q s M T d 9 J n F 1 b 3 Q 7 L C Z x d W 9 0 O 1 N l Y 3 R p b 2 4 x L 3 B s Y X l l c n N f M j l f N 1 8 y M D I y L C A x N i A z N C A 0 N C 9 B d X R v U m V t b 3 Z l Z E N v b H V t b n M x L n t G b 3 J t Y S w x O H 0 m c X V v d D s s J n F 1 b 3 Q 7 U 2 V j d G l v b j E v c G x h e W V y c 1 8 y O V 8 3 X z I w M j I s I D E 2 I D M 0 I D Q 0 L 0 F 1 d G 9 S Z W 1 v d m V k Q 2 9 s d W 1 u c z E u e 1 J l c 2 l z d G V u Y 2 l h L D E 5 f S Z x d W 9 0 O y w m c X V v d D t T Z W N 0 a W 9 u M S 9 w b G F 5 Z X J z X z I 5 X z d f M j A y M i w g M T Y g M z Q g N D Q v Q X V 0 b 1 J l b W 9 2 Z W R D b 2 x 1 b W 5 z M S 5 7 R m V j a G E g w 7 p s d G l t b y B w Y X J 0 a W R v L D I w f S Z x d W 9 0 O y w m c X V v d D t T Z W N 0 a W 9 u M S 9 w b G F 5 Z X J z X z I 5 X z d f M j A y M i w g M T Y g M z Q g N D Q v Q X V 0 b 1 J l b W 9 2 Z W R D b 2 x 1 b W 5 z M S 5 7 U m V u Z G l t a W V u d G 8 g w 7 p s d G l t b y B w Y X J 0 a W R v L D I x f S Z x d W 9 0 O y w m c X V v d D t T Z W N 0 a W 9 u M S 9 w b G F 5 Z X J z X z I 5 X z d f M j A y M i w g M T Y g M z Q g N D Q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j l f N 1 8 y M D I y L C A x N i A z N C A 0 N C 9 B d X R v U m V t b 3 Z l Z E N v b H V t b n M x L n t O Y W N p b 2 5 h b G l k Y W Q s M H 0 m c X V v d D s s J n F 1 b 3 Q 7 U 2 V j d G l v b j E v c G x h e W V y c 1 8 y O V 8 3 X z I w M j I s I D E 2 I D M 0 I D Q 0 L 0 F 1 d G 9 S Z W 1 v d m V k Q 2 9 s d W 1 u c z E u e 0 R v c n N h b C w x f S Z x d W 9 0 O y w m c X V v d D t T Z W N 0 a W 9 u M S 9 w b G F 5 Z X J z X z I 5 X z d f M j A y M i w g M T Y g M z Q g N D Q v Q X V 0 b 1 J l b W 9 2 Z W R D b 2 x 1 b W 5 z M S 5 7 T m 9 t Y n J l L D J 9 J n F 1 b 3 Q 7 L C Z x d W 9 0 O 1 N l Y 3 R p b 2 4 x L 3 B s Y X l l c n N f M j l f N 1 8 y M D I y L C A x N i A z N C A 0 N C 9 B d X R v U m V t b 3 Z l Z E N v b H V t b n M x L n t J R C B k Z W w g a n V n Y W R v c i w z f S Z x d W 9 0 O y w m c X V v d D t T Z W N 0 a W 9 u M S 9 w b G F 5 Z X J z X z I 5 X z d f M j A y M i w g M T Y g M z Q g N D Q v Q X V 0 b 1 J l b W 9 2 Z W R D b 2 x 1 b W 5 z M S 5 7 R W 5 0 c m V u Y W R v c i w 0 f S Z x d W 9 0 O y w m c X V v d D t T Z W N 0 a W 9 u M S 9 w b G F 5 Z X J z X z I 5 X z d f M j A y M i w g M T Y g M z Q g N D Q v Q X V 0 b 1 J l b W 9 2 Z W R D b 2 x 1 b W 5 z M S 5 7 R X N w Z W N p Y W x p Z G F k L D V 9 J n F 1 b 3 Q 7 L C Z x d W 9 0 O 1 N l Y 3 R p b 2 4 x L 3 B s Y X l l c n N f M j l f N 1 8 y M D I y L C A x N i A z N C A 0 N C 9 B d X R v U m V t b 3 Z l Z E N v b H V t b n M x L n t C b 2 5 p Z m l j Y W N p w 7 N u I H B v c i B j b H V i I G R l I G 9 y a W d l b i w 2 f S Z x d W 9 0 O y w m c X V v d D t T Z W N 0 a W 9 u M S 9 w b G F 5 Z X J z X z I 5 X z d f M j A y M i w g M T Y g M z Q g N D Q v Q X V 0 b 1 J l b W 9 2 Z W R D b 2 x 1 b W 5 z M S 5 7 T G V z a W 9 u Z X M s N 3 0 m c X V v d D s s J n F 1 b 3 Q 7 U 2 V j d G l v b j E v c G x h e W V y c 1 8 y O V 8 3 X z I w M j I s I D E 2 I D M 0 I D Q 0 L 0 F 1 d G 9 S Z W 1 v d m V k Q 2 9 s d W 1 u c z E u e 0 F t b 2 5 l c 3 R h Y 2 l v b m V z L D h 9 J n F 1 b 3 Q 7 L C Z x d W 9 0 O 1 N l Y 3 R p b 2 4 x L 3 B s Y X l l c n N f M j l f N 1 8 y M D I y L C A x N i A z N C A 0 N C 9 B d X R v U m V t b 3 Z l Z E N v b H V t b n M x L n t F b i B s Y S B s a X N 0 Y S B k Z S B 0 c m F u c 2 Z l c m V u Y 2 l h c y w 5 f S Z x d W 9 0 O y w m c X V v d D t T Z W N 0 a W 9 u M S 9 w b G F 5 Z X J z X z I 5 X z d f M j A y M i w g M T Y g M z Q g N D Q v Q X V 0 b 1 J l b W 9 2 Z W R D b 2 x 1 b W 5 z M S 5 7 R W R h Z C w x M H 0 m c X V v d D s s J n F 1 b 3 Q 7 U 2 V j d G l v b j E v c G x h e W V y c 1 8 y O V 8 3 X z I w M j I s I D E 2 I D M 0 I D Q 0 L 0 F 1 d G 9 S Z W 1 v d m V k Q 2 9 s d W 1 u c z E u e 0 T D r W F z L D E x f S Z x d W 9 0 O y w m c X V v d D t T Z W N 0 a W 9 u M S 9 w b G F 5 Z X J z X z I 5 X z d f M j A y M i w g M T Y g M z Q g N D Q v Q X V 0 b 1 J l b W 9 2 Z W R D b 2 x 1 b W 5 z M S 5 7 V F N J L D E y f S Z x d W 9 0 O y w m c X V v d D t T Z W N 0 a W 9 u M S 9 w b G F 5 Z X J z X z I 5 X z d f M j A y M i w g M T Y g M z Q g N D Q v Q X V 0 b 1 J l b W 9 2 Z W R D b 2 x 1 b W 5 z M S 5 7 U 2 F s Y X J p b y w x M 3 0 m c X V v d D s s J n F 1 b 3 Q 7 U 2 V j d G l v b j E v c G x h e W V y c 1 8 y O V 8 3 X z I w M j I s I D E 2 I D M 0 I D Q 0 L 0 F 1 d G 9 S Z W 1 v d m V k Q 2 9 s d W 1 u c z E u e 1 N l b W F u Y X M g Z W 4 g Z W w g Y 2 x 1 Y i w x N H 0 m c X V v d D s s J n F 1 b 3 Q 7 U 2 V j d G l v b j E v c G x h e W V y c 1 8 y O V 8 3 X z I w M j I s I D E 2 I D M 0 I D Q 0 L 0 F 1 d G 9 S Z W 1 v d m V k Q 2 9 s d W 1 u c z E u e 0 V 4 c G V y a W V u Y 2 l h L D E 1 f S Z x d W 9 0 O y w m c X V v d D t T Z W N 0 a W 9 u M S 9 w b G F 5 Z X J z X z I 5 X z d f M j A y M i w g M T Y g M z Q g N D Q v Q X V 0 b 1 J l b W 9 2 Z W R D b 2 x 1 b W 5 z M S 5 7 T G l k Z X J h e m d v L D E 2 f S Z x d W 9 0 O y w m c X V v d D t T Z W N 0 a W 9 u M S 9 w b G F 5 Z X J z X z I 5 X z d f M j A y M i w g M T Y g M z Q g N D Q v Q X V 0 b 1 J l b W 9 2 Z W R D b 2 x 1 b W 5 z M S 5 7 R m l k Z W x p Z G F k L D E 3 f S Z x d W 9 0 O y w m c X V v d D t T Z W N 0 a W 9 u M S 9 w b G F 5 Z X J z X z I 5 X z d f M j A y M i w g M T Y g M z Q g N D Q v Q X V 0 b 1 J l b W 9 2 Z W R D b 2 x 1 b W 5 z M S 5 7 R m 9 y b W E s M T h 9 J n F 1 b 3 Q 7 L C Z x d W 9 0 O 1 N l Y 3 R p b 2 4 x L 3 B s Y X l l c n N f M j l f N 1 8 y M D I y L C A x N i A z N C A 0 N C 9 B d X R v U m V t b 3 Z l Z E N v b H V t b n M x L n t S Z X N p c 3 R l b m N p Y S w x O X 0 m c X V v d D s s J n F 1 b 3 Q 7 U 2 V j d G l v b j E v c G x h e W V y c 1 8 y O V 8 3 X z I w M j I s I D E 2 I D M 0 I D Q 0 L 0 F 1 d G 9 S Z W 1 v d m V k Q 2 9 s d W 1 u c z E u e 0 Z l Y 2 h h I M O 6 b H R p b W 8 g c G F y d G l k b y w y M H 0 m c X V v d D s s J n F 1 b 3 Q 7 U 2 V j d G l v b j E v c G x h e W V y c 1 8 y O V 8 3 X z I w M j I s I D E 2 I D M 0 I D Q 0 L 0 F 1 d G 9 S Z W 1 v d m V k Q 2 9 s d W 1 u c z E u e 1 J l b m R p b W l l b n R v I M O 6 b H R p b W 8 g c G F y d G l k b y w y M X 0 m c X V v d D s s J n F 1 b 3 Q 7 U 2 V j d G l v b j E v c G x h e W V y c 1 8 y O V 8 3 X z I w M j I s I D E 2 I D M 0 I D Q 0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M z g l M j A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b G F 5 Z X J z X z I 5 X z d f M j A y M l 9 f M T d f M z h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l U M T U 6 M z k 6 M D M u M T Q 5 O T Y 5 O F o i I C 8 + P E V u d H J 5 I F R 5 c G U 9 I k Z p b G x D b 2 x 1 b W 5 U e X B l c y I g V m F s d W U 9 I n N C Z 0 1 H Q X d N R 0 F 3 T U d B d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I 5 X z d f M j A y M i w g M T c g M z g g M z I v Q X V 0 b 1 J l b W 9 2 Z W R D b 2 x 1 b W 5 z M S 5 7 T m F j a W 9 u Y W x p Z G F k L D B 9 J n F 1 b 3 Q 7 L C Z x d W 9 0 O 1 N l Y 3 R p b 2 4 x L 3 B s Y X l l c n N f M j l f N 1 8 y M D I y L C A x N y A z O C A z M i 9 B d X R v U m V t b 3 Z l Z E N v b H V t b n M x L n t E b 3 J z Y W w s M X 0 m c X V v d D s s J n F 1 b 3 Q 7 U 2 V j d G l v b j E v c G x h e W V y c 1 8 y O V 8 3 X z I w M j I s I D E 3 I D M 4 I D M y L 0 F 1 d G 9 S Z W 1 v d m V k Q 2 9 s d W 1 u c z E u e 0 5 v b W J y Z S w y f S Z x d W 9 0 O y w m c X V v d D t T Z W N 0 a W 9 u M S 9 w b G F 5 Z X J z X z I 5 X z d f M j A y M i w g M T c g M z g g M z I v Q X V 0 b 1 J l b W 9 2 Z W R D b 2 x 1 b W 5 z M S 5 7 S U Q g Z G V s I G p 1 Z 2 F k b 3 I s M 3 0 m c X V v d D s s J n F 1 b 3 Q 7 U 2 V j d G l v b j E v c G x h e W V y c 1 8 y O V 8 3 X z I w M j I s I D E 3 I D M 4 I D M y L 0 F 1 d G 9 S Z W 1 v d m V k Q 2 9 s d W 1 u c z E u e 0 V u d H J l b m F k b 3 I s N H 0 m c X V v d D s s J n F 1 b 3 Q 7 U 2 V j d G l v b j E v c G x h e W V y c 1 8 y O V 8 3 X z I w M j I s I D E 3 I D M 4 I D M y L 0 F 1 d G 9 S Z W 1 v d m V k Q 2 9 s d W 1 u c z E u e 0 V z c G V j a W F s a W R h Z C w 1 f S Z x d W 9 0 O y w m c X V v d D t T Z W N 0 a W 9 u M S 9 w b G F 5 Z X J z X z I 5 X z d f M j A y M i w g M T c g M z g g M z I v Q X V 0 b 1 J l b W 9 2 Z W R D b 2 x 1 b W 5 z M S 5 7 Q m 9 u a W Z p Y 2 F j a c O z b i B w b 3 I g Y 2 x 1 Y i B k Z S B v c m l n Z W 4 s N n 0 m c X V v d D s s J n F 1 b 3 Q 7 U 2 V j d G l v b j E v c G x h e W V y c 1 8 y O V 8 3 X z I w M j I s I D E 3 I D M 4 I D M y L 0 F 1 d G 9 S Z W 1 v d m V k Q 2 9 s d W 1 u c z E u e 0 x l c 2 l v b m V z L D d 9 J n F 1 b 3 Q 7 L C Z x d W 9 0 O 1 N l Y 3 R p b 2 4 x L 3 B s Y X l l c n N f M j l f N 1 8 y M D I y L C A x N y A z O C A z M i 9 B d X R v U m V t b 3 Z l Z E N v b H V t b n M x L n t B b W 9 u Z X N 0 Y W N p b 2 5 l c y w 4 f S Z x d W 9 0 O y w m c X V v d D t T Z W N 0 a W 9 u M S 9 w b G F 5 Z X J z X z I 5 X z d f M j A y M i w g M T c g M z g g M z I v Q X V 0 b 1 J l b W 9 2 Z W R D b 2 x 1 b W 5 z M S 5 7 R W 4 g b G E g b G l z d G E g Z G U g d H J h b n N m Z X J l b m N p Y X M s O X 0 m c X V v d D s s J n F 1 b 3 Q 7 U 2 V j d G l v b j E v c G x h e W V y c 1 8 y O V 8 3 X z I w M j I s I D E 3 I D M 4 I D M y L 0 F 1 d G 9 S Z W 1 v d m V k Q 2 9 s d W 1 u c z E u e 0 V k Y W Q s M T B 9 J n F 1 b 3 Q 7 L C Z x d W 9 0 O 1 N l Y 3 R p b 2 4 x L 3 B s Y X l l c n N f M j l f N 1 8 y M D I y L C A x N y A z O C A z M i 9 B d X R v U m V t b 3 Z l Z E N v b H V t b n M x L n t E w 6 1 h c y w x M X 0 m c X V v d D s s J n F 1 b 3 Q 7 U 2 V j d G l v b j E v c G x h e W V y c 1 8 y O V 8 3 X z I w M j I s I D E 3 I D M 4 I D M y L 0 F 1 d G 9 S Z W 1 v d m V k Q 2 9 s d W 1 u c z E u e 1 R T S S w x M n 0 m c X V v d D s s J n F 1 b 3 Q 7 U 2 V j d G l v b j E v c G x h e W V y c 1 8 y O V 8 3 X z I w M j I s I D E 3 I D M 4 I D M y L 0 F 1 d G 9 S Z W 1 v d m V k Q 2 9 s d W 1 u c z E u e 1 N h b G F y a W 8 s M T N 9 J n F 1 b 3 Q 7 L C Z x d W 9 0 O 1 N l Y 3 R p b 2 4 x L 3 B s Y X l l c n N f M j l f N 1 8 y M D I y L C A x N y A z O C A z M i 9 B d X R v U m V t b 3 Z l Z E N v b H V t b n M x L n t T Z W 1 h b m F z I G V u I G V s I G N s d W I s M T R 9 J n F 1 b 3 Q 7 L C Z x d W 9 0 O 1 N l Y 3 R p b 2 4 x L 3 B s Y X l l c n N f M j l f N 1 8 y M D I y L C A x N y A z O C A z M i 9 B d X R v U m V t b 3 Z l Z E N v b H V t b n M x L n t F e H B l c m l l b m N p Y S w x N X 0 m c X V v d D s s J n F 1 b 3 Q 7 U 2 V j d G l v b j E v c G x h e W V y c 1 8 y O V 8 3 X z I w M j I s I D E 3 I D M 4 I D M y L 0 F 1 d G 9 S Z W 1 v d m V k Q 2 9 s d W 1 u c z E u e 0 x p Z G V y Y X p n b y w x N n 0 m c X V v d D s s J n F 1 b 3 Q 7 U 2 V j d G l v b j E v c G x h e W V y c 1 8 y O V 8 3 X z I w M j I s I D E 3 I D M 4 I D M y L 0 F 1 d G 9 S Z W 1 v d m V k Q 2 9 s d W 1 u c z E u e 0 Z p Z G V s a W R h Z C w x N 3 0 m c X V v d D s s J n F 1 b 3 Q 7 U 2 V j d G l v b j E v c G x h e W V y c 1 8 y O V 8 3 X z I w M j I s I D E 3 I D M 4 I D M y L 0 F 1 d G 9 S Z W 1 v d m V k Q 2 9 s d W 1 u c z E u e 0 Z v c m 1 h L D E 4 f S Z x d W 9 0 O y w m c X V v d D t T Z W N 0 a W 9 u M S 9 w b G F 5 Z X J z X z I 5 X z d f M j A y M i w g M T c g M z g g M z I v Q X V 0 b 1 J l b W 9 2 Z W R D b 2 x 1 b W 5 z M S 5 7 U m V z a X N 0 Z W 5 j a W E s M T l 9 J n F 1 b 3 Q 7 L C Z x d W 9 0 O 1 N l Y 3 R p b 2 4 x L 3 B s Y X l l c n N f M j l f N 1 8 y M D I y L C A x N y A z O C A z M i 9 B d X R v U m V t b 3 Z l Z E N v b H V t b n M x L n t G Z W N o Y S D D u m x 0 a W 1 v I H B h c n R p Z G 8 s M j B 9 J n F 1 b 3 Q 7 L C Z x d W 9 0 O 1 N l Y 3 R p b 2 4 x L 3 B s Y X l l c n N f M j l f N 1 8 y M D I y L C A x N y A z O C A z M i 9 B d X R v U m V t b 3 Z l Z E N v b H V t b n M x L n t S Z W 5 k a W 1 p Z W 5 0 b y D D u m x 0 a W 1 v I H B h c n R p Z G 8 s M j F 9 J n F 1 b 3 Q 7 L C Z x d W 9 0 O 1 N l Y 3 R p b 2 4 x L 3 B s Y X l l c n N f M j l f N 1 8 y M D I y L C A x N y A z O C A z M i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y O V 8 3 X z I w M j I s I D E 3 I D M 4 I D M y L 0 F 1 d G 9 S Z W 1 v d m V k Q 2 9 s d W 1 u c z E u e 0 5 h Y 2 l v b m F s a W R h Z C w w f S Z x d W 9 0 O y w m c X V v d D t T Z W N 0 a W 9 u M S 9 w b G F 5 Z X J z X z I 5 X z d f M j A y M i w g M T c g M z g g M z I v Q X V 0 b 1 J l b W 9 2 Z W R D b 2 x 1 b W 5 z M S 5 7 R G 9 y c 2 F s L D F 9 J n F 1 b 3 Q 7 L C Z x d W 9 0 O 1 N l Y 3 R p b 2 4 x L 3 B s Y X l l c n N f M j l f N 1 8 y M D I y L C A x N y A z O C A z M i 9 B d X R v U m V t b 3 Z l Z E N v b H V t b n M x L n t O b 2 1 i c m U s M n 0 m c X V v d D s s J n F 1 b 3 Q 7 U 2 V j d G l v b j E v c G x h e W V y c 1 8 y O V 8 3 X z I w M j I s I D E 3 I D M 4 I D M y L 0 F 1 d G 9 S Z W 1 v d m V k Q 2 9 s d W 1 u c z E u e 0 l E I G R l b C B q d W d h Z G 9 y L D N 9 J n F 1 b 3 Q 7 L C Z x d W 9 0 O 1 N l Y 3 R p b 2 4 x L 3 B s Y X l l c n N f M j l f N 1 8 y M D I y L C A x N y A z O C A z M i 9 B d X R v U m V t b 3 Z l Z E N v b H V t b n M x L n t F b n R y Z W 5 h Z G 9 y L D R 9 J n F 1 b 3 Q 7 L C Z x d W 9 0 O 1 N l Y 3 R p b 2 4 x L 3 B s Y X l l c n N f M j l f N 1 8 y M D I y L C A x N y A z O C A z M i 9 B d X R v U m V t b 3 Z l Z E N v b H V t b n M x L n t F c 3 B l Y 2 l h b G l k Y W Q s N X 0 m c X V v d D s s J n F 1 b 3 Q 7 U 2 V j d G l v b j E v c G x h e W V y c 1 8 y O V 8 3 X z I w M j I s I D E 3 I D M 4 I D M y L 0 F 1 d G 9 S Z W 1 v d m V k Q 2 9 s d W 1 u c z E u e 0 J v b m l m a W N h Y 2 n D s 2 4 g c G 9 y I G N s d W I g Z G U g b 3 J p Z 2 V u L D Z 9 J n F 1 b 3 Q 7 L C Z x d W 9 0 O 1 N l Y 3 R p b 2 4 x L 3 B s Y X l l c n N f M j l f N 1 8 y M D I y L C A x N y A z O C A z M i 9 B d X R v U m V t b 3 Z l Z E N v b H V t b n M x L n t M Z X N p b 2 5 l c y w 3 f S Z x d W 9 0 O y w m c X V v d D t T Z W N 0 a W 9 u M S 9 w b G F 5 Z X J z X z I 5 X z d f M j A y M i w g M T c g M z g g M z I v Q X V 0 b 1 J l b W 9 2 Z W R D b 2 x 1 b W 5 z M S 5 7 Q W 1 v b m V z d G F j a W 9 u Z X M s O H 0 m c X V v d D s s J n F 1 b 3 Q 7 U 2 V j d G l v b j E v c G x h e W V y c 1 8 y O V 8 3 X z I w M j I s I D E 3 I D M 4 I D M y L 0 F 1 d G 9 S Z W 1 v d m V k Q 2 9 s d W 1 u c z E u e 0 V u I G x h I G x p c 3 R h I G R l I H R y Y W 5 z Z m V y Z W 5 j a W F z L D l 9 J n F 1 b 3 Q 7 L C Z x d W 9 0 O 1 N l Y 3 R p b 2 4 x L 3 B s Y X l l c n N f M j l f N 1 8 y M D I y L C A x N y A z O C A z M i 9 B d X R v U m V t b 3 Z l Z E N v b H V t b n M x L n t F Z G F k L D E w f S Z x d W 9 0 O y w m c X V v d D t T Z W N 0 a W 9 u M S 9 w b G F 5 Z X J z X z I 5 X z d f M j A y M i w g M T c g M z g g M z I v Q X V 0 b 1 J l b W 9 2 Z W R D b 2 x 1 b W 5 z M S 5 7 R M O t Y X M s M T F 9 J n F 1 b 3 Q 7 L C Z x d W 9 0 O 1 N l Y 3 R p b 2 4 x L 3 B s Y X l l c n N f M j l f N 1 8 y M D I y L C A x N y A z O C A z M i 9 B d X R v U m V t b 3 Z l Z E N v b H V t b n M x L n t U U 0 k s M T J 9 J n F 1 b 3 Q 7 L C Z x d W 9 0 O 1 N l Y 3 R p b 2 4 x L 3 B s Y X l l c n N f M j l f N 1 8 y M D I y L C A x N y A z O C A z M i 9 B d X R v U m V t b 3 Z l Z E N v b H V t b n M x L n t T Y W x h c m l v L D E z f S Z x d W 9 0 O y w m c X V v d D t T Z W N 0 a W 9 u M S 9 w b G F 5 Z X J z X z I 5 X z d f M j A y M i w g M T c g M z g g M z I v Q X V 0 b 1 J l b W 9 2 Z W R D b 2 x 1 b W 5 z M S 5 7 U 2 V t Y W 5 h c y B l b i B l b C B j b H V i L D E 0 f S Z x d W 9 0 O y w m c X V v d D t T Z W N 0 a W 9 u M S 9 w b G F 5 Z X J z X z I 5 X z d f M j A y M i w g M T c g M z g g M z I v Q X V 0 b 1 J l b W 9 2 Z W R D b 2 x 1 b W 5 z M S 5 7 R X h w Z X J p Z W 5 j a W E s M T V 9 J n F 1 b 3 Q 7 L C Z x d W 9 0 O 1 N l Y 3 R p b 2 4 x L 3 B s Y X l l c n N f M j l f N 1 8 y M D I y L C A x N y A z O C A z M i 9 B d X R v U m V t b 3 Z l Z E N v b H V t b n M x L n t M a W R l c m F 6 Z 2 8 s M T Z 9 J n F 1 b 3 Q 7 L C Z x d W 9 0 O 1 N l Y 3 R p b 2 4 x L 3 B s Y X l l c n N f M j l f N 1 8 y M D I y L C A x N y A z O C A z M i 9 B d X R v U m V t b 3 Z l Z E N v b H V t b n M x L n t G a W R l b G l k Y W Q s M T d 9 J n F 1 b 3 Q 7 L C Z x d W 9 0 O 1 N l Y 3 R p b 2 4 x L 3 B s Y X l l c n N f M j l f N 1 8 y M D I y L C A x N y A z O C A z M i 9 B d X R v U m V t b 3 Z l Z E N v b H V t b n M x L n t G b 3 J t Y S w x O H 0 m c X V v d D s s J n F 1 b 3 Q 7 U 2 V j d G l v b j E v c G x h e W V y c 1 8 y O V 8 3 X z I w M j I s I D E 3 I D M 4 I D M y L 0 F 1 d G 9 S Z W 1 v d m V k Q 2 9 s d W 1 u c z E u e 1 J l c 2 l z d G V u Y 2 l h L D E 5 f S Z x d W 9 0 O y w m c X V v d D t T Z W N 0 a W 9 u M S 9 w b G F 5 Z X J z X z I 5 X z d f M j A y M i w g M T c g M z g g M z I v Q X V 0 b 1 J l b W 9 2 Z W R D b 2 x 1 b W 5 z M S 5 7 R m V j a G E g w 7 p s d G l t b y B w Y X J 0 a W R v L D I w f S Z x d W 9 0 O y w m c X V v d D t T Z W N 0 a W 9 u M S 9 w b G F 5 Z X J z X z I 5 X z d f M j A y M i w g M T c g M z g g M z I v Q X V 0 b 1 J l b W 9 2 Z W R D b 2 x 1 b W 5 z M S 5 7 U m V u Z G l t a W V u d G 8 g w 7 p s d G l t b y B w Y X J 0 a W R v L D I x f S Z x d W 9 0 O y w m c X V v d D t T Z W N 0 a W 9 u M S 9 w b G F 5 Z X J z X z I 5 X z d f M j A y M i w g M T c g M z g g M z I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0 O S U y M D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s Y X l l c n N f M j l f N 1 8 y M D I y X 1 8 x N 1 8 0 O V 8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x N T o 1 M D o y M C 4 1 M D c 1 M z c 4 W i I g L z 4 8 R W 5 0 c n k g V H l w Z T 0 i R m l s b E N v b H V t b l R 5 c G V z I i B W Y W x 1 Z T 0 i c 0 J n T U d B d 0 1 H Q X d N R 0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j l f N 1 8 y M D I y L C A x N y A 0 O S A 1 M S 9 B d X R v U m V t b 3 Z l Z E N v b H V t b n M x L n t O Y W N p b 2 5 h b G l k Y W Q s M H 0 m c X V v d D s s J n F 1 b 3 Q 7 U 2 V j d G l v b j E v c G x h e W V y c 1 8 y O V 8 3 X z I w M j I s I D E 3 I D Q 5 I D U x L 0 F 1 d G 9 S Z W 1 v d m V k Q 2 9 s d W 1 u c z E u e 0 R v c n N h b C w x f S Z x d W 9 0 O y w m c X V v d D t T Z W N 0 a W 9 u M S 9 w b G F 5 Z X J z X z I 5 X z d f M j A y M i w g M T c g N D k g N T E v Q X V 0 b 1 J l b W 9 2 Z W R D b 2 x 1 b W 5 z M S 5 7 T m 9 t Y n J l L D J 9 J n F 1 b 3 Q 7 L C Z x d W 9 0 O 1 N l Y 3 R p b 2 4 x L 3 B s Y X l l c n N f M j l f N 1 8 y M D I y L C A x N y A 0 O S A 1 M S 9 B d X R v U m V t b 3 Z l Z E N v b H V t b n M x L n t J R C B k Z W w g a n V n Y W R v c i w z f S Z x d W 9 0 O y w m c X V v d D t T Z W N 0 a W 9 u M S 9 w b G F 5 Z X J z X z I 5 X z d f M j A y M i w g M T c g N D k g N T E v Q X V 0 b 1 J l b W 9 2 Z W R D b 2 x 1 b W 5 z M S 5 7 R W 5 0 c m V u Y W R v c i w 0 f S Z x d W 9 0 O y w m c X V v d D t T Z W N 0 a W 9 u M S 9 w b G F 5 Z X J z X z I 5 X z d f M j A y M i w g M T c g N D k g N T E v Q X V 0 b 1 J l b W 9 2 Z W R D b 2 x 1 b W 5 z M S 5 7 R X N w Z W N p Y W x p Z G F k L D V 9 J n F 1 b 3 Q 7 L C Z x d W 9 0 O 1 N l Y 3 R p b 2 4 x L 3 B s Y X l l c n N f M j l f N 1 8 y M D I y L C A x N y A 0 O S A 1 M S 9 B d X R v U m V t b 3 Z l Z E N v b H V t b n M x L n t C b 2 5 p Z m l j Y W N p w 7 N u I H B v c i B j b H V i I G R l I G 9 y a W d l b i w 2 f S Z x d W 9 0 O y w m c X V v d D t T Z W N 0 a W 9 u M S 9 w b G F 5 Z X J z X z I 5 X z d f M j A y M i w g M T c g N D k g N T E v Q X V 0 b 1 J l b W 9 2 Z W R D b 2 x 1 b W 5 z M S 5 7 T G V z a W 9 u Z X M s N 3 0 m c X V v d D s s J n F 1 b 3 Q 7 U 2 V j d G l v b j E v c G x h e W V y c 1 8 y O V 8 3 X z I w M j I s I D E 3 I D Q 5 I D U x L 0 F 1 d G 9 S Z W 1 v d m V k Q 2 9 s d W 1 u c z E u e 0 F t b 2 5 l c 3 R h Y 2 l v b m V z L D h 9 J n F 1 b 3 Q 7 L C Z x d W 9 0 O 1 N l Y 3 R p b 2 4 x L 3 B s Y X l l c n N f M j l f N 1 8 y M D I y L C A x N y A 0 O S A 1 M S 9 B d X R v U m V t b 3 Z l Z E N v b H V t b n M x L n t F b i B s Y S B s a X N 0 Y S B k Z S B 0 c m F u c 2 Z l c m V u Y 2 l h c y w 5 f S Z x d W 9 0 O y w m c X V v d D t T Z W N 0 a W 9 u M S 9 w b G F 5 Z X J z X z I 5 X z d f M j A y M i w g M T c g N D k g N T E v Q X V 0 b 1 J l b W 9 2 Z W R D b 2 x 1 b W 5 z M S 5 7 R W R h Z C w x M H 0 m c X V v d D s s J n F 1 b 3 Q 7 U 2 V j d G l v b j E v c G x h e W V y c 1 8 y O V 8 3 X z I w M j I s I D E 3 I D Q 5 I D U x L 0 F 1 d G 9 S Z W 1 v d m V k Q 2 9 s d W 1 u c z E u e 0 T D r W F z L D E x f S Z x d W 9 0 O y w m c X V v d D t T Z W N 0 a W 9 u M S 9 w b G F 5 Z X J z X z I 5 X z d f M j A y M i w g M T c g N D k g N T E v Q X V 0 b 1 J l b W 9 2 Z W R D b 2 x 1 b W 5 z M S 5 7 V F N J L D E y f S Z x d W 9 0 O y w m c X V v d D t T Z W N 0 a W 9 u M S 9 w b G F 5 Z X J z X z I 5 X z d f M j A y M i w g M T c g N D k g N T E v Q X V 0 b 1 J l b W 9 2 Z W R D b 2 x 1 b W 5 z M S 5 7 U 2 F s Y X J p b y w x M 3 0 m c X V v d D s s J n F 1 b 3 Q 7 U 2 V j d G l v b j E v c G x h e W V y c 1 8 y O V 8 3 X z I w M j I s I D E 3 I D Q 5 I D U x L 0 F 1 d G 9 S Z W 1 v d m V k Q 2 9 s d W 1 u c z E u e 1 N l b W F u Y X M g Z W 4 g Z W w g Y 2 x 1 Y i w x N H 0 m c X V v d D s s J n F 1 b 3 Q 7 U 2 V j d G l v b j E v c G x h e W V y c 1 8 y O V 8 3 X z I w M j I s I D E 3 I D Q 5 I D U x L 0 F 1 d G 9 S Z W 1 v d m V k Q 2 9 s d W 1 u c z E u e 0 V 4 c G V y a W V u Y 2 l h L D E 1 f S Z x d W 9 0 O y w m c X V v d D t T Z W N 0 a W 9 u M S 9 w b G F 5 Z X J z X z I 5 X z d f M j A y M i w g M T c g N D k g N T E v Q X V 0 b 1 J l b W 9 2 Z W R D b 2 x 1 b W 5 z M S 5 7 T G l k Z X J h e m d v L D E 2 f S Z x d W 9 0 O y w m c X V v d D t T Z W N 0 a W 9 u M S 9 w b G F 5 Z X J z X z I 5 X z d f M j A y M i w g M T c g N D k g N T E v Q X V 0 b 1 J l b W 9 2 Z W R D b 2 x 1 b W 5 z M S 5 7 R m l k Z W x p Z G F k L D E 3 f S Z x d W 9 0 O y w m c X V v d D t T Z W N 0 a W 9 u M S 9 w b G F 5 Z X J z X z I 5 X z d f M j A y M i w g M T c g N D k g N T E v Q X V 0 b 1 J l b W 9 2 Z W R D b 2 x 1 b W 5 z M S 5 7 R m 9 y b W E s M T h 9 J n F 1 b 3 Q 7 L C Z x d W 9 0 O 1 N l Y 3 R p b 2 4 x L 3 B s Y X l l c n N f M j l f N 1 8 y M D I y L C A x N y A 0 O S A 1 M S 9 B d X R v U m V t b 3 Z l Z E N v b H V t b n M x L n t S Z X N p c 3 R l b m N p Y S w x O X 0 m c X V v d D s s J n F 1 b 3 Q 7 U 2 V j d G l v b j E v c G x h e W V y c 1 8 y O V 8 3 X z I w M j I s I D E 3 I D Q 5 I D U x L 0 F 1 d G 9 S Z W 1 v d m V k Q 2 9 s d W 1 u c z E u e 0 Z l Y 2 h h I M O 6 b H R p b W 8 g c G F y d G l k b y w y M H 0 m c X V v d D s s J n F 1 b 3 Q 7 U 2 V j d G l v b j E v c G x h e W V y c 1 8 y O V 8 3 X z I w M j I s I D E 3 I D Q 5 I D U x L 0 F 1 d G 9 S Z W 1 v d m V k Q 2 9 s d W 1 u c z E u e 1 J l b m R p b W l l b n R v I M O 6 b H R p b W 8 g c G F y d G l k b y w y M X 0 m c X V v d D s s J n F 1 b 3 Q 7 U 2 V j d G l v b j E v c G x h e W V y c 1 8 y O V 8 3 X z I w M j I s I D E 3 I D Q 5 I D U x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I 5 X z d f M j A y M i w g M T c g N D k g N T E v Q X V 0 b 1 J l b W 9 2 Z W R D b 2 x 1 b W 5 z M S 5 7 T m F j a W 9 u Y W x p Z G F k L D B 9 J n F 1 b 3 Q 7 L C Z x d W 9 0 O 1 N l Y 3 R p b 2 4 x L 3 B s Y X l l c n N f M j l f N 1 8 y M D I y L C A x N y A 0 O S A 1 M S 9 B d X R v U m V t b 3 Z l Z E N v b H V t b n M x L n t E b 3 J z Y W w s M X 0 m c X V v d D s s J n F 1 b 3 Q 7 U 2 V j d G l v b j E v c G x h e W V y c 1 8 y O V 8 3 X z I w M j I s I D E 3 I D Q 5 I D U x L 0 F 1 d G 9 S Z W 1 v d m V k Q 2 9 s d W 1 u c z E u e 0 5 v b W J y Z S w y f S Z x d W 9 0 O y w m c X V v d D t T Z W N 0 a W 9 u M S 9 w b G F 5 Z X J z X z I 5 X z d f M j A y M i w g M T c g N D k g N T E v Q X V 0 b 1 J l b W 9 2 Z W R D b 2 x 1 b W 5 z M S 5 7 S U Q g Z G V s I G p 1 Z 2 F k b 3 I s M 3 0 m c X V v d D s s J n F 1 b 3 Q 7 U 2 V j d G l v b j E v c G x h e W V y c 1 8 y O V 8 3 X z I w M j I s I D E 3 I D Q 5 I D U x L 0 F 1 d G 9 S Z W 1 v d m V k Q 2 9 s d W 1 u c z E u e 0 V u d H J l b m F k b 3 I s N H 0 m c X V v d D s s J n F 1 b 3 Q 7 U 2 V j d G l v b j E v c G x h e W V y c 1 8 y O V 8 3 X z I w M j I s I D E 3 I D Q 5 I D U x L 0 F 1 d G 9 S Z W 1 v d m V k Q 2 9 s d W 1 u c z E u e 0 V z c G V j a W F s a W R h Z C w 1 f S Z x d W 9 0 O y w m c X V v d D t T Z W N 0 a W 9 u M S 9 w b G F 5 Z X J z X z I 5 X z d f M j A y M i w g M T c g N D k g N T E v Q X V 0 b 1 J l b W 9 2 Z W R D b 2 x 1 b W 5 z M S 5 7 Q m 9 u a W Z p Y 2 F j a c O z b i B w b 3 I g Y 2 x 1 Y i B k Z S B v c m l n Z W 4 s N n 0 m c X V v d D s s J n F 1 b 3 Q 7 U 2 V j d G l v b j E v c G x h e W V y c 1 8 y O V 8 3 X z I w M j I s I D E 3 I D Q 5 I D U x L 0 F 1 d G 9 S Z W 1 v d m V k Q 2 9 s d W 1 u c z E u e 0 x l c 2 l v b m V z L D d 9 J n F 1 b 3 Q 7 L C Z x d W 9 0 O 1 N l Y 3 R p b 2 4 x L 3 B s Y X l l c n N f M j l f N 1 8 y M D I y L C A x N y A 0 O S A 1 M S 9 B d X R v U m V t b 3 Z l Z E N v b H V t b n M x L n t B b W 9 u Z X N 0 Y W N p b 2 5 l c y w 4 f S Z x d W 9 0 O y w m c X V v d D t T Z W N 0 a W 9 u M S 9 w b G F 5 Z X J z X z I 5 X z d f M j A y M i w g M T c g N D k g N T E v Q X V 0 b 1 J l b W 9 2 Z W R D b 2 x 1 b W 5 z M S 5 7 R W 4 g b G E g b G l z d G E g Z G U g d H J h b n N m Z X J l b m N p Y X M s O X 0 m c X V v d D s s J n F 1 b 3 Q 7 U 2 V j d G l v b j E v c G x h e W V y c 1 8 y O V 8 3 X z I w M j I s I D E 3 I D Q 5 I D U x L 0 F 1 d G 9 S Z W 1 v d m V k Q 2 9 s d W 1 u c z E u e 0 V k Y W Q s M T B 9 J n F 1 b 3 Q 7 L C Z x d W 9 0 O 1 N l Y 3 R p b 2 4 x L 3 B s Y X l l c n N f M j l f N 1 8 y M D I y L C A x N y A 0 O S A 1 M S 9 B d X R v U m V t b 3 Z l Z E N v b H V t b n M x L n t E w 6 1 h c y w x M X 0 m c X V v d D s s J n F 1 b 3 Q 7 U 2 V j d G l v b j E v c G x h e W V y c 1 8 y O V 8 3 X z I w M j I s I D E 3 I D Q 5 I D U x L 0 F 1 d G 9 S Z W 1 v d m V k Q 2 9 s d W 1 u c z E u e 1 R T S S w x M n 0 m c X V v d D s s J n F 1 b 3 Q 7 U 2 V j d G l v b j E v c G x h e W V y c 1 8 y O V 8 3 X z I w M j I s I D E 3 I D Q 5 I D U x L 0 F 1 d G 9 S Z W 1 v d m V k Q 2 9 s d W 1 u c z E u e 1 N h b G F y a W 8 s M T N 9 J n F 1 b 3 Q 7 L C Z x d W 9 0 O 1 N l Y 3 R p b 2 4 x L 3 B s Y X l l c n N f M j l f N 1 8 y M D I y L C A x N y A 0 O S A 1 M S 9 B d X R v U m V t b 3 Z l Z E N v b H V t b n M x L n t T Z W 1 h b m F z I G V u I G V s I G N s d W I s M T R 9 J n F 1 b 3 Q 7 L C Z x d W 9 0 O 1 N l Y 3 R p b 2 4 x L 3 B s Y X l l c n N f M j l f N 1 8 y M D I y L C A x N y A 0 O S A 1 M S 9 B d X R v U m V t b 3 Z l Z E N v b H V t b n M x L n t F e H B l c m l l b m N p Y S w x N X 0 m c X V v d D s s J n F 1 b 3 Q 7 U 2 V j d G l v b j E v c G x h e W V y c 1 8 y O V 8 3 X z I w M j I s I D E 3 I D Q 5 I D U x L 0 F 1 d G 9 S Z W 1 v d m V k Q 2 9 s d W 1 u c z E u e 0 x p Z G V y Y X p n b y w x N n 0 m c X V v d D s s J n F 1 b 3 Q 7 U 2 V j d G l v b j E v c G x h e W V y c 1 8 y O V 8 3 X z I w M j I s I D E 3 I D Q 5 I D U x L 0 F 1 d G 9 S Z W 1 v d m V k Q 2 9 s d W 1 u c z E u e 0 Z p Z G V s a W R h Z C w x N 3 0 m c X V v d D s s J n F 1 b 3 Q 7 U 2 V j d G l v b j E v c G x h e W V y c 1 8 y O V 8 3 X z I w M j I s I D E 3 I D Q 5 I D U x L 0 F 1 d G 9 S Z W 1 v d m V k Q 2 9 s d W 1 u c z E u e 0 Z v c m 1 h L D E 4 f S Z x d W 9 0 O y w m c X V v d D t T Z W N 0 a W 9 u M S 9 w b G F 5 Z X J z X z I 5 X z d f M j A y M i w g M T c g N D k g N T E v Q X V 0 b 1 J l b W 9 2 Z W R D b 2 x 1 b W 5 z M S 5 7 U m V z a X N 0 Z W 5 j a W E s M T l 9 J n F 1 b 3 Q 7 L C Z x d W 9 0 O 1 N l Y 3 R p b 2 4 x L 3 B s Y X l l c n N f M j l f N 1 8 y M D I y L C A x N y A 0 O S A 1 M S 9 B d X R v U m V t b 3 Z l Z E N v b H V t b n M x L n t G Z W N o Y S D D u m x 0 a W 1 v I H B h c n R p Z G 8 s M j B 9 J n F 1 b 3 Q 7 L C Z x d W 9 0 O 1 N l Y 3 R p b 2 4 x L 3 B s Y X l l c n N f M j l f N 1 8 y M D I y L C A x N y A 0 O S A 1 M S 9 B d X R v U m V t b 3 Z l Z E N v b H V t b n M x L n t S Z W 5 k a W 1 p Z W 5 0 b y D D u m x 0 a W 1 v I H B h c n R p Z G 8 s M j F 9 J n F 1 b 3 Q 7 L C Z x d W 9 0 O 1 N l Y 3 R p b 2 4 x L 3 B s Y X l l c n N f M j l f N 1 8 y M D I y L C A x N y A 0 O S A 1 M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U 1 J T I w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e W V y c 1 8 y O V 8 3 X z I w M j J f X z E 3 X z U 1 X z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E 1 O j U 2 O j A 1 L j M y M z A 0 O D R a I i A v P j x F b n R y e S B U e X B l P S J G a W x s Q 2 9 s d W 1 u V H l w Z X M i I F Z h b H V l P S J z Q m d N R 0 F 3 T U d B d 0 1 E Q m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y O V 8 3 X z I w M j I s I D E 3 I D U 1 I D Q 3 L 0 F 1 d G 9 S Z W 1 v d m V k Q 2 9 s d W 1 u c z E u e 0 5 h Y 2 l v b m F s a W R h Z C w w f S Z x d W 9 0 O y w m c X V v d D t T Z W N 0 a W 9 u M S 9 w b G F 5 Z X J z X z I 5 X z d f M j A y M i w g M T c g N T U g N D c v Q X V 0 b 1 J l b W 9 2 Z W R D b 2 x 1 b W 5 z M S 5 7 R G 9 y c 2 F s L D F 9 J n F 1 b 3 Q 7 L C Z x d W 9 0 O 1 N l Y 3 R p b 2 4 x L 3 B s Y X l l c n N f M j l f N 1 8 y M D I y L C A x N y A 1 N S A 0 N y 9 B d X R v U m V t b 3 Z l Z E N v b H V t b n M x L n t O b 2 1 i c m U s M n 0 m c X V v d D s s J n F 1 b 3 Q 7 U 2 V j d G l v b j E v c G x h e W V y c 1 8 y O V 8 3 X z I w M j I s I D E 3 I D U 1 I D Q 3 L 0 F 1 d G 9 S Z W 1 v d m V k Q 2 9 s d W 1 u c z E u e 0 l E I G R l b C B q d W d h Z G 9 y L D N 9 J n F 1 b 3 Q 7 L C Z x d W 9 0 O 1 N l Y 3 R p b 2 4 x L 3 B s Y X l l c n N f M j l f N 1 8 y M D I y L C A x N y A 1 N S A 0 N y 9 B d X R v U m V t b 3 Z l Z E N v b H V t b n M x L n t F b n R y Z W 5 h Z G 9 y L D R 9 J n F 1 b 3 Q 7 L C Z x d W 9 0 O 1 N l Y 3 R p b 2 4 x L 3 B s Y X l l c n N f M j l f N 1 8 y M D I y L C A x N y A 1 N S A 0 N y 9 B d X R v U m V t b 3 Z l Z E N v b H V t b n M x L n t F c 3 B l Y 2 l h b G l k Y W Q s N X 0 m c X V v d D s s J n F 1 b 3 Q 7 U 2 V j d G l v b j E v c G x h e W V y c 1 8 y O V 8 3 X z I w M j I s I D E 3 I D U 1 I D Q 3 L 0 F 1 d G 9 S Z W 1 v d m V k Q 2 9 s d W 1 u c z E u e 0 J v b m l m a W N h Y 2 n D s 2 4 g c G 9 y I G N s d W I g Z G U g b 3 J p Z 2 V u L D Z 9 J n F 1 b 3 Q 7 L C Z x d W 9 0 O 1 N l Y 3 R p b 2 4 x L 3 B s Y X l l c n N f M j l f N 1 8 y M D I y L C A x N y A 1 N S A 0 N y 9 B d X R v U m V t b 3 Z l Z E N v b H V t b n M x L n t M Z X N p b 2 5 l c y w 3 f S Z x d W 9 0 O y w m c X V v d D t T Z W N 0 a W 9 u M S 9 w b G F 5 Z X J z X z I 5 X z d f M j A y M i w g M T c g N T U g N D c v Q X V 0 b 1 J l b W 9 2 Z W R D b 2 x 1 b W 5 z M S 5 7 Q W 1 v b m V z d G F j a W 9 u Z X M s O H 0 m c X V v d D s s J n F 1 b 3 Q 7 U 2 V j d G l v b j E v c G x h e W V y c 1 8 y O V 8 3 X z I w M j I s I D E 3 I D U 1 I D Q 3 L 0 F 1 d G 9 S Z W 1 v d m V k Q 2 9 s d W 1 u c z E u e 0 V u I G x h I G x p c 3 R h I G R l I H R y Y W 5 z Z m V y Z W 5 j a W F z L D l 9 J n F 1 b 3 Q 7 L C Z x d W 9 0 O 1 N l Y 3 R p b 2 4 x L 3 B s Y X l l c n N f M j l f N 1 8 y M D I y L C A x N y A 1 N S A 0 N y 9 B d X R v U m V t b 3 Z l Z E N v b H V t b n M x L n t F Z G F k L D E w f S Z x d W 9 0 O y w m c X V v d D t T Z W N 0 a W 9 u M S 9 w b G F 5 Z X J z X z I 5 X z d f M j A y M i w g M T c g N T U g N D c v Q X V 0 b 1 J l b W 9 2 Z W R D b 2 x 1 b W 5 z M S 5 7 R M O t Y X M s M T F 9 J n F 1 b 3 Q 7 L C Z x d W 9 0 O 1 N l Y 3 R p b 2 4 x L 3 B s Y X l l c n N f M j l f N 1 8 y M D I y L C A x N y A 1 N S A 0 N y 9 B d X R v U m V t b 3 Z l Z E N v b H V t b n M x L n t U U 0 k s M T J 9 J n F 1 b 3 Q 7 L C Z x d W 9 0 O 1 N l Y 3 R p b 2 4 x L 3 B s Y X l l c n N f M j l f N 1 8 y M D I y L C A x N y A 1 N S A 0 N y 9 B d X R v U m V t b 3 Z l Z E N v b H V t b n M x L n t T Y W x h c m l v L D E z f S Z x d W 9 0 O y w m c X V v d D t T Z W N 0 a W 9 u M S 9 w b G F 5 Z X J z X z I 5 X z d f M j A y M i w g M T c g N T U g N D c v Q X V 0 b 1 J l b W 9 2 Z W R D b 2 x 1 b W 5 z M S 5 7 U 2 V t Y W 5 h c y B l b i B l b C B j b H V i L D E 0 f S Z x d W 9 0 O y w m c X V v d D t T Z W N 0 a W 9 u M S 9 w b G F 5 Z X J z X z I 5 X z d f M j A y M i w g M T c g N T U g N D c v Q X V 0 b 1 J l b W 9 2 Z W R D b 2 x 1 b W 5 z M S 5 7 R X h w Z X J p Z W 5 j a W E s M T V 9 J n F 1 b 3 Q 7 L C Z x d W 9 0 O 1 N l Y 3 R p b 2 4 x L 3 B s Y X l l c n N f M j l f N 1 8 y M D I y L C A x N y A 1 N S A 0 N y 9 B d X R v U m V t b 3 Z l Z E N v b H V t b n M x L n t M a W R l c m F 6 Z 2 8 s M T Z 9 J n F 1 b 3 Q 7 L C Z x d W 9 0 O 1 N l Y 3 R p b 2 4 x L 3 B s Y X l l c n N f M j l f N 1 8 y M D I y L C A x N y A 1 N S A 0 N y 9 B d X R v U m V t b 3 Z l Z E N v b H V t b n M x L n t G a W R l b G l k Y W Q s M T d 9 J n F 1 b 3 Q 7 L C Z x d W 9 0 O 1 N l Y 3 R p b 2 4 x L 3 B s Y X l l c n N f M j l f N 1 8 y M D I y L C A x N y A 1 N S A 0 N y 9 B d X R v U m V t b 3 Z l Z E N v b H V t b n M x L n t G b 3 J t Y S w x O H 0 m c X V v d D s s J n F 1 b 3 Q 7 U 2 V j d G l v b j E v c G x h e W V y c 1 8 y O V 8 3 X z I w M j I s I D E 3 I D U 1 I D Q 3 L 0 F 1 d G 9 S Z W 1 v d m V k Q 2 9 s d W 1 u c z E u e 1 J l c 2 l z d G V u Y 2 l h L D E 5 f S Z x d W 9 0 O y w m c X V v d D t T Z W N 0 a W 9 u M S 9 w b G F 5 Z X J z X z I 5 X z d f M j A y M i w g M T c g N T U g N D c v Q X V 0 b 1 J l b W 9 2 Z W R D b 2 x 1 b W 5 z M S 5 7 R m V j a G E g w 7 p s d G l t b y B w Y X J 0 a W R v L D I w f S Z x d W 9 0 O y w m c X V v d D t T Z W N 0 a W 9 u M S 9 w b G F 5 Z X J z X z I 5 X z d f M j A y M i w g M T c g N T U g N D c v Q X V 0 b 1 J l b W 9 2 Z W R D b 2 x 1 b W 5 z M S 5 7 U m V u Z G l t a W V u d G 8 g w 7 p s d G l t b y B w Y X J 0 a W R v L D I x f S Z x d W 9 0 O y w m c X V v d D t T Z W N 0 a W 9 u M S 9 w b G F 5 Z X J z X z I 5 X z d f M j A y M i w g M T c g N T U g N D c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j l f N 1 8 y M D I y L C A x N y A 1 N S A 0 N y 9 B d X R v U m V t b 3 Z l Z E N v b H V t b n M x L n t O Y W N p b 2 5 h b G l k Y W Q s M H 0 m c X V v d D s s J n F 1 b 3 Q 7 U 2 V j d G l v b j E v c G x h e W V y c 1 8 y O V 8 3 X z I w M j I s I D E 3 I D U 1 I D Q 3 L 0 F 1 d G 9 S Z W 1 v d m V k Q 2 9 s d W 1 u c z E u e 0 R v c n N h b C w x f S Z x d W 9 0 O y w m c X V v d D t T Z W N 0 a W 9 u M S 9 w b G F 5 Z X J z X z I 5 X z d f M j A y M i w g M T c g N T U g N D c v Q X V 0 b 1 J l b W 9 2 Z W R D b 2 x 1 b W 5 z M S 5 7 T m 9 t Y n J l L D J 9 J n F 1 b 3 Q 7 L C Z x d W 9 0 O 1 N l Y 3 R p b 2 4 x L 3 B s Y X l l c n N f M j l f N 1 8 y M D I y L C A x N y A 1 N S A 0 N y 9 B d X R v U m V t b 3 Z l Z E N v b H V t b n M x L n t J R C B k Z W w g a n V n Y W R v c i w z f S Z x d W 9 0 O y w m c X V v d D t T Z W N 0 a W 9 u M S 9 w b G F 5 Z X J z X z I 5 X z d f M j A y M i w g M T c g N T U g N D c v Q X V 0 b 1 J l b W 9 2 Z W R D b 2 x 1 b W 5 z M S 5 7 R W 5 0 c m V u Y W R v c i w 0 f S Z x d W 9 0 O y w m c X V v d D t T Z W N 0 a W 9 u M S 9 w b G F 5 Z X J z X z I 5 X z d f M j A y M i w g M T c g N T U g N D c v Q X V 0 b 1 J l b W 9 2 Z W R D b 2 x 1 b W 5 z M S 5 7 R X N w Z W N p Y W x p Z G F k L D V 9 J n F 1 b 3 Q 7 L C Z x d W 9 0 O 1 N l Y 3 R p b 2 4 x L 3 B s Y X l l c n N f M j l f N 1 8 y M D I y L C A x N y A 1 N S A 0 N y 9 B d X R v U m V t b 3 Z l Z E N v b H V t b n M x L n t C b 2 5 p Z m l j Y W N p w 7 N u I H B v c i B j b H V i I G R l I G 9 y a W d l b i w 2 f S Z x d W 9 0 O y w m c X V v d D t T Z W N 0 a W 9 u M S 9 w b G F 5 Z X J z X z I 5 X z d f M j A y M i w g M T c g N T U g N D c v Q X V 0 b 1 J l b W 9 2 Z W R D b 2 x 1 b W 5 z M S 5 7 T G V z a W 9 u Z X M s N 3 0 m c X V v d D s s J n F 1 b 3 Q 7 U 2 V j d G l v b j E v c G x h e W V y c 1 8 y O V 8 3 X z I w M j I s I D E 3 I D U 1 I D Q 3 L 0 F 1 d G 9 S Z W 1 v d m V k Q 2 9 s d W 1 u c z E u e 0 F t b 2 5 l c 3 R h Y 2 l v b m V z L D h 9 J n F 1 b 3 Q 7 L C Z x d W 9 0 O 1 N l Y 3 R p b 2 4 x L 3 B s Y X l l c n N f M j l f N 1 8 y M D I y L C A x N y A 1 N S A 0 N y 9 B d X R v U m V t b 3 Z l Z E N v b H V t b n M x L n t F b i B s Y S B s a X N 0 Y S B k Z S B 0 c m F u c 2 Z l c m V u Y 2 l h c y w 5 f S Z x d W 9 0 O y w m c X V v d D t T Z W N 0 a W 9 u M S 9 w b G F 5 Z X J z X z I 5 X z d f M j A y M i w g M T c g N T U g N D c v Q X V 0 b 1 J l b W 9 2 Z W R D b 2 x 1 b W 5 z M S 5 7 R W R h Z C w x M H 0 m c X V v d D s s J n F 1 b 3 Q 7 U 2 V j d G l v b j E v c G x h e W V y c 1 8 y O V 8 3 X z I w M j I s I D E 3 I D U 1 I D Q 3 L 0 F 1 d G 9 S Z W 1 v d m V k Q 2 9 s d W 1 u c z E u e 0 T D r W F z L D E x f S Z x d W 9 0 O y w m c X V v d D t T Z W N 0 a W 9 u M S 9 w b G F 5 Z X J z X z I 5 X z d f M j A y M i w g M T c g N T U g N D c v Q X V 0 b 1 J l b W 9 2 Z W R D b 2 x 1 b W 5 z M S 5 7 V F N J L D E y f S Z x d W 9 0 O y w m c X V v d D t T Z W N 0 a W 9 u M S 9 w b G F 5 Z X J z X z I 5 X z d f M j A y M i w g M T c g N T U g N D c v Q X V 0 b 1 J l b W 9 2 Z W R D b 2 x 1 b W 5 z M S 5 7 U 2 F s Y X J p b y w x M 3 0 m c X V v d D s s J n F 1 b 3 Q 7 U 2 V j d G l v b j E v c G x h e W V y c 1 8 y O V 8 3 X z I w M j I s I D E 3 I D U 1 I D Q 3 L 0 F 1 d G 9 S Z W 1 v d m V k Q 2 9 s d W 1 u c z E u e 1 N l b W F u Y X M g Z W 4 g Z W w g Y 2 x 1 Y i w x N H 0 m c X V v d D s s J n F 1 b 3 Q 7 U 2 V j d G l v b j E v c G x h e W V y c 1 8 y O V 8 3 X z I w M j I s I D E 3 I D U 1 I D Q 3 L 0 F 1 d G 9 S Z W 1 v d m V k Q 2 9 s d W 1 u c z E u e 0 V 4 c G V y a W V u Y 2 l h L D E 1 f S Z x d W 9 0 O y w m c X V v d D t T Z W N 0 a W 9 u M S 9 w b G F 5 Z X J z X z I 5 X z d f M j A y M i w g M T c g N T U g N D c v Q X V 0 b 1 J l b W 9 2 Z W R D b 2 x 1 b W 5 z M S 5 7 T G l k Z X J h e m d v L D E 2 f S Z x d W 9 0 O y w m c X V v d D t T Z W N 0 a W 9 u M S 9 w b G F 5 Z X J z X z I 5 X z d f M j A y M i w g M T c g N T U g N D c v Q X V 0 b 1 J l b W 9 2 Z W R D b 2 x 1 b W 5 z M S 5 7 R m l k Z W x p Z G F k L D E 3 f S Z x d W 9 0 O y w m c X V v d D t T Z W N 0 a W 9 u M S 9 w b G F 5 Z X J z X z I 5 X z d f M j A y M i w g M T c g N T U g N D c v Q X V 0 b 1 J l b W 9 2 Z W R D b 2 x 1 b W 5 z M S 5 7 R m 9 y b W E s M T h 9 J n F 1 b 3 Q 7 L C Z x d W 9 0 O 1 N l Y 3 R p b 2 4 x L 3 B s Y X l l c n N f M j l f N 1 8 y M D I y L C A x N y A 1 N S A 0 N y 9 B d X R v U m V t b 3 Z l Z E N v b H V t b n M x L n t S Z X N p c 3 R l b m N p Y S w x O X 0 m c X V v d D s s J n F 1 b 3 Q 7 U 2 V j d G l v b j E v c G x h e W V y c 1 8 y O V 8 3 X z I w M j I s I D E 3 I D U 1 I D Q 3 L 0 F 1 d G 9 S Z W 1 v d m V k Q 2 9 s d W 1 u c z E u e 0 Z l Y 2 h h I M O 6 b H R p b W 8 g c G F y d G l k b y w y M H 0 m c X V v d D s s J n F 1 b 3 Q 7 U 2 V j d G l v b j E v c G x h e W V y c 1 8 y O V 8 3 X z I w M j I s I D E 3 I D U 1 I D Q 3 L 0 F 1 d G 9 S Z W 1 v d m V k Q 2 9 s d W 1 u c z E u e 1 J l b m R p b W l l b n R v I M O 6 b H R p b W 8 g c G F y d G l k b y w y M X 0 m c X V v d D s s J n F 1 b 3 Q 7 U 2 V j d G l v b j E v c G x h e W V y c 1 8 y O V 8 3 X z I w M j I s I D E 3 I D U 1 I D Q 3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4 J T I w M D I l M j A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b G F 5 Z X J z X z I 5 X z d f M j A y M l 9 f M T h f M D J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l U M T Y 6 M D I 6 N D Y u M j M 1 M z Y 2 N V o i I C 8 + P E V u d H J 5 I F R 5 c G U 9 I k Z p b G x D b 2 x 1 b W 5 U e X B l c y I g V m F s d W U 9 I n N C Z 1 l H Q X d N R 0 F 3 T U R C Z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I 5 X z d f M j A y M i w g M T g g M D I g M z E v Q X V 0 b 1 J l b W 9 2 Z W R D b 2 x 1 b W 5 z M S 5 7 T m F j a W 9 u Y W x p Z G F k L D B 9 J n F 1 b 3 Q 7 L C Z x d W 9 0 O 1 N l Y 3 R p b 2 4 x L 3 B s Y X l l c n N f M j l f N 1 8 y M D I y L C A x O C A w M i A z M S 9 B d X R v U m V t b 3 Z l Z E N v b H V t b n M x L n t E b 3 J z Y W w s M X 0 m c X V v d D s s J n F 1 b 3 Q 7 U 2 V j d G l v b j E v c G x h e W V y c 1 8 y O V 8 3 X z I w M j I s I D E 4 I D A y I D M x L 0 F 1 d G 9 S Z W 1 v d m V k Q 2 9 s d W 1 u c z E u e 0 5 v b W J y Z S w y f S Z x d W 9 0 O y w m c X V v d D t T Z W N 0 a W 9 u M S 9 w b G F 5 Z X J z X z I 5 X z d f M j A y M i w g M T g g M D I g M z E v Q X V 0 b 1 J l b W 9 2 Z W R D b 2 x 1 b W 5 z M S 5 7 S U Q g Z G V s I G p 1 Z 2 F k b 3 I s M 3 0 m c X V v d D s s J n F 1 b 3 Q 7 U 2 V j d G l v b j E v c G x h e W V y c 1 8 y O V 8 3 X z I w M j I s I D E 4 I D A y I D M x L 0 F 1 d G 9 S Z W 1 v d m V k Q 2 9 s d W 1 u c z E u e 0 V u d H J l b m F k b 3 I s N H 0 m c X V v d D s s J n F 1 b 3 Q 7 U 2 V j d G l v b j E v c G x h e W V y c 1 8 y O V 8 3 X z I w M j I s I D E 4 I D A y I D M x L 0 F 1 d G 9 S Z W 1 v d m V k Q 2 9 s d W 1 u c z E u e 0 V z c G V j a W F s a W R h Z C w 1 f S Z x d W 9 0 O y w m c X V v d D t T Z W N 0 a W 9 u M S 9 w b G F 5 Z X J z X z I 5 X z d f M j A y M i w g M T g g M D I g M z E v Q X V 0 b 1 J l b W 9 2 Z W R D b 2 x 1 b W 5 z M S 5 7 Q m 9 u a W Z p Y 2 F j a c O z b i B w b 3 I g Y 2 x 1 Y i B k Z S B v c m l n Z W 4 s N n 0 m c X V v d D s s J n F 1 b 3 Q 7 U 2 V j d G l v b j E v c G x h e W V y c 1 8 y O V 8 3 X z I w M j I s I D E 4 I D A y I D M x L 0 F 1 d G 9 S Z W 1 v d m V k Q 2 9 s d W 1 u c z E u e 0 x l c 2 l v b m V z L D d 9 J n F 1 b 3 Q 7 L C Z x d W 9 0 O 1 N l Y 3 R p b 2 4 x L 3 B s Y X l l c n N f M j l f N 1 8 y M D I y L C A x O C A w M i A z M S 9 B d X R v U m V t b 3 Z l Z E N v b H V t b n M x L n t B b W 9 u Z X N 0 Y W N p b 2 5 l c y w 4 f S Z x d W 9 0 O y w m c X V v d D t T Z W N 0 a W 9 u M S 9 w b G F 5 Z X J z X z I 5 X z d f M j A y M i w g M T g g M D I g M z E v Q X V 0 b 1 J l b W 9 2 Z W R D b 2 x 1 b W 5 z M S 5 7 R W 4 g b G E g b G l z d G E g Z G U g d H J h b n N m Z X J l b m N p Y X M s O X 0 m c X V v d D s s J n F 1 b 3 Q 7 U 2 V j d G l v b j E v c G x h e W V y c 1 8 y O V 8 3 X z I w M j I s I D E 4 I D A y I D M x L 0 F 1 d G 9 S Z W 1 v d m V k Q 2 9 s d W 1 u c z E u e 0 V k Y W Q s M T B 9 J n F 1 b 3 Q 7 L C Z x d W 9 0 O 1 N l Y 3 R p b 2 4 x L 3 B s Y X l l c n N f M j l f N 1 8 y M D I y L C A x O C A w M i A z M S 9 B d X R v U m V t b 3 Z l Z E N v b H V t b n M x L n t E w 6 1 h c y w x M X 0 m c X V v d D s s J n F 1 b 3 Q 7 U 2 V j d G l v b j E v c G x h e W V y c 1 8 y O V 8 3 X z I w M j I s I D E 4 I D A y I D M x L 0 F 1 d G 9 S Z W 1 v d m V k Q 2 9 s d W 1 u c z E u e 1 R T S S w x M n 0 m c X V v d D s s J n F 1 b 3 Q 7 U 2 V j d G l v b j E v c G x h e W V y c 1 8 y O V 8 3 X z I w M j I s I D E 4 I D A y I D M x L 0 F 1 d G 9 S Z W 1 v d m V k Q 2 9 s d W 1 u c z E u e 1 N h b G F y a W 8 s M T N 9 J n F 1 b 3 Q 7 L C Z x d W 9 0 O 1 N l Y 3 R p b 2 4 x L 3 B s Y X l l c n N f M j l f N 1 8 y M D I y L C A x O C A w M i A z M S 9 B d X R v U m V t b 3 Z l Z E N v b H V t b n M x L n t T Z W 1 h b m F z I G V u I G V s I G N s d W I s M T R 9 J n F 1 b 3 Q 7 L C Z x d W 9 0 O 1 N l Y 3 R p b 2 4 x L 3 B s Y X l l c n N f M j l f N 1 8 y M D I y L C A x O C A w M i A z M S 9 B d X R v U m V t b 3 Z l Z E N v b H V t b n M x L n t F e H B l c m l l b m N p Y S w x N X 0 m c X V v d D s s J n F 1 b 3 Q 7 U 2 V j d G l v b j E v c G x h e W V y c 1 8 y O V 8 3 X z I w M j I s I D E 4 I D A y I D M x L 0 F 1 d G 9 S Z W 1 v d m V k Q 2 9 s d W 1 u c z E u e 0 x p Z G V y Y X p n b y w x N n 0 m c X V v d D s s J n F 1 b 3 Q 7 U 2 V j d G l v b j E v c G x h e W V y c 1 8 y O V 8 3 X z I w M j I s I D E 4 I D A y I D M x L 0 F 1 d G 9 S Z W 1 v d m V k Q 2 9 s d W 1 u c z E u e 0 Z p Z G V s a W R h Z C w x N 3 0 m c X V v d D s s J n F 1 b 3 Q 7 U 2 V j d G l v b j E v c G x h e W V y c 1 8 y O V 8 3 X z I w M j I s I D E 4 I D A y I D M x L 0 F 1 d G 9 S Z W 1 v d m V k Q 2 9 s d W 1 u c z E u e 0 Z v c m 1 h L D E 4 f S Z x d W 9 0 O y w m c X V v d D t T Z W N 0 a W 9 u M S 9 w b G F 5 Z X J z X z I 5 X z d f M j A y M i w g M T g g M D I g M z E v Q X V 0 b 1 J l b W 9 2 Z W R D b 2 x 1 b W 5 z M S 5 7 U m V z a X N 0 Z W 5 j a W E s M T l 9 J n F 1 b 3 Q 7 L C Z x d W 9 0 O 1 N l Y 3 R p b 2 4 x L 3 B s Y X l l c n N f M j l f N 1 8 y M D I y L C A x O C A w M i A z M S 9 B d X R v U m V t b 3 Z l Z E N v b H V t b n M x L n t G Z W N o Y S D D u m x 0 a W 1 v I H B h c n R p Z G 8 s M j B 9 J n F 1 b 3 Q 7 L C Z x d W 9 0 O 1 N l Y 3 R p b 2 4 x L 3 B s Y X l l c n N f M j l f N 1 8 y M D I y L C A x O C A w M i A z M S 9 B d X R v U m V t b 3 Z l Z E N v b H V t b n M x L n t S Z W 5 k a W 1 p Z W 5 0 b y D D u m x 0 a W 1 v I H B h c n R p Z G 8 s M j F 9 J n F 1 b 3 Q 7 L C Z x d W 9 0 O 1 N l Y 3 R p b 2 4 x L 3 B s Y X l l c n N f M j l f N 1 8 y M D I y L C A x O C A w M i A z M S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y O V 8 3 X z I w M j I s I D E 4 I D A y I D M x L 0 F 1 d G 9 S Z W 1 v d m V k Q 2 9 s d W 1 u c z E u e 0 5 h Y 2 l v b m F s a W R h Z C w w f S Z x d W 9 0 O y w m c X V v d D t T Z W N 0 a W 9 u M S 9 w b G F 5 Z X J z X z I 5 X z d f M j A y M i w g M T g g M D I g M z E v Q X V 0 b 1 J l b W 9 2 Z W R D b 2 x 1 b W 5 z M S 5 7 R G 9 y c 2 F s L D F 9 J n F 1 b 3 Q 7 L C Z x d W 9 0 O 1 N l Y 3 R p b 2 4 x L 3 B s Y X l l c n N f M j l f N 1 8 y M D I y L C A x O C A w M i A z M S 9 B d X R v U m V t b 3 Z l Z E N v b H V t b n M x L n t O b 2 1 i c m U s M n 0 m c X V v d D s s J n F 1 b 3 Q 7 U 2 V j d G l v b j E v c G x h e W V y c 1 8 y O V 8 3 X z I w M j I s I D E 4 I D A y I D M x L 0 F 1 d G 9 S Z W 1 v d m V k Q 2 9 s d W 1 u c z E u e 0 l E I G R l b C B q d W d h Z G 9 y L D N 9 J n F 1 b 3 Q 7 L C Z x d W 9 0 O 1 N l Y 3 R p b 2 4 x L 3 B s Y X l l c n N f M j l f N 1 8 y M D I y L C A x O C A w M i A z M S 9 B d X R v U m V t b 3 Z l Z E N v b H V t b n M x L n t F b n R y Z W 5 h Z G 9 y L D R 9 J n F 1 b 3 Q 7 L C Z x d W 9 0 O 1 N l Y 3 R p b 2 4 x L 3 B s Y X l l c n N f M j l f N 1 8 y M D I y L C A x O C A w M i A z M S 9 B d X R v U m V t b 3 Z l Z E N v b H V t b n M x L n t F c 3 B l Y 2 l h b G l k Y W Q s N X 0 m c X V v d D s s J n F 1 b 3 Q 7 U 2 V j d G l v b j E v c G x h e W V y c 1 8 y O V 8 3 X z I w M j I s I D E 4 I D A y I D M x L 0 F 1 d G 9 S Z W 1 v d m V k Q 2 9 s d W 1 u c z E u e 0 J v b m l m a W N h Y 2 n D s 2 4 g c G 9 y I G N s d W I g Z G U g b 3 J p Z 2 V u L D Z 9 J n F 1 b 3 Q 7 L C Z x d W 9 0 O 1 N l Y 3 R p b 2 4 x L 3 B s Y X l l c n N f M j l f N 1 8 y M D I y L C A x O C A w M i A z M S 9 B d X R v U m V t b 3 Z l Z E N v b H V t b n M x L n t M Z X N p b 2 5 l c y w 3 f S Z x d W 9 0 O y w m c X V v d D t T Z W N 0 a W 9 u M S 9 w b G F 5 Z X J z X z I 5 X z d f M j A y M i w g M T g g M D I g M z E v Q X V 0 b 1 J l b W 9 2 Z W R D b 2 x 1 b W 5 z M S 5 7 Q W 1 v b m V z d G F j a W 9 u Z X M s O H 0 m c X V v d D s s J n F 1 b 3 Q 7 U 2 V j d G l v b j E v c G x h e W V y c 1 8 y O V 8 3 X z I w M j I s I D E 4 I D A y I D M x L 0 F 1 d G 9 S Z W 1 v d m V k Q 2 9 s d W 1 u c z E u e 0 V u I G x h I G x p c 3 R h I G R l I H R y Y W 5 z Z m V y Z W 5 j a W F z L D l 9 J n F 1 b 3 Q 7 L C Z x d W 9 0 O 1 N l Y 3 R p b 2 4 x L 3 B s Y X l l c n N f M j l f N 1 8 y M D I y L C A x O C A w M i A z M S 9 B d X R v U m V t b 3 Z l Z E N v b H V t b n M x L n t F Z G F k L D E w f S Z x d W 9 0 O y w m c X V v d D t T Z W N 0 a W 9 u M S 9 w b G F 5 Z X J z X z I 5 X z d f M j A y M i w g M T g g M D I g M z E v Q X V 0 b 1 J l b W 9 2 Z W R D b 2 x 1 b W 5 z M S 5 7 R M O t Y X M s M T F 9 J n F 1 b 3 Q 7 L C Z x d W 9 0 O 1 N l Y 3 R p b 2 4 x L 3 B s Y X l l c n N f M j l f N 1 8 y M D I y L C A x O C A w M i A z M S 9 B d X R v U m V t b 3 Z l Z E N v b H V t b n M x L n t U U 0 k s M T J 9 J n F 1 b 3 Q 7 L C Z x d W 9 0 O 1 N l Y 3 R p b 2 4 x L 3 B s Y X l l c n N f M j l f N 1 8 y M D I y L C A x O C A w M i A z M S 9 B d X R v U m V t b 3 Z l Z E N v b H V t b n M x L n t T Y W x h c m l v L D E z f S Z x d W 9 0 O y w m c X V v d D t T Z W N 0 a W 9 u M S 9 w b G F 5 Z X J z X z I 5 X z d f M j A y M i w g M T g g M D I g M z E v Q X V 0 b 1 J l b W 9 2 Z W R D b 2 x 1 b W 5 z M S 5 7 U 2 V t Y W 5 h c y B l b i B l b C B j b H V i L D E 0 f S Z x d W 9 0 O y w m c X V v d D t T Z W N 0 a W 9 u M S 9 w b G F 5 Z X J z X z I 5 X z d f M j A y M i w g M T g g M D I g M z E v Q X V 0 b 1 J l b W 9 2 Z W R D b 2 x 1 b W 5 z M S 5 7 R X h w Z X J p Z W 5 j a W E s M T V 9 J n F 1 b 3 Q 7 L C Z x d W 9 0 O 1 N l Y 3 R p b 2 4 x L 3 B s Y X l l c n N f M j l f N 1 8 y M D I y L C A x O C A w M i A z M S 9 B d X R v U m V t b 3 Z l Z E N v b H V t b n M x L n t M a W R l c m F 6 Z 2 8 s M T Z 9 J n F 1 b 3 Q 7 L C Z x d W 9 0 O 1 N l Y 3 R p b 2 4 x L 3 B s Y X l l c n N f M j l f N 1 8 y M D I y L C A x O C A w M i A z M S 9 B d X R v U m V t b 3 Z l Z E N v b H V t b n M x L n t G a W R l b G l k Y W Q s M T d 9 J n F 1 b 3 Q 7 L C Z x d W 9 0 O 1 N l Y 3 R p b 2 4 x L 3 B s Y X l l c n N f M j l f N 1 8 y M D I y L C A x O C A w M i A z M S 9 B d X R v U m V t b 3 Z l Z E N v b H V t b n M x L n t G b 3 J t Y S w x O H 0 m c X V v d D s s J n F 1 b 3 Q 7 U 2 V j d G l v b j E v c G x h e W V y c 1 8 y O V 8 3 X z I w M j I s I D E 4 I D A y I D M x L 0 F 1 d G 9 S Z W 1 v d m V k Q 2 9 s d W 1 u c z E u e 1 J l c 2 l z d G V u Y 2 l h L D E 5 f S Z x d W 9 0 O y w m c X V v d D t T Z W N 0 a W 9 u M S 9 w b G F 5 Z X J z X z I 5 X z d f M j A y M i w g M T g g M D I g M z E v Q X V 0 b 1 J l b W 9 2 Z W R D b 2 x 1 b W 5 z M S 5 7 R m V j a G E g w 7 p s d G l t b y B w Y X J 0 a W R v L D I w f S Z x d W 9 0 O y w m c X V v d D t T Z W N 0 a W 9 u M S 9 w b G F 5 Z X J z X z I 5 X z d f M j A y M i w g M T g g M D I g M z E v Q X V 0 b 1 J l b W 9 2 Z W R D b 2 x 1 b W 5 z M S 5 7 U m V u Z G l t a W V u d G 8 g w 7 p s d G l t b y B w Y X J 0 a W R v L D I x f S Z x d W 9 0 O y w m c X V v d D t T Z W N 0 a W 9 u M S 9 w b G F 5 Z X J z X z I 5 X z d f M j A y M i w g M T g g M D I g M z E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w J T I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X z F f O F 8 y M D I y X 1 8 x M F 8 w M F 8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w O D o w M T o w M y 4 y O T M z N j c 4 W i I g L z 4 8 R W 5 0 c n k g V H l w Z T 0 i R m l s b E N v b H V t b l R 5 c G V z I i B W Y W x 1 Z T 0 i c 0 J n T U d B d 0 1 H Q X d Z R E F 3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V 8 4 X z I w M j I s I D E w I D A w I D M z L 0 F 1 d G 9 S Z W 1 v d m V k Q 2 9 s d W 1 u c z E u e 0 5 h Y 2 l v b m F s a W R h Z C w w f S Z x d W 9 0 O y w m c X V v d D t T Z W N 0 a W 9 u M S 9 w b G F 5 Z X J z X z F f O F 8 y M D I y L C A x M C A w M C A z M y 9 B d X R v U m V t b 3 Z l Z E N v b H V t b n M x L n t E b 3 J z Y W w s M X 0 m c X V v d D s s J n F 1 b 3 Q 7 U 2 V j d G l v b j E v c G x h e W V y c 1 8 x X z h f M j A y M i w g M T A g M D A g M z M v Q X V 0 b 1 J l b W 9 2 Z W R D b 2 x 1 b W 5 z M S 5 7 T m 9 t Y n J l L D J 9 J n F 1 b 3 Q 7 L C Z x d W 9 0 O 1 N l Y 3 R p b 2 4 x L 3 B s Y X l l c n N f M V 8 4 X z I w M j I s I D E w I D A w I D M z L 0 F 1 d G 9 S Z W 1 v d m V k Q 2 9 s d W 1 u c z E u e 0 l E I G R l b C B q d W d h Z G 9 y L D N 9 J n F 1 b 3 Q 7 L C Z x d W 9 0 O 1 N l Y 3 R p b 2 4 x L 3 B s Y X l l c n N f M V 8 4 X z I w M j I s I D E w I D A w I D M z L 0 F 1 d G 9 S Z W 1 v d m V k Q 2 9 s d W 1 u c z E u e 0 V u d H J l b m F k b 3 I s N H 0 m c X V v d D s s J n F 1 b 3 Q 7 U 2 V j d G l v b j E v c G x h e W V y c 1 8 x X z h f M j A y M i w g M T A g M D A g M z M v Q X V 0 b 1 J l b W 9 2 Z W R D b 2 x 1 b W 5 z M S 5 7 R X N w Z W N p Y W x p Z G F k L D V 9 J n F 1 b 3 Q 7 L C Z x d W 9 0 O 1 N l Y 3 R p b 2 4 x L 3 B s Y X l l c n N f M V 8 4 X z I w M j I s I D E w I D A w I D M z L 0 F 1 d G 9 S Z W 1 v d m V k Q 2 9 s d W 1 u c z E u e 0 J v b m l m a W N h Y 2 n D s 2 4 g c G 9 y I G N s d W I g Z G U g b 3 J p Z 2 V u L D Z 9 J n F 1 b 3 Q 7 L C Z x d W 9 0 O 1 N l Y 3 R p b 2 4 x L 3 B s Y X l l c n N f M V 8 4 X z I w M j I s I D E w I D A w I D M z L 0 F 1 d G 9 S Z W 1 v d m V k Q 2 9 s d W 1 u c z E u e 0 x l c 2 l v b m V z L D d 9 J n F 1 b 3 Q 7 L C Z x d W 9 0 O 1 N l Y 3 R p b 2 4 x L 3 B s Y X l l c n N f M V 8 4 X z I w M j I s I D E w I D A w I D M z L 0 F 1 d G 9 S Z W 1 v d m V k Q 2 9 s d W 1 u c z E u e 0 F t b 2 5 l c 3 R h Y 2 l v b m V z L D h 9 J n F 1 b 3 Q 7 L C Z x d W 9 0 O 1 N l Y 3 R p b 2 4 x L 3 B s Y X l l c n N f M V 8 4 X z I w M j I s I D E w I D A w I D M z L 0 F 1 d G 9 S Z W 1 v d m V k Q 2 9 s d W 1 u c z E u e 0 V u I G x h I G x p c 3 R h I G R l I H R y Y W 5 z Z m V y Z W 5 j a W F z L D l 9 J n F 1 b 3 Q 7 L C Z x d W 9 0 O 1 N l Y 3 R p b 2 4 x L 3 B s Y X l l c n N f M V 8 4 X z I w M j I s I D E w I D A w I D M z L 0 F 1 d G 9 S Z W 1 v d m V k Q 2 9 s d W 1 u c z E u e 0 V k Y W Q s M T B 9 J n F 1 b 3 Q 7 L C Z x d W 9 0 O 1 N l Y 3 R p b 2 4 x L 3 B s Y X l l c n N f M V 8 4 X z I w M j I s I D E w I D A w I D M z L 0 F 1 d G 9 S Z W 1 v d m V k Q 2 9 s d W 1 u c z E u e 0 T D r W F z L D E x f S Z x d W 9 0 O y w m c X V v d D t T Z W N 0 a W 9 u M S 9 w b G F 5 Z X J z X z F f O F 8 y M D I y L C A x M C A w M C A z M y 9 B d X R v U m V t b 3 Z l Z E N v b H V t b n M x L n t U U 0 k s M T J 9 J n F 1 b 3 Q 7 L C Z x d W 9 0 O 1 N l Y 3 R p b 2 4 x L 3 B s Y X l l c n N f M V 8 4 X z I w M j I s I D E w I D A w I D M z L 0 F 1 d G 9 S Z W 1 v d m V k Q 2 9 s d W 1 u c z E u e 1 N h b G F y a W 8 s M T N 9 J n F 1 b 3 Q 7 L C Z x d W 9 0 O 1 N l Y 3 R p b 2 4 x L 3 B s Y X l l c n N f M V 8 4 X z I w M j I s I D E w I D A w I D M z L 0 F 1 d G 9 S Z W 1 v d m V k Q 2 9 s d W 1 u c z E u e 1 N l b W F u Y X M g Z W 4 g Z W w g Y 2 x 1 Y i w x N H 0 m c X V v d D s s J n F 1 b 3 Q 7 U 2 V j d G l v b j E v c G x h e W V y c 1 8 x X z h f M j A y M i w g M T A g M D A g M z M v Q X V 0 b 1 J l b W 9 2 Z W R D b 2 x 1 b W 5 z M S 5 7 R X h w Z X J p Z W 5 j a W E s M T V 9 J n F 1 b 3 Q 7 L C Z x d W 9 0 O 1 N l Y 3 R p b 2 4 x L 3 B s Y X l l c n N f M V 8 4 X z I w M j I s I D E w I D A w I D M z L 0 F 1 d G 9 S Z W 1 v d m V k Q 2 9 s d W 1 u c z E u e 0 x p Z G V y Y X p n b y w x N n 0 m c X V v d D s s J n F 1 b 3 Q 7 U 2 V j d G l v b j E v c G x h e W V y c 1 8 x X z h f M j A y M i w g M T A g M D A g M z M v Q X V 0 b 1 J l b W 9 2 Z W R D b 2 x 1 b W 5 z M S 5 7 R m l k Z W x p Z G F k L D E 3 f S Z x d W 9 0 O y w m c X V v d D t T Z W N 0 a W 9 u M S 9 w b G F 5 Z X J z X z F f O F 8 y M D I y L C A x M C A w M C A z M y 9 B d X R v U m V t b 3 Z l Z E N v b H V t b n M x L n t G b 3 J t Y S w x O H 0 m c X V v d D s s J n F 1 b 3 Q 7 U 2 V j d G l v b j E v c G x h e W V y c 1 8 x X z h f M j A y M i w g M T A g M D A g M z M v Q X V 0 b 1 J l b W 9 2 Z W R D b 2 x 1 b W 5 z M S 5 7 U m V z a X N 0 Z W 5 j a W E s M T l 9 J n F 1 b 3 Q 7 L C Z x d W 9 0 O 1 N l Y 3 R p b 2 4 x L 3 B s Y X l l c n N f M V 8 4 X z I w M j I s I D E w I D A w I D M z L 0 F 1 d G 9 S Z W 1 v d m V k Q 2 9 s d W 1 u c z E u e 0 Z l Y 2 h h I M O 6 b H R p b W 8 g c G F y d G l k b y w y M H 0 m c X V v d D s s J n F 1 b 3 Q 7 U 2 V j d G l v b j E v c G x h e W V y c 1 8 x X z h f M j A y M i w g M T A g M D A g M z M v Q X V 0 b 1 J l b W 9 2 Z W R D b 2 x 1 b W 5 z M S 5 7 U m V u Z G l t a W V u d G 8 g w 7 p s d G l t b y B w Y X J 0 a W R v L D I x f S Z x d W 9 0 O y w m c X V v d D t T Z W N 0 a W 9 u M S 9 w b G F 5 Z X J z X z F f O F 8 y M D I y L C A x M C A w M C A z M y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x X z h f M j A y M i w g M T A g M D A g M z M v Q X V 0 b 1 J l b W 9 2 Z W R D b 2 x 1 b W 5 z M S 5 7 T m F j a W 9 u Y W x p Z G F k L D B 9 J n F 1 b 3 Q 7 L C Z x d W 9 0 O 1 N l Y 3 R p b 2 4 x L 3 B s Y X l l c n N f M V 8 4 X z I w M j I s I D E w I D A w I D M z L 0 F 1 d G 9 S Z W 1 v d m V k Q 2 9 s d W 1 u c z E u e 0 R v c n N h b C w x f S Z x d W 9 0 O y w m c X V v d D t T Z W N 0 a W 9 u M S 9 w b G F 5 Z X J z X z F f O F 8 y M D I y L C A x M C A w M C A z M y 9 B d X R v U m V t b 3 Z l Z E N v b H V t b n M x L n t O b 2 1 i c m U s M n 0 m c X V v d D s s J n F 1 b 3 Q 7 U 2 V j d G l v b j E v c G x h e W V y c 1 8 x X z h f M j A y M i w g M T A g M D A g M z M v Q X V 0 b 1 J l b W 9 2 Z W R D b 2 x 1 b W 5 z M S 5 7 S U Q g Z G V s I G p 1 Z 2 F k b 3 I s M 3 0 m c X V v d D s s J n F 1 b 3 Q 7 U 2 V j d G l v b j E v c G x h e W V y c 1 8 x X z h f M j A y M i w g M T A g M D A g M z M v Q X V 0 b 1 J l b W 9 2 Z W R D b 2 x 1 b W 5 z M S 5 7 R W 5 0 c m V u Y W R v c i w 0 f S Z x d W 9 0 O y w m c X V v d D t T Z W N 0 a W 9 u M S 9 w b G F 5 Z X J z X z F f O F 8 y M D I y L C A x M C A w M C A z M y 9 B d X R v U m V t b 3 Z l Z E N v b H V t b n M x L n t F c 3 B l Y 2 l h b G l k Y W Q s N X 0 m c X V v d D s s J n F 1 b 3 Q 7 U 2 V j d G l v b j E v c G x h e W V y c 1 8 x X z h f M j A y M i w g M T A g M D A g M z M v Q X V 0 b 1 J l b W 9 2 Z W R D b 2 x 1 b W 5 z M S 5 7 Q m 9 u a W Z p Y 2 F j a c O z b i B w b 3 I g Y 2 x 1 Y i B k Z S B v c m l n Z W 4 s N n 0 m c X V v d D s s J n F 1 b 3 Q 7 U 2 V j d G l v b j E v c G x h e W V y c 1 8 x X z h f M j A y M i w g M T A g M D A g M z M v Q X V 0 b 1 J l b W 9 2 Z W R D b 2 x 1 b W 5 z M S 5 7 T G V z a W 9 u Z X M s N 3 0 m c X V v d D s s J n F 1 b 3 Q 7 U 2 V j d G l v b j E v c G x h e W V y c 1 8 x X z h f M j A y M i w g M T A g M D A g M z M v Q X V 0 b 1 J l b W 9 2 Z W R D b 2 x 1 b W 5 z M S 5 7 Q W 1 v b m V z d G F j a W 9 u Z X M s O H 0 m c X V v d D s s J n F 1 b 3 Q 7 U 2 V j d G l v b j E v c G x h e W V y c 1 8 x X z h f M j A y M i w g M T A g M D A g M z M v Q X V 0 b 1 J l b W 9 2 Z W R D b 2 x 1 b W 5 z M S 5 7 R W 4 g b G E g b G l z d G E g Z G U g d H J h b n N m Z X J l b m N p Y X M s O X 0 m c X V v d D s s J n F 1 b 3 Q 7 U 2 V j d G l v b j E v c G x h e W V y c 1 8 x X z h f M j A y M i w g M T A g M D A g M z M v Q X V 0 b 1 J l b W 9 2 Z W R D b 2 x 1 b W 5 z M S 5 7 R W R h Z C w x M H 0 m c X V v d D s s J n F 1 b 3 Q 7 U 2 V j d G l v b j E v c G x h e W V y c 1 8 x X z h f M j A y M i w g M T A g M D A g M z M v Q X V 0 b 1 J l b W 9 2 Z W R D b 2 x 1 b W 5 z M S 5 7 R M O t Y X M s M T F 9 J n F 1 b 3 Q 7 L C Z x d W 9 0 O 1 N l Y 3 R p b 2 4 x L 3 B s Y X l l c n N f M V 8 4 X z I w M j I s I D E w I D A w I D M z L 0 F 1 d G 9 S Z W 1 v d m V k Q 2 9 s d W 1 u c z E u e 1 R T S S w x M n 0 m c X V v d D s s J n F 1 b 3 Q 7 U 2 V j d G l v b j E v c G x h e W V y c 1 8 x X z h f M j A y M i w g M T A g M D A g M z M v Q X V 0 b 1 J l b W 9 2 Z W R D b 2 x 1 b W 5 z M S 5 7 U 2 F s Y X J p b y w x M 3 0 m c X V v d D s s J n F 1 b 3 Q 7 U 2 V j d G l v b j E v c G x h e W V y c 1 8 x X z h f M j A y M i w g M T A g M D A g M z M v Q X V 0 b 1 J l b W 9 2 Z W R D b 2 x 1 b W 5 z M S 5 7 U 2 V t Y W 5 h c y B l b i B l b C B j b H V i L D E 0 f S Z x d W 9 0 O y w m c X V v d D t T Z W N 0 a W 9 u M S 9 w b G F 5 Z X J z X z F f O F 8 y M D I y L C A x M C A w M C A z M y 9 B d X R v U m V t b 3 Z l Z E N v b H V t b n M x L n t F e H B l c m l l b m N p Y S w x N X 0 m c X V v d D s s J n F 1 b 3 Q 7 U 2 V j d G l v b j E v c G x h e W V y c 1 8 x X z h f M j A y M i w g M T A g M D A g M z M v Q X V 0 b 1 J l b W 9 2 Z W R D b 2 x 1 b W 5 z M S 5 7 T G l k Z X J h e m d v L D E 2 f S Z x d W 9 0 O y w m c X V v d D t T Z W N 0 a W 9 u M S 9 w b G F 5 Z X J z X z F f O F 8 y M D I y L C A x M C A w M C A z M y 9 B d X R v U m V t b 3 Z l Z E N v b H V t b n M x L n t G a W R l b G l k Y W Q s M T d 9 J n F 1 b 3 Q 7 L C Z x d W 9 0 O 1 N l Y 3 R p b 2 4 x L 3 B s Y X l l c n N f M V 8 4 X z I w M j I s I D E w I D A w I D M z L 0 F 1 d G 9 S Z W 1 v d m V k Q 2 9 s d W 1 u c z E u e 0 Z v c m 1 h L D E 4 f S Z x d W 9 0 O y w m c X V v d D t T Z W N 0 a W 9 u M S 9 w b G F 5 Z X J z X z F f O F 8 y M D I y L C A x M C A w M C A z M y 9 B d X R v U m V t b 3 Z l Z E N v b H V t b n M x L n t S Z X N p c 3 R l b m N p Y S w x O X 0 m c X V v d D s s J n F 1 b 3 Q 7 U 2 V j d G l v b j E v c G x h e W V y c 1 8 x X z h f M j A y M i w g M T A g M D A g M z M v Q X V 0 b 1 J l b W 9 2 Z W R D b 2 x 1 b W 5 z M S 5 7 R m V j a G E g w 7 p s d G l t b y B w Y X J 0 a W R v L D I w f S Z x d W 9 0 O y w m c X V v d D t T Z W N 0 a W 9 u M S 9 w b G F 5 Z X J z X z F f O F 8 y M D I y L C A x M C A w M C A z M y 9 B d X R v U m V t b 3 Z l Z E N v b H V t b n M x L n t S Z W 5 k a W 1 p Z W 5 0 b y D D u m x 0 a W 1 v I H B h c n R p Z G 8 s M j F 9 J n F 1 b 3 Q 7 L C Z x d W 9 0 O 1 N l Y 3 R p b 2 4 x L 3 B s Y X l l c n N f M V 8 4 X z I w M j I s I D E w I D A w I D M z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F f O F 8 y M D I y J T J D J T I w M T A l M j A w M C U y M D M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w J T I w M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X z h f M j A y M i U y Q y U y M D E w J T I w M D A l M j A z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F f O F 8 y M D I y J T J D J T I w M T A l M j A w O C U y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c 1 8 x X z h f M j A y M l 9 f M T B f M D h f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F U M D g 6 M D g 6 M j I u M z c 5 N j E x N V o i I C 8 + P E V u d H J 5 I F R 5 c G U 9 I k Z p b G x D b 2 x 1 b W 5 U e X B l c y I g V m F s d W U 9 I n N C Z 0 1 H Q X d N R 0 F 3 W U d B d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F f O F 8 y M D I y L C A x M C A w O C A w N C 9 B d X R v U m V t b 3 Z l Z E N v b H V t b n M x L n t O Y W N p b 2 5 h b G l k Y W Q s M H 0 m c X V v d D s s J n F 1 b 3 Q 7 U 2 V j d G l v b j E v c G x h e W V y c 1 8 x X z h f M j A y M i w g M T A g M D g g M D Q v Q X V 0 b 1 J l b W 9 2 Z W R D b 2 x 1 b W 5 z M S 5 7 R G 9 y c 2 F s L D F 9 J n F 1 b 3 Q 7 L C Z x d W 9 0 O 1 N l Y 3 R p b 2 4 x L 3 B s Y X l l c n N f M V 8 4 X z I w M j I s I D E w I D A 4 I D A 0 L 0 F 1 d G 9 S Z W 1 v d m V k Q 2 9 s d W 1 u c z E u e 0 5 v b W J y Z S w y f S Z x d W 9 0 O y w m c X V v d D t T Z W N 0 a W 9 u M S 9 w b G F 5 Z X J z X z F f O F 8 y M D I y L C A x M C A w O C A w N C 9 B d X R v U m V t b 3 Z l Z E N v b H V t b n M x L n t J R C B k Z W w g a n V n Y W R v c i w z f S Z x d W 9 0 O y w m c X V v d D t T Z W N 0 a W 9 u M S 9 w b G F 5 Z X J z X z F f O F 8 y M D I y L C A x M C A w O C A w N C 9 B d X R v U m V t b 3 Z l Z E N v b H V t b n M x L n t F b n R y Z W 5 h Z G 9 y L D R 9 J n F 1 b 3 Q 7 L C Z x d W 9 0 O 1 N l Y 3 R p b 2 4 x L 3 B s Y X l l c n N f M V 8 4 X z I w M j I s I D E w I D A 4 I D A 0 L 0 F 1 d G 9 S Z W 1 v d m V k Q 2 9 s d W 1 u c z E u e 0 V z c G V j a W F s a W R h Z C w 1 f S Z x d W 9 0 O y w m c X V v d D t T Z W N 0 a W 9 u M S 9 w b G F 5 Z X J z X z F f O F 8 y M D I y L C A x M C A w O C A w N C 9 B d X R v U m V t b 3 Z l Z E N v b H V t b n M x L n t C b 2 5 p Z m l j Y W N p w 7 N u I H B v c i B j b H V i I G R l I G 9 y a W d l b i w 2 f S Z x d W 9 0 O y w m c X V v d D t T Z W N 0 a W 9 u M S 9 w b G F 5 Z X J z X z F f O F 8 y M D I y L C A x M C A w O C A w N C 9 B d X R v U m V t b 3 Z l Z E N v b H V t b n M x L n t M Z X N p b 2 5 l c y w 3 f S Z x d W 9 0 O y w m c X V v d D t T Z W N 0 a W 9 u M S 9 w b G F 5 Z X J z X z F f O F 8 y M D I y L C A x M C A w O C A w N C 9 B d X R v U m V t b 3 Z l Z E N v b H V t b n M x L n t B b W 9 u Z X N 0 Y W N p b 2 5 l c y w 4 f S Z x d W 9 0 O y w m c X V v d D t T Z W N 0 a W 9 u M S 9 w b G F 5 Z X J z X z F f O F 8 y M D I y L C A x M C A w O C A w N C 9 B d X R v U m V t b 3 Z l Z E N v b H V t b n M x L n t F b i B s Y S B s a X N 0 Y S B k Z S B 0 c m F u c 2 Z l c m V u Y 2 l h c y w 5 f S Z x d W 9 0 O y w m c X V v d D t T Z W N 0 a W 9 u M S 9 w b G F 5 Z X J z X z F f O F 8 y M D I y L C A x M C A w O C A w N C 9 B d X R v U m V t b 3 Z l Z E N v b H V t b n M x L n t F Z G F k L D E w f S Z x d W 9 0 O y w m c X V v d D t T Z W N 0 a W 9 u M S 9 w b G F 5 Z X J z X z F f O F 8 y M D I y L C A x M C A w O C A w N C 9 B d X R v U m V t b 3 Z l Z E N v b H V t b n M x L n t E w 6 1 h c y w x M X 0 m c X V v d D s s J n F 1 b 3 Q 7 U 2 V j d G l v b j E v c G x h e W V y c 1 8 x X z h f M j A y M i w g M T A g M D g g M D Q v Q X V 0 b 1 J l b W 9 2 Z W R D b 2 x 1 b W 5 z M S 5 7 V F N J L D E y f S Z x d W 9 0 O y w m c X V v d D t T Z W N 0 a W 9 u M S 9 w b G F 5 Z X J z X z F f O F 8 y M D I y L C A x M C A w O C A w N C 9 B d X R v U m V t b 3 Z l Z E N v b H V t b n M x L n t T Y W x h c m l v L D E z f S Z x d W 9 0 O y w m c X V v d D t T Z W N 0 a W 9 u M S 9 w b G F 5 Z X J z X z F f O F 8 y M D I y L C A x M C A w O C A w N C 9 B d X R v U m V t b 3 Z l Z E N v b H V t b n M x L n t T Z W 1 h b m F z I G V u I G V s I G N s d W I s M T R 9 J n F 1 b 3 Q 7 L C Z x d W 9 0 O 1 N l Y 3 R p b 2 4 x L 3 B s Y X l l c n N f M V 8 4 X z I w M j I s I D E w I D A 4 I D A 0 L 0 F 1 d G 9 S Z W 1 v d m V k Q 2 9 s d W 1 u c z E u e 0 V 4 c G V y a W V u Y 2 l h L D E 1 f S Z x d W 9 0 O y w m c X V v d D t T Z W N 0 a W 9 u M S 9 w b G F 5 Z X J z X z F f O F 8 y M D I y L C A x M C A w O C A w N C 9 B d X R v U m V t b 3 Z l Z E N v b H V t b n M x L n t M a W R l c m F 6 Z 2 8 s M T Z 9 J n F 1 b 3 Q 7 L C Z x d W 9 0 O 1 N l Y 3 R p b 2 4 x L 3 B s Y X l l c n N f M V 8 4 X z I w M j I s I D E w I D A 4 I D A 0 L 0 F 1 d G 9 S Z W 1 v d m V k Q 2 9 s d W 1 u c z E u e 0 Z p Z G V s a W R h Z C w x N 3 0 m c X V v d D s s J n F 1 b 3 Q 7 U 2 V j d G l v b j E v c G x h e W V y c 1 8 x X z h f M j A y M i w g M T A g M D g g M D Q v Q X V 0 b 1 J l b W 9 2 Z W R D b 2 x 1 b W 5 z M S 5 7 R m 9 y b W E s M T h 9 J n F 1 b 3 Q 7 L C Z x d W 9 0 O 1 N l Y 3 R p b 2 4 x L 3 B s Y X l l c n N f M V 8 4 X z I w M j I s I D E w I D A 4 I D A 0 L 0 F 1 d G 9 S Z W 1 v d m V k Q 2 9 s d W 1 u c z E u e 1 J l c 2 l z d G V u Y 2 l h L D E 5 f S Z x d W 9 0 O y w m c X V v d D t T Z W N 0 a W 9 u M S 9 w b G F 5 Z X J z X z F f O F 8 y M D I y L C A x M C A w O C A w N C 9 B d X R v U m V t b 3 Z l Z E N v b H V t b n M x L n t G Z W N o Y S D D u m x 0 a W 1 v I H B h c n R p Z G 8 s M j B 9 J n F 1 b 3 Q 7 L C Z x d W 9 0 O 1 N l Y 3 R p b 2 4 x L 3 B s Y X l l c n N f M V 8 4 X z I w M j I s I D E w I D A 4 I D A 0 L 0 F 1 d G 9 S Z W 1 v d m V k Q 2 9 s d W 1 u c z E u e 1 J l b m R p b W l l b n R v I M O 6 b H R p b W 8 g c G F y d G l k b y w y M X 0 m c X V v d D s s J n F 1 b 3 Q 7 U 2 V j d G l v b j E v c G x h e W V y c 1 8 x X z h f M j A y M i w g M T A g M D g g M D Q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V 8 4 X z I w M j I s I D E w I D A 4 I D A 0 L 0 F 1 d G 9 S Z W 1 v d m V k Q 2 9 s d W 1 u c z E u e 0 5 h Y 2 l v b m F s a W R h Z C w w f S Z x d W 9 0 O y w m c X V v d D t T Z W N 0 a W 9 u M S 9 w b G F 5 Z X J z X z F f O F 8 y M D I y L C A x M C A w O C A w N C 9 B d X R v U m V t b 3 Z l Z E N v b H V t b n M x L n t E b 3 J z Y W w s M X 0 m c X V v d D s s J n F 1 b 3 Q 7 U 2 V j d G l v b j E v c G x h e W V y c 1 8 x X z h f M j A y M i w g M T A g M D g g M D Q v Q X V 0 b 1 J l b W 9 2 Z W R D b 2 x 1 b W 5 z M S 5 7 T m 9 t Y n J l L D J 9 J n F 1 b 3 Q 7 L C Z x d W 9 0 O 1 N l Y 3 R p b 2 4 x L 3 B s Y X l l c n N f M V 8 4 X z I w M j I s I D E w I D A 4 I D A 0 L 0 F 1 d G 9 S Z W 1 v d m V k Q 2 9 s d W 1 u c z E u e 0 l E I G R l b C B q d W d h Z G 9 y L D N 9 J n F 1 b 3 Q 7 L C Z x d W 9 0 O 1 N l Y 3 R p b 2 4 x L 3 B s Y X l l c n N f M V 8 4 X z I w M j I s I D E w I D A 4 I D A 0 L 0 F 1 d G 9 S Z W 1 v d m V k Q 2 9 s d W 1 u c z E u e 0 V u d H J l b m F k b 3 I s N H 0 m c X V v d D s s J n F 1 b 3 Q 7 U 2 V j d G l v b j E v c G x h e W V y c 1 8 x X z h f M j A y M i w g M T A g M D g g M D Q v Q X V 0 b 1 J l b W 9 2 Z W R D b 2 x 1 b W 5 z M S 5 7 R X N w Z W N p Y W x p Z G F k L D V 9 J n F 1 b 3 Q 7 L C Z x d W 9 0 O 1 N l Y 3 R p b 2 4 x L 3 B s Y X l l c n N f M V 8 4 X z I w M j I s I D E w I D A 4 I D A 0 L 0 F 1 d G 9 S Z W 1 v d m V k Q 2 9 s d W 1 u c z E u e 0 J v b m l m a W N h Y 2 n D s 2 4 g c G 9 y I G N s d W I g Z G U g b 3 J p Z 2 V u L D Z 9 J n F 1 b 3 Q 7 L C Z x d W 9 0 O 1 N l Y 3 R p b 2 4 x L 3 B s Y X l l c n N f M V 8 4 X z I w M j I s I D E w I D A 4 I D A 0 L 0 F 1 d G 9 S Z W 1 v d m V k Q 2 9 s d W 1 u c z E u e 0 x l c 2 l v b m V z L D d 9 J n F 1 b 3 Q 7 L C Z x d W 9 0 O 1 N l Y 3 R p b 2 4 x L 3 B s Y X l l c n N f M V 8 4 X z I w M j I s I D E w I D A 4 I D A 0 L 0 F 1 d G 9 S Z W 1 v d m V k Q 2 9 s d W 1 u c z E u e 0 F t b 2 5 l c 3 R h Y 2 l v b m V z L D h 9 J n F 1 b 3 Q 7 L C Z x d W 9 0 O 1 N l Y 3 R p b 2 4 x L 3 B s Y X l l c n N f M V 8 4 X z I w M j I s I D E w I D A 4 I D A 0 L 0 F 1 d G 9 S Z W 1 v d m V k Q 2 9 s d W 1 u c z E u e 0 V u I G x h I G x p c 3 R h I G R l I H R y Y W 5 z Z m V y Z W 5 j a W F z L D l 9 J n F 1 b 3 Q 7 L C Z x d W 9 0 O 1 N l Y 3 R p b 2 4 x L 3 B s Y X l l c n N f M V 8 4 X z I w M j I s I D E w I D A 4 I D A 0 L 0 F 1 d G 9 S Z W 1 v d m V k Q 2 9 s d W 1 u c z E u e 0 V k Y W Q s M T B 9 J n F 1 b 3 Q 7 L C Z x d W 9 0 O 1 N l Y 3 R p b 2 4 x L 3 B s Y X l l c n N f M V 8 4 X z I w M j I s I D E w I D A 4 I D A 0 L 0 F 1 d G 9 S Z W 1 v d m V k Q 2 9 s d W 1 u c z E u e 0 T D r W F z L D E x f S Z x d W 9 0 O y w m c X V v d D t T Z W N 0 a W 9 u M S 9 w b G F 5 Z X J z X z F f O F 8 y M D I y L C A x M C A w O C A w N C 9 B d X R v U m V t b 3 Z l Z E N v b H V t b n M x L n t U U 0 k s M T J 9 J n F 1 b 3 Q 7 L C Z x d W 9 0 O 1 N l Y 3 R p b 2 4 x L 3 B s Y X l l c n N f M V 8 4 X z I w M j I s I D E w I D A 4 I D A 0 L 0 F 1 d G 9 S Z W 1 v d m V k Q 2 9 s d W 1 u c z E u e 1 N h b G F y a W 8 s M T N 9 J n F 1 b 3 Q 7 L C Z x d W 9 0 O 1 N l Y 3 R p b 2 4 x L 3 B s Y X l l c n N f M V 8 4 X z I w M j I s I D E w I D A 4 I D A 0 L 0 F 1 d G 9 S Z W 1 v d m V k Q 2 9 s d W 1 u c z E u e 1 N l b W F u Y X M g Z W 4 g Z W w g Y 2 x 1 Y i w x N H 0 m c X V v d D s s J n F 1 b 3 Q 7 U 2 V j d G l v b j E v c G x h e W V y c 1 8 x X z h f M j A y M i w g M T A g M D g g M D Q v Q X V 0 b 1 J l b W 9 2 Z W R D b 2 x 1 b W 5 z M S 5 7 R X h w Z X J p Z W 5 j a W E s M T V 9 J n F 1 b 3 Q 7 L C Z x d W 9 0 O 1 N l Y 3 R p b 2 4 x L 3 B s Y X l l c n N f M V 8 4 X z I w M j I s I D E w I D A 4 I D A 0 L 0 F 1 d G 9 S Z W 1 v d m V k Q 2 9 s d W 1 u c z E u e 0 x p Z G V y Y X p n b y w x N n 0 m c X V v d D s s J n F 1 b 3 Q 7 U 2 V j d G l v b j E v c G x h e W V y c 1 8 x X z h f M j A y M i w g M T A g M D g g M D Q v Q X V 0 b 1 J l b W 9 2 Z W R D b 2 x 1 b W 5 z M S 5 7 R m l k Z W x p Z G F k L D E 3 f S Z x d W 9 0 O y w m c X V v d D t T Z W N 0 a W 9 u M S 9 w b G F 5 Z X J z X z F f O F 8 y M D I y L C A x M C A w O C A w N C 9 B d X R v U m V t b 3 Z l Z E N v b H V t b n M x L n t G b 3 J t Y S w x O H 0 m c X V v d D s s J n F 1 b 3 Q 7 U 2 V j d G l v b j E v c G x h e W V y c 1 8 x X z h f M j A y M i w g M T A g M D g g M D Q v Q X V 0 b 1 J l b W 9 2 Z W R D b 2 x 1 b W 5 z M S 5 7 U m V z a X N 0 Z W 5 j a W E s M T l 9 J n F 1 b 3 Q 7 L C Z x d W 9 0 O 1 N l Y 3 R p b 2 4 x L 3 B s Y X l l c n N f M V 8 4 X z I w M j I s I D E w I D A 4 I D A 0 L 0 F 1 d G 9 S Z W 1 v d m V k Q 2 9 s d W 1 u c z E u e 0 Z l Y 2 h h I M O 6 b H R p b W 8 g c G F y d G l k b y w y M H 0 m c X V v d D s s J n F 1 b 3 Q 7 U 2 V j d G l v b j E v c G x h e W V y c 1 8 x X z h f M j A y M i w g M T A g M D g g M D Q v Q X V 0 b 1 J l b W 9 2 Z W R D b 2 x 1 b W 5 z M S 5 7 U m V u Z G l t a W V u d G 8 g w 7 p s d G l t b y B w Y X J 0 a W R v L D I x f S Z x d W 9 0 O y w m c X V v d D t T Z W N 0 a W 9 u M S 9 w b G F 5 Z X J z X z F f O F 8 y M D I y L C A x M C A w O C A w N C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X z h f M j A y M i U y Q y U y M D E w J T I w M D g l M j A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F f O F 8 y M D I y J T J D J T I w M T A l M j A w O C U y M D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4 J T I w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1 X z h f M j A y M i U y Q y U y M D E w J T I w M j c l M j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4 O j I 3 O j U w L j I 4 O D g 1 N z R a I i A v P j x F b n R y e S B U e X B l P S J G a W x s Q 2 9 s d W 1 u V H l w Z X M i I F Z h b H V l P S J z Q m d N R 0 F 3 T U d B d 1 l E Q m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1 X z h f M j A y M i w g M T A g M j c g M D I v Q X V 0 b 1 J l b W 9 2 Z W R D b 2 x 1 b W 5 z M S 5 7 T m F j a W 9 u Y W x p Z G F k L D B 9 J n F 1 b 3 Q 7 L C Z x d W 9 0 O 1 N l Y 3 R p b 2 4 x L 3 B s Y X l l c n N f N V 8 4 X z I w M j I s I D E w I D I 3 I D A y L 0 F 1 d G 9 S Z W 1 v d m V k Q 2 9 s d W 1 u c z E u e 0 R v c n N h b C w x f S Z x d W 9 0 O y w m c X V v d D t T Z W N 0 a W 9 u M S 9 w b G F 5 Z X J z X z V f O F 8 y M D I y L C A x M C A y N y A w M i 9 B d X R v U m V t b 3 Z l Z E N v b H V t b n M x L n t O b 2 1 i c m U s M n 0 m c X V v d D s s J n F 1 b 3 Q 7 U 2 V j d G l v b j E v c G x h e W V y c 1 8 1 X z h f M j A y M i w g M T A g M j c g M D I v Q X V 0 b 1 J l b W 9 2 Z W R D b 2 x 1 b W 5 z M S 5 7 S U Q g Z G V s I G p 1 Z 2 F k b 3 I s M 3 0 m c X V v d D s s J n F 1 b 3 Q 7 U 2 V j d G l v b j E v c G x h e W V y c 1 8 1 X z h f M j A y M i w g M T A g M j c g M D I v Q X V 0 b 1 J l b W 9 2 Z W R D b 2 x 1 b W 5 z M S 5 7 R W 5 0 c m V u Y W R v c i w 0 f S Z x d W 9 0 O y w m c X V v d D t T Z W N 0 a W 9 u M S 9 w b G F 5 Z X J z X z V f O F 8 y M D I y L C A x M C A y N y A w M i 9 B d X R v U m V t b 3 Z l Z E N v b H V t b n M x L n t F c 3 B l Y 2 l h b G l k Y W Q s N X 0 m c X V v d D s s J n F 1 b 3 Q 7 U 2 V j d G l v b j E v c G x h e W V y c 1 8 1 X z h f M j A y M i w g M T A g M j c g M D I v Q X V 0 b 1 J l b W 9 2 Z W R D b 2 x 1 b W 5 z M S 5 7 Q m 9 u a W Z p Y 2 F j a c O z b i B w b 3 I g Y 2 x 1 Y i B k Z S B v c m l n Z W 4 s N n 0 m c X V v d D s s J n F 1 b 3 Q 7 U 2 V j d G l v b j E v c G x h e W V y c 1 8 1 X z h f M j A y M i w g M T A g M j c g M D I v Q X V 0 b 1 J l b W 9 2 Z W R D b 2 x 1 b W 5 z M S 5 7 T G V z a W 9 u Z X M s N 3 0 m c X V v d D s s J n F 1 b 3 Q 7 U 2 V j d G l v b j E v c G x h e W V y c 1 8 1 X z h f M j A y M i w g M T A g M j c g M D I v Q X V 0 b 1 J l b W 9 2 Z W R D b 2 x 1 b W 5 z M S 5 7 Q W 1 v b m V z d G F j a W 9 u Z X M s O H 0 m c X V v d D s s J n F 1 b 3 Q 7 U 2 V j d G l v b j E v c G x h e W V y c 1 8 1 X z h f M j A y M i w g M T A g M j c g M D I v Q X V 0 b 1 J l b W 9 2 Z W R D b 2 x 1 b W 5 z M S 5 7 R W 4 g b G E g b G l z d G E g Z G U g d H J h b n N m Z X J l b m N p Y X M s O X 0 m c X V v d D s s J n F 1 b 3 Q 7 U 2 V j d G l v b j E v c G x h e W V y c 1 8 1 X z h f M j A y M i w g M T A g M j c g M D I v Q X V 0 b 1 J l b W 9 2 Z W R D b 2 x 1 b W 5 z M S 5 7 R W R h Z C w x M H 0 m c X V v d D s s J n F 1 b 3 Q 7 U 2 V j d G l v b j E v c G x h e W V y c 1 8 1 X z h f M j A y M i w g M T A g M j c g M D I v Q X V 0 b 1 J l b W 9 2 Z W R D b 2 x 1 b W 5 z M S 5 7 R M O t Y X M s M T F 9 J n F 1 b 3 Q 7 L C Z x d W 9 0 O 1 N l Y 3 R p b 2 4 x L 3 B s Y X l l c n N f N V 8 4 X z I w M j I s I D E w I D I 3 I D A y L 0 F 1 d G 9 S Z W 1 v d m V k Q 2 9 s d W 1 u c z E u e 1 R T S S w x M n 0 m c X V v d D s s J n F 1 b 3 Q 7 U 2 V j d G l v b j E v c G x h e W V y c 1 8 1 X z h f M j A y M i w g M T A g M j c g M D I v Q X V 0 b 1 J l b W 9 2 Z W R D b 2 x 1 b W 5 z M S 5 7 U 2 F s Y X J p b y w x M 3 0 m c X V v d D s s J n F 1 b 3 Q 7 U 2 V j d G l v b j E v c G x h e W V y c 1 8 1 X z h f M j A y M i w g M T A g M j c g M D I v Q X V 0 b 1 J l b W 9 2 Z W R D b 2 x 1 b W 5 z M S 5 7 U 2 V t Y W 5 h c y B l b i B l b C B j b H V i L D E 0 f S Z x d W 9 0 O y w m c X V v d D t T Z W N 0 a W 9 u M S 9 w b G F 5 Z X J z X z V f O F 8 y M D I y L C A x M C A y N y A w M i 9 B d X R v U m V t b 3 Z l Z E N v b H V t b n M x L n t F e H B l c m l l b m N p Y S w x N X 0 m c X V v d D s s J n F 1 b 3 Q 7 U 2 V j d G l v b j E v c G x h e W V y c 1 8 1 X z h f M j A y M i w g M T A g M j c g M D I v Q X V 0 b 1 J l b W 9 2 Z W R D b 2 x 1 b W 5 z M S 5 7 T G l k Z X J h e m d v L D E 2 f S Z x d W 9 0 O y w m c X V v d D t T Z W N 0 a W 9 u M S 9 w b G F 5 Z X J z X z V f O F 8 y M D I y L C A x M C A y N y A w M i 9 B d X R v U m V t b 3 Z l Z E N v b H V t b n M x L n t G a W R l b G l k Y W Q s M T d 9 J n F 1 b 3 Q 7 L C Z x d W 9 0 O 1 N l Y 3 R p b 2 4 x L 3 B s Y X l l c n N f N V 8 4 X z I w M j I s I D E w I D I 3 I D A y L 0 F 1 d G 9 S Z W 1 v d m V k Q 2 9 s d W 1 u c z E u e 0 Z v c m 1 h L D E 4 f S Z x d W 9 0 O y w m c X V v d D t T Z W N 0 a W 9 u M S 9 w b G F 5 Z X J z X z V f O F 8 y M D I y L C A x M C A y N y A w M i 9 B d X R v U m V t b 3 Z l Z E N v b H V t b n M x L n t S Z X N p c 3 R l b m N p Y S w x O X 0 m c X V v d D s s J n F 1 b 3 Q 7 U 2 V j d G l v b j E v c G x h e W V y c 1 8 1 X z h f M j A y M i w g M T A g M j c g M D I v Q X V 0 b 1 J l b W 9 2 Z W R D b 2 x 1 b W 5 z M S 5 7 R m V j a G E g w 7 p s d G l t b y B w Y X J 0 a W R v L D I w f S Z x d W 9 0 O y w m c X V v d D t T Z W N 0 a W 9 u M S 9 w b G F 5 Z X J z X z V f O F 8 y M D I y L C A x M C A y N y A w M i 9 B d X R v U m V t b 3 Z l Z E N v b H V t b n M x L n t S Z W 5 k a W 1 p Z W 5 0 b y D D u m x 0 a W 1 v I H B h c n R p Z G 8 s M j F 9 J n F 1 b 3 Q 7 L C Z x d W 9 0 O 1 N l Y 3 R p b 2 4 x L 3 B s Y X l l c n N f N V 8 4 X z I w M j I s I D E w I D I 3 I D A y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V f O F 8 y M D I y L C A x M C A y N y A w M i 9 B d X R v U m V t b 3 Z l Z E N v b H V t b n M x L n t O Y W N p b 2 5 h b G l k Y W Q s M H 0 m c X V v d D s s J n F 1 b 3 Q 7 U 2 V j d G l v b j E v c G x h e W V y c 1 8 1 X z h f M j A y M i w g M T A g M j c g M D I v Q X V 0 b 1 J l b W 9 2 Z W R D b 2 x 1 b W 5 z M S 5 7 R G 9 y c 2 F s L D F 9 J n F 1 b 3 Q 7 L C Z x d W 9 0 O 1 N l Y 3 R p b 2 4 x L 3 B s Y X l l c n N f N V 8 4 X z I w M j I s I D E w I D I 3 I D A y L 0 F 1 d G 9 S Z W 1 v d m V k Q 2 9 s d W 1 u c z E u e 0 5 v b W J y Z S w y f S Z x d W 9 0 O y w m c X V v d D t T Z W N 0 a W 9 u M S 9 w b G F 5 Z X J z X z V f O F 8 y M D I y L C A x M C A y N y A w M i 9 B d X R v U m V t b 3 Z l Z E N v b H V t b n M x L n t J R C B k Z W w g a n V n Y W R v c i w z f S Z x d W 9 0 O y w m c X V v d D t T Z W N 0 a W 9 u M S 9 w b G F 5 Z X J z X z V f O F 8 y M D I y L C A x M C A y N y A w M i 9 B d X R v U m V t b 3 Z l Z E N v b H V t b n M x L n t F b n R y Z W 5 h Z G 9 y L D R 9 J n F 1 b 3 Q 7 L C Z x d W 9 0 O 1 N l Y 3 R p b 2 4 x L 3 B s Y X l l c n N f N V 8 4 X z I w M j I s I D E w I D I 3 I D A y L 0 F 1 d G 9 S Z W 1 v d m V k Q 2 9 s d W 1 u c z E u e 0 V z c G V j a W F s a W R h Z C w 1 f S Z x d W 9 0 O y w m c X V v d D t T Z W N 0 a W 9 u M S 9 w b G F 5 Z X J z X z V f O F 8 y M D I y L C A x M C A y N y A w M i 9 B d X R v U m V t b 3 Z l Z E N v b H V t b n M x L n t C b 2 5 p Z m l j Y W N p w 7 N u I H B v c i B j b H V i I G R l I G 9 y a W d l b i w 2 f S Z x d W 9 0 O y w m c X V v d D t T Z W N 0 a W 9 u M S 9 w b G F 5 Z X J z X z V f O F 8 y M D I y L C A x M C A y N y A w M i 9 B d X R v U m V t b 3 Z l Z E N v b H V t b n M x L n t M Z X N p b 2 5 l c y w 3 f S Z x d W 9 0 O y w m c X V v d D t T Z W N 0 a W 9 u M S 9 w b G F 5 Z X J z X z V f O F 8 y M D I y L C A x M C A y N y A w M i 9 B d X R v U m V t b 3 Z l Z E N v b H V t b n M x L n t B b W 9 u Z X N 0 Y W N p b 2 5 l c y w 4 f S Z x d W 9 0 O y w m c X V v d D t T Z W N 0 a W 9 u M S 9 w b G F 5 Z X J z X z V f O F 8 y M D I y L C A x M C A y N y A w M i 9 B d X R v U m V t b 3 Z l Z E N v b H V t b n M x L n t F b i B s Y S B s a X N 0 Y S B k Z S B 0 c m F u c 2 Z l c m V u Y 2 l h c y w 5 f S Z x d W 9 0 O y w m c X V v d D t T Z W N 0 a W 9 u M S 9 w b G F 5 Z X J z X z V f O F 8 y M D I y L C A x M C A y N y A w M i 9 B d X R v U m V t b 3 Z l Z E N v b H V t b n M x L n t F Z G F k L D E w f S Z x d W 9 0 O y w m c X V v d D t T Z W N 0 a W 9 u M S 9 w b G F 5 Z X J z X z V f O F 8 y M D I y L C A x M C A y N y A w M i 9 B d X R v U m V t b 3 Z l Z E N v b H V t b n M x L n t E w 6 1 h c y w x M X 0 m c X V v d D s s J n F 1 b 3 Q 7 U 2 V j d G l v b j E v c G x h e W V y c 1 8 1 X z h f M j A y M i w g M T A g M j c g M D I v Q X V 0 b 1 J l b W 9 2 Z W R D b 2 x 1 b W 5 z M S 5 7 V F N J L D E y f S Z x d W 9 0 O y w m c X V v d D t T Z W N 0 a W 9 u M S 9 w b G F 5 Z X J z X z V f O F 8 y M D I y L C A x M C A y N y A w M i 9 B d X R v U m V t b 3 Z l Z E N v b H V t b n M x L n t T Y W x h c m l v L D E z f S Z x d W 9 0 O y w m c X V v d D t T Z W N 0 a W 9 u M S 9 w b G F 5 Z X J z X z V f O F 8 y M D I y L C A x M C A y N y A w M i 9 B d X R v U m V t b 3 Z l Z E N v b H V t b n M x L n t T Z W 1 h b m F z I G V u I G V s I G N s d W I s M T R 9 J n F 1 b 3 Q 7 L C Z x d W 9 0 O 1 N l Y 3 R p b 2 4 x L 3 B s Y X l l c n N f N V 8 4 X z I w M j I s I D E w I D I 3 I D A y L 0 F 1 d G 9 S Z W 1 v d m V k Q 2 9 s d W 1 u c z E u e 0 V 4 c G V y a W V u Y 2 l h L D E 1 f S Z x d W 9 0 O y w m c X V v d D t T Z W N 0 a W 9 u M S 9 w b G F 5 Z X J z X z V f O F 8 y M D I y L C A x M C A y N y A w M i 9 B d X R v U m V t b 3 Z l Z E N v b H V t b n M x L n t M a W R l c m F 6 Z 2 8 s M T Z 9 J n F 1 b 3 Q 7 L C Z x d W 9 0 O 1 N l Y 3 R p b 2 4 x L 3 B s Y X l l c n N f N V 8 4 X z I w M j I s I D E w I D I 3 I D A y L 0 F 1 d G 9 S Z W 1 v d m V k Q 2 9 s d W 1 u c z E u e 0 Z p Z G V s a W R h Z C w x N 3 0 m c X V v d D s s J n F 1 b 3 Q 7 U 2 V j d G l v b j E v c G x h e W V y c 1 8 1 X z h f M j A y M i w g M T A g M j c g M D I v Q X V 0 b 1 J l b W 9 2 Z W R D b 2 x 1 b W 5 z M S 5 7 R m 9 y b W E s M T h 9 J n F 1 b 3 Q 7 L C Z x d W 9 0 O 1 N l Y 3 R p b 2 4 x L 3 B s Y X l l c n N f N V 8 4 X z I w M j I s I D E w I D I 3 I D A y L 0 F 1 d G 9 S Z W 1 v d m V k Q 2 9 s d W 1 u c z E u e 1 J l c 2 l z d G V u Y 2 l h L D E 5 f S Z x d W 9 0 O y w m c X V v d D t T Z W N 0 a W 9 u M S 9 w b G F 5 Z X J z X z V f O F 8 y M D I y L C A x M C A y N y A w M i 9 B d X R v U m V t b 3 Z l Z E N v b H V t b n M x L n t G Z W N o Y S D D u m x 0 a W 1 v I H B h c n R p Z G 8 s M j B 9 J n F 1 b 3 Q 7 L C Z x d W 9 0 O 1 N l Y 3 R p b 2 4 x L 3 B s Y X l l c n N f N V 8 4 X z I w M j I s I D E w I D I 3 I D A y L 0 F 1 d G 9 S Z W 1 v d m V k Q 2 9 s d W 1 u c z E u e 1 J l b m R p b W l l b n R v I M O 6 b H R p b W 8 g c G F y d G l k b y w y M X 0 m c X V v d D s s J n F 1 b 3 Q 7 U 2 V j d G l v b j E v c G x h e W V y c 1 8 1 X z h f M j A y M i w g M T A g M j c g M D I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N V 8 4 X z I w M j I l M k M l M j A x M C U y M D I 3 J T I w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1 X z h f M j A y M i U y Q y U y M D E w J T I w M j c l M j A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V f O F 8 y M D I y J T J D J T I w M T A l M j A y N y U y M D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O F 8 4 X z I w M j I l M k M l M j A x M S U y M D Q 5 J T I w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w O T o 1 M D o w M i 4 z M z U 3 N D Y z W i I g L z 4 8 R W 5 0 c n k g V H l w Z T 0 i R m l s b E N v b H V t b l R 5 c G V z I i B W Y W x 1 Z T 0 i c 0 J n T U d B d 0 1 H Q X d N R 0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O F 8 4 X z I w M j I s I D E x I D Q 5 I D M 3 L 0 F 1 d G 9 S Z W 1 v d m V k Q 2 9 s d W 1 u c z E u e 0 5 h Y 2 l v b m F s a W R h Z C w w f S Z x d W 9 0 O y w m c X V v d D t T Z W N 0 a W 9 u M S 9 w b G F 5 Z X J z X z h f O F 8 y M D I y L C A x M S A 0 O S A z N y 9 B d X R v U m V t b 3 Z l Z E N v b H V t b n M x L n t E b 3 J z Y W w s M X 0 m c X V v d D s s J n F 1 b 3 Q 7 U 2 V j d G l v b j E v c G x h e W V y c 1 8 4 X z h f M j A y M i w g M T E g N D k g M z c v Q X V 0 b 1 J l b W 9 2 Z W R D b 2 x 1 b W 5 z M S 5 7 T m 9 t Y n J l L D J 9 J n F 1 b 3 Q 7 L C Z x d W 9 0 O 1 N l Y 3 R p b 2 4 x L 3 B s Y X l l c n N f O F 8 4 X z I w M j I s I D E x I D Q 5 I D M 3 L 0 F 1 d G 9 S Z W 1 v d m V k Q 2 9 s d W 1 u c z E u e 0 l E I G R l b C B q d W d h Z G 9 y L D N 9 J n F 1 b 3 Q 7 L C Z x d W 9 0 O 1 N l Y 3 R p b 2 4 x L 3 B s Y X l l c n N f O F 8 4 X z I w M j I s I D E x I D Q 5 I D M 3 L 0 F 1 d G 9 S Z W 1 v d m V k Q 2 9 s d W 1 u c z E u e 0 V u d H J l b m F k b 3 I s N H 0 m c X V v d D s s J n F 1 b 3 Q 7 U 2 V j d G l v b j E v c G x h e W V y c 1 8 4 X z h f M j A y M i w g M T E g N D k g M z c v Q X V 0 b 1 J l b W 9 2 Z W R D b 2 x 1 b W 5 z M S 5 7 R X N w Z W N p Y W x p Z G F k L D V 9 J n F 1 b 3 Q 7 L C Z x d W 9 0 O 1 N l Y 3 R p b 2 4 x L 3 B s Y X l l c n N f O F 8 4 X z I w M j I s I D E x I D Q 5 I D M 3 L 0 F 1 d G 9 S Z W 1 v d m V k Q 2 9 s d W 1 u c z E u e 0 J v b m l m a W N h Y 2 n D s 2 4 g c G 9 y I G N s d W I g Z G U g b 3 J p Z 2 V u L D Z 9 J n F 1 b 3 Q 7 L C Z x d W 9 0 O 1 N l Y 3 R p b 2 4 x L 3 B s Y X l l c n N f O F 8 4 X z I w M j I s I D E x I D Q 5 I D M 3 L 0 F 1 d G 9 S Z W 1 v d m V k Q 2 9 s d W 1 u c z E u e 0 x l c 2 l v b m V z L D d 9 J n F 1 b 3 Q 7 L C Z x d W 9 0 O 1 N l Y 3 R p b 2 4 x L 3 B s Y X l l c n N f O F 8 4 X z I w M j I s I D E x I D Q 5 I D M 3 L 0 F 1 d G 9 S Z W 1 v d m V k Q 2 9 s d W 1 u c z E u e 0 F t b 2 5 l c 3 R h Y 2 l v b m V z L D h 9 J n F 1 b 3 Q 7 L C Z x d W 9 0 O 1 N l Y 3 R p b 2 4 x L 3 B s Y X l l c n N f O F 8 4 X z I w M j I s I D E x I D Q 5 I D M 3 L 0 F 1 d G 9 S Z W 1 v d m V k Q 2 9 s d W 1 u c z E u e 0 V u I G x h I G x p c 3 R h I G R l I H R y Y W 5 z Z m V y Z W 5 j a W F z L D l 9 J n F 1 b 3 Q 7 L C Z x d W 9 0 O 1 N l Y 3 R p b 2 4 x L 3 B s Y X l l c n N f O F 8 4 X z I w M j I s I D E x I D Q 5 I D M 3 L 0 F 1 d G 9 S Z W 1 v d m V k Q 2 9 s d W 1 u c z E u e 0 V k Y W Q s M T B 9 J n F 1 b 3 Q 7 L C Z x d W 9 0 O 1 N l Y 3 R p b 2 4 x L 3 B s Y X l l c n N f O F 8 4 X z I w M j I s I D E x I D Q 5 I D M 3 L 0 F 1 d G 9 S Z W 1 v d m V k Q 2 9 s d W 1 u c z E u e 0 T D r W F z L D E x f S Z x d W 9 0 O y w m c X V v d D t T Z W N 0 a W 9 u M S 9 w b G F 5 Z X J z X z h f O F 8 y M D I y L C A x M S A 0 O S A z N y 9 B d X R v U m V t b 3 Z l Z E N v b H V t b n M x L n t U U 0 k s M T J 9 J n F 1 b 3 Q 7 L C Z x d W 9 0 O 1 N l Y 3 R p b 2 4 x L 3 B s Y X l l c n N f O F 8 4 X z I w M j I s I D E x I D Q 5 I D M 3 L 0 F 1 d G 9 S Z W 1 v d m V k Q 2 9 s d W 1 u c z E u e 1 N h b G F y a W 8 s M T N 9 J n F 1 b 3 Q 7 L C Z x d W 9 0 O 1 N l Y 3 R p b 2 4 x L 3 B s Y X l l c n N f O F 8 4 X z I w M j I s I D E x I D Q 5 I D M 3 L 0 F 1 d G 9 S Z W 1 v d m V k Q 2 9 s d W 1 u c z E u e 1 N l b W F u Y X M g Z W 4 g Z W w g Y 2 x 1 Y i w x N H 0 m c X V v d D s s J n F 1 b 3 Q 7 U 2 V j d G l v b j E v c G x h e W V y c 1 8 4 X z h f M j A y M i w g M T E g N D k g M z c v Q X V 0 b 1 J l b W 9 2 Z W R D b 2 x 1 b W 5 z M S 5 7 R X h w Z X J p Z W 5 j a W E s M T V 9 J n F 1 b 3 Q 7 L C Z x d W 9 0 O 1 N l Y 3 R p b 2 4 x L 3 B s Y X l l c n N f O F 8 4 X z I w M j I s I D E x I D Q 5 I D M 3 L 0 F 1 d G 9 S Z W 1 v d m V k Q 2 9 s d W 1 u c z E u e 0 x p Z G V y Y X p n b y w x N n 0 m c X V v d D s s J n F 1 b 3 Q 7 U 2 V j d G l v b j E v c G x h e W V y c 1 8 4 X z h f M j A y M i w g M T E g N D k g M z c v Q X V 0 b 1 J l b W 9 2 Z W R D b 2 x 1 b W 5 z M S 5 7 R m l k Z W x p Z G F k L D E 3 f S Z x d W 9 0 O y w m c X V v d D t T Z W N 0 a W 9 u M S 9 w b G F 5 Z X J z X z h f O F 8 y M D I y L C A x M S A 0 O S A z N y 9 B d X R v U m V t b 3 Z l Z E N v b H V t b n M x L n t G b 3 J t Y S w x O H 0 m c X V v d D s s J n F 1 b 3 Q 7 U 2 V j d G l v b j E v c G x h e W V y c 1 8 4 X z h f M j A y M i w g M T E g N D k g M z c v Q X V 0 b 1 J l b W 9 2 Z W R D b 2 x 1 b W 5 z M S 5 7 U m V z a X N 0 Z W 5 j a W E s M T l 9 J n F 1 b 3 Q 7 L C Z x d W 9 0 O 1 N l Y 3 R p b 2 4 x L 3 B s Y X l l c n N f O F 8 4 X z I w M j I s I D E x I D Q 5 I D M 3 L 0 F 1 d G 9 S Z W 1 v d m V k Q 2 9 s d W 1 u c z E u e 0 Z l Y 2 h h I M O 6 b H R p b W 8 g c G F y d G l k b y w y M H 0 m c X V v d D s s J n F 1 b 3 Q 7 U 2 V j d G l v b j E v c G x h e W V y c 1 8 4 X z h f M j A y M i w g M T E g N D k g M z c v Q X V 0 b 1 J l b W 9 2 Z W R D b 2 x 1 b W 5 z M S 5 7 U m V u Z G l t a W V u d G 8 g w 7 p s d G l t b y B w Y X J 0 a W R v L D I x f S Z x d W 9 0 O y w m c X V v d D t T Z W N 0 a W 9 u M S 9 w b G F 5 Z X J z X z h f O F 8 y M D I y L C A x M S A 0 O S A z N y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4 X z h f M j A y M i w g M T E g N D k g M z c v Q X V 0 b 1 J l b W 9 2 Z W R D b 2 x 1 b W 5 z M S 5 7 T m F j a W 9 u Y W x p Z G F k L D B 9 J n F 1 b 3 Q 7 L C Z x d W 9 0 O 1 N l Y 3 R p b 2 4 x L 3 B s Y X l l c n N f O F 8 4 X z I w M j I s I D E x I D Q 5 I D M 3 L 0 F 1 d G 9 S Z W 1 v d m V k Q 2 9 s d W 1 u c z E u e 0 R v c n N h b C w x f S Z x d W 9 0 O y w m c X V v d D t T Z W N 0 a W 9 u M S 9 w b G F 5 Z X J z X z h f O F 8 y M D I y L C A x M S A 0 O S A z N y 9 B d X R v U m V t b 3 Z l Z E N v b H V t b n M x L n t O b 2 1 i c m U s M n 0 m c X V v d D s s J n F 1 b 3 Q 7 U 2 V j d G l v b j E v c G x h e W V y c 1 8 4 X z h f M j A y M i w g M T E g N D k g M z c v Q X V 0 b 1 J l b W 9 2 Z W R D b 2 x 1 b W 5 z M S 5 7 S U Q g Z G V s I G p 1 Z 2 F k b 3 I s M 3 0 m c X V v d D s s J n F 1 b 3 Q 7 U 2 V j d G l v b j E v c G x h e W V y c 1 8 4 X z h f M j A y M i w g M T E g N D k g M z c v Q X V 0 b 1 J l b W 9 2 Z W R D b 2 x 1 b W 5 z M S 5 7 R W 5 0 c m V u Y W R v c i w 0 f S Z x d W 9 0 O y w m c X V v d D t T Z W N 0 a W 9 u M S 9 w b G F 5 Z X J z X z h f O F 8 y M D I y L C A x M S A 0 O S A z N y 9 B d X R v U m V t b 3 Z l Z E N v b H V t b n M x L n t F c 3 B l Y 2 l h b G l k Y W Q s N X 0 m c X V v d D s s J n F 1 b 3 Q 7 U 2 V j d G l v b j E v c G x h e W V y c 1 8 4 X z h f M j A y M i w g M T E g N D k g M z c v Q X V 0 b 1 J l b W 9 2 Z W R D b 2 x 1 b W 5 z M S 5 7 Q m 9 u a W Z p Y 2 F j a c O z b i B w b 3 I g Y 2 x 1 Y i B k Z S B v c m l n Z W 4 s N n 0 m c X V v d D s s J n F 1 b 3 Q 7 U 2 V j d G l v b j E v c G x h e W V y c 1 8 4 X z h f M j A y M i w g M T E g N D k g M z c v Q X V 0 b 1 J l b W 9 2 Z W R D b 2 x 1 b W 5 z M S 5 7 T G V z a W 9 u Z X M s N 3 0 m c X V v d D s s J n F 1 b 3 Q 7 U 2 V j d G l v b j E v c G x h e W V y c 1 8 4 X z h f M j A y M i w g M T E g N D k g M z c v Q X V 0 b 1 J l b W 9 2 Z W R D b 2 x 1 b W 5 z M S 5 7 Q W 1 v b m V z d G F j a W 9 u Z X M s O H 0 m c X V v d D s s J n F 1 b 3 Q 7 U 2 V j d G l v b j E v c G x h e W V y c 1 8 4 X z h f M j A y M i w g M T E g N D k g M z c v Q X V 0 b 1 J l b W 9 2 Z W R D b 2 x 1 b W 5 z M S 5 7 R W 4 g b G E g b G l z d G E g Z G U g d H J h b n N m Z X J l b m N p Y X M s O X 0 m c X V v d D s s J n F 1 b 3 Q 7 U 2 V j d G l v b j E v c G x h e W V y c 1 8 4 X z h f M j A y M i w g M T E g N D k g M z c v Q X V 0 b 1 J l b W 9 2 Z W R D b 2 x 1 b W 5 z M S 5 7 R W R h Z C w x M H 0 m c X V v d D s s J n F 1 b 3 Q 7 U 2 V j d G l v b j E v c G x h e W V y c 1 8 4 X z h f M j A y M i w g M T E g N D k g M z c v Q X V 0 b 1 J l b W 9 2 Z W R D b 2 x 1 b W 5 z M S 5 7 R M O t Y X M s M T F 9 J n F 1 b 3 Q 7 L C Z x d W 9 0 O 1 N l Y 3 R p b 2 4 x L 3 B s Y X l l c n N f O F 8 4 X z I w M j I s I D E x I D Q 5 I D M 3 L 0 F 1 d G 9 S Z W 1 v d m V k Q 2 9 s d W 1 u c z E u e 1 R T S S w x M n 0 m c X V v d D s s J n F 1 b 3 Q 7 U 2 V j d G l v b j E v c G x h e W V y c 1 8 4 X z h f M j A y M i w g M T E g N D k g M z c v Q X V 0 b 1 J l b W 9 2 Z W R D b 2 x 1 b W 5 z M S 5 7 U 2 F s Y X J p b y w x M 3 0 m c X V v d D s s J n F 1 b 3 Q 7 U 2 V j d G l v b j E v c G x h e W V y c 1 8 4 X z h f M j A y M i w g M T E g N D k g M z c v Q X V 0 b 1 J l b W 9 2 Z W R D b 2 x 1 b W 5 z M S 5 7 U 2 V t Y W 5 h c y B l b i B l b C B j b H V i L D E 0 f S Z x d W 9 0 O y w m c X V v d D t T Z W N 0 a W 9 u M S 9 w b G F 5 Z X J z X z h f O F 8 y M D I y L C A x M S A 0 O S A z N y 9 B d X R v U m V t b 3 Z l Z E N v b H V t b n M x L n t F e H B l c m l l b m N p Y S w x N X 0 m c X V v d D s s J n F 1 b 3 Q 7 U 2 V j d G l v b j E v c G x h e W V y c 1 8 4 X z h f M j A y M i w g M T E g N D k g M z c v Q X V 0 b 1 J l b W 9 2 Z W R D b 2 x 1 b W 5 z M S 5 7 T G l k Z X J h e m d v L D E 2 f S Z x d W 9 0 O y w m c X V v d D t T Z W N 0 a W 9 u M S 9 w b G F 5 Z X J z X z h f O F 8 y M D I y L C A x M S A 0 O S A z N y 9 B d X R v U m V t b 3 Z l Z E N v b H V t b n M x L n t G a W R l b G l k Y W Q s M T d 9 J n F 1 b 3 Q 7 L C Z x d W 9 0 O 1 N l Y 3 R p b 2 4 x L 3 B s Y X l l c n N f O F 8 4 X z I w M j I s I D E x I D Q 5 I D M 3 L 0 F 1 d G 9 S Z W 1 v d m V k Q 2 9 s d W 1 u c z E u e 0 Z v c m 1 h L D E 4 f S Z x d W 9 0 O y w m c X V v d D t T Z W N 0 a W 9 u M S 9 w b G F 5 Z X J z X z h f O F 8 y M D I y L C A x M S A 0 O S A z N y 9 B d X R v U m V t b 3 Z l Z E N v b H V t b n M x L n t S Z X N p c 3 R l b m N p Y S w x O X 0 m c X V v d D s s J n F 1 b 3 Q 7 U 2 V j d G l v b j E v c G x h e W V y c 1 8 4 X z h f M j A y M i w g M T E g N D k g M z c v Q X V 0 b 1 J l b W 9 2 Z W R D b 2 x 1 b W 5 z M S 5 7 R m V j a G E g w 7 p s d G l t b y B w Y X J 0 a W R v L D I w f S Z x d W 9 0 O y w m c X V v d D t T Z W N 0 a W 9 u M S 9 w b G F 5 Z X J z X z h f O F 8 y M D I y L C A x M S A 0 O S A z N y 9 B d X R v U m V t b 3 Z l Z E N v b H V t b n M x L n t S Z W 5 k a W 1 p Z W 5 0 b y D D u m x 0 a W 1 v I H B h c n R p Z G 8 s M j F 9 J n F 1 b 3 Q 7 L C Z x d W 9 0 O 1 N l Y 3 R p b 2 4 x L 3 B s Y X l l c n N f O F 8 4 X z I w M j I s I D E x I D Q 5 I D M 3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h f O F 8 y M D I y J T J D J T I w M T E l M j A 0 O S U y M D M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O F 8 4 X z I w M j I l M k M l M j A x M S U y M D Q 5 J T I w M z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4 X z h f M j A y M i U y Q y U y M D E x J T I w N D k l M j A z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w X z h f M j A y M i U y Q y U y M D E x J T I w N T A l M j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s d W I g Q X R s w 6 l 0 a W N v I E d h Z G l 0 Y W 5 v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F Q w O T o 1 M T o x O S 4 2 N z g x M j Y z W i I g L z 4 8 R W 5 0 c n k g V H l w Z T 0 i R m l s b E N v b H V t b l R 5 c G V z I i B W Y W x 1 Z T 0 i c 0 J n T U d B d 0 1 H Q X d Z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B f O F 8 y M D I y L C A x M S A 1 M C A w O C 9 B d X R v U m V t b 3 Z l Z E N v b H V t b n M x L n t O Y W N p b 2 5 h b G l k Y W Q s M H 0 m c X V v d D s s J n F 1 b 3 Q 7 U 2 V j d G l v b j E v c G x h e W V y c 1 8 x M F 8 4 X z I w M j I s I D E x I D U w I D A 4 L 0 F 1 d G 9 S Z W 1 v d m V k Q 2 9 s d W 1 u c z E u e 0 R v c n N h b C w x f S Z x d W 9 0 O y w m c X V v d D t T Z W N 0 a W 9 u M S 9 w b G F 5 Z X J z X z E w X z h f M j A y M i w g M T E g N T A g M D g v Q X V 0 b 1 J l b W 9 2 Z W R D b 2 x 1 b W 5 z M S 5 7 T m 9 t Y n J l L D J 9 J n F 1 b 3 Q 7 L C Z x d W 9 0 O 1 N l Y 3 R p b 2 4 x L 3 B s Y X l l c n N f M T B f O F 8 y M D I y L C A x M S A 1 M C A w O C 9 B d X R v U m V t b 3 Z l Z E N v b H V t b n M x L n t J R C B k Z W w g a n V n Y W R v c i w z f S Z x d W 9 0 O y w m c X V v d D t T Z W N 0 a W 9 u M S 9 w b G F 5 Z X J z X z E w X z h f M j A y M i w g M T E g N T A g M D g v Q X V 0 b 1 J l b W 9 2 Z W R D b 2 x 1 b W 5 z M S 5 7 R W 5 0 c m V u Y W R v c i w 0 f S Z x d W 9 0 O y w m c X V v d D t T Z W N 0 a W 9 u M S 9 w b G F 5 Z X J z X z E w X z h f M j A y M i w g M T E g N T A g M D g v Q X V 0 b 1 J l b W 9 2 Z W R D b 2 x 1 b W 5 z M S 5 7 R X N w Z W N p Y W x p Z G F k L D V 9 J n F 1 b 3 Q 7 L C Z x d W 9 0 O 1 N l Y 3 R p b 2 4 x L 3 B s Y X l l c n N f M T B f O F 8 y M D I y L C A x M S A 1 M C A w O C 9 B d X R v U m V t b 3 Z l Z E N v b H V t b n M x L n t C b 2 5 p Z m l j Y W N p w 7 N u I H B v c i B j b H V i I G R l I G 9 y a W d l b i w 2 f S Z x d W 9 0 O y w m c X V v d D t T Z W N 0 a W 9 u M S 9 w b G F 5 Z X J z X z E w X z h f M j A y M i w g M T E g N T A g M D g v Q X V 0 b 1 J l b W 9 2 Z W R D b 2 x 1 b W 5 z M S 5 7 T G V z a W 9 u Z X M s N 3 0 m c X V v d D s s J n F 1 b 3 Q 7 U 2 V j d G l v b j E v c G x h e W V y c 1 8 x M F 8 4 X z I w M j I s I D E x I D U w I D A 4 L 0 F 1 d G 9 S Z W 1 v d m V k Q 2 9 s d W 1 u c z E u e 0 F t b 2 5 l c 3 R h Y 2 l v b m V z L D h 9 J n F 1 b 3 Q 7 L C Z x d W 9 0 O 1 N l Y 3 R p b 2 4 x L 3 B s Y X l l c n N f M T B f O F 8 y M D I y L C A x M S A 1 M C A w O C 9 B d X R v U m V t b 3 Z l Z E N v b H V t b n M x L n t F b i B s Y S B s a X N 0 Y S B k Z S B 0 c m F u c 2 Z l c m V u Y 2 l h c y w 5 f S Z x d W 9 0 O y w m c X V v d D t T Z W N 0 a W 9 u M S 9 w b G F 5 Z X J z X z E w X z h f M j A y M i w g M T E g N T A g M D g v Q X V 0 b 1 J l b W 9 2 Z W R D b 2 x 1 b W 5 z M S 5 7 R W R h Z C w x M H 0 m c X V v d D s s J n F 1 b 3 Q 7 U 2 V j d G l v b j E v c G x h e W V y c 1 8 x M F 8 4 X z I w M j I s I D E x I D U w I D A 4 L 0 F 1 d G 9 S Z W 1 v d m V k Q 2 9 s d W 1 u c z E u e 0 T D r W F z L D E x f S Z x d W 9 0 O y w m c X V v d D t T Z W N 0 a W 9 u M S 9 w b G F 5 Z X J z X z E w X z h f M j A y M i w g M T E g N T A g M D g v Q X V 0 b 1 J l b W 9 2 Z W R D b 2 x 1 b W 5 z M S 5 7 V F N J L D E y f S Z x d W 9 0 O y w m c X V v d D t T Z W N 0 a W 9 u M S 9 w b G F 5 Z X J z X z E w X z h f M j A y M i w g M T E g N T A g M D g v Q X V 0 b 1 J l b W 9 2 Z W R D b 2 x 1 b W 5 z M S 5 7 U 2 F s Y X J p b y w x M 3 0 m c X V v d D s s J n F 1 b 3 Q 7 U 2 V j d G l v b j E v c G x h e W V y c 1 8 x M F 8 4 X z I w M j I s I D E x I D U w I D A 4 L 0 F 1 d G 9 S Z W 1 v d m V k Q 2 9 s d W 1 u c z E u e 1 N l b W F u Y X M g Z W 4 g Z W w g Y 2 x 1 Y i w x N H 0 m c X V v d D s s J n F 1 b 3 Q 7 U 2 V j d G l v b j E v c G x h e W V y c 1 8 x M F 8 4 X z I w M j I s I D E x I D U w I D A 4 L 0 F 1 d G 9 S Z W 1 v d m V k Q 2 9 s d W 1 u c z E u e 0 V 4 c G V y a W V u Y 2 l h L D E 1 f S Z x d W 9 0 O y w m c X V v d D t T Z W N 0 a W 9 u M S 9 w b G F 5 Z X J z X z E w X z h f M j A y M i w g M T E g N T A g M D g v Q X V 0 b 1 J l b W 9 2 Z W R D b 2 x 1 b W 5 z M S 5 7 T G l k Z X J h e m d v L D E 2 f S Z x d W 9 0 O y w m c X V v d D t T Z W N 0 a W 9 u M S 9 w b G F 5 Z X J z X z E w X z h f M j A y M i w g M T E g N T A g M D g v Q X V 0 b 1 J l b W 9 2 Z W R D b 2 x 1 b W 5 z M S 5 7 R m l k Z W x p Z G F k L D E 3 f S Z x d W 9 0 O y w m c X V v d D t T Z W N 0 a W 9 u M S 9 w b G F 5 Z X J z X z E w X z h f M j A y M i w g M T E g N T A g M D g v Q X V 0 b 1 J l b W 9 2 Z W R D b 2 x 1 b W 5 z M S 5 7 R m 9 y b W E s M T h 9 J n F 1 b 3 Q 7 L C Z x d W 9 0 O 1 N l Y 3 R p b 2 4 x L 3 B s Y X l l c n N f M T B f O F 8 y M D I y L C A x M S A 1 M C A w O C 9 B d X R v U m V t b 3 Z l Z E N v b H V t b n M x L n t S Z X N p c 3 R l b m N p Y S w x O X 0 m c X V v d D s s J n F 1 b 3 Q 7 U 2 V j d G l v b j E v c G x h e W V y c 1 8 x M F 8 4 X z I w M j I s I D E x I D U w I D A 4 L 0 F 1 d G 9 S Z W 1 v d m V k Q 2 9 s d W 1 u c z E u e 0 Z l Y 2 h h I M O 6 b H R p b W 8 g c G F y d G l k b y w y M H 0 m c X V v d D s s J n F 1 b 3 Q 7 U 2 V j d G l v b j E v c G x h e W V y c 1 8 x M F 8 4 X z I w M j I s I D E x I D U w I D A 4 L 0 F 1 d G 9 S Z W 1 v d m V k Q 2 9 s d W 1 u c z E u e 1 J l b m R p b W l l b n R v I M O 6 b H R p b W 8 g c G F y d G l k b y w y M X 0 m c X V v d D s s J n F 1 b 3 Q 7 U 2 V j d G l v b j E v c G x h e W V y c 1 8 x M F 8 4 X z I w M j I s I D E x I D U w I D A 4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w X z h f M j A y M i w g M T E g N T A g M D g v Q X V 0 b 1 J l b W 9 2 Z W R D b 2 x 1 b W 5 z M S 5 7 T m F j a W 9 u Y W x p Z G F k L D B 9 J n F 1 b 3 Q 7 L C Z x d W 9 0 O 1 N l Y 3 R p b 2 4 x L 3 B s Y X l l c n N f M T B f O F 8 y M D I y L C A x M S A 1 M C A w O C 9 B d X R v U m V t b 3 Z l Z E N v b H V t b n M x L n t E b 3 J z Y W w s M X 0 m c X V v d D s s J n F 1 b 3 Q 7 U 2 V j d G l v b j E v c G x h e W V y c 1 8 x M F 8 4 X z I w M j I s I D E x I D U w I D A 4 L 0 F 1 d G 9 S Z W 1 v d m V k Q 2 9 s d W 1 u c z E u e 0 5 v b W J y Z S w y f S Z x d W 9 0 O y w m c X V v d D t T Z W N 0 a W 9 u M S 9 w b G F 5 Z X J z X z E w X z h f M j A y M i w g M T E g N T A g M D g v Q X V 0 b 1 J l b W 9 2 Z W R D b 2 x 1 b W 5 z M S 5 7 S U Q g Z G V s I G p 1 Z 2 F k b 3 I s M 3 0 m c X V v d D s s J n F 1 b 3 Q 7 U 2 V j d G l v b j E v c G x h e W V y c 1 8 x M F 8 4 X z I w M j I s I D E x I D U w I D A 4 L 0 F 1 d G 9 S Z W 1 v d m V k Q 2 9 s d W 1 u c z E u e 0 V u d H J l b m F k b 3 I s N H 0 m c X V v d D s s J n F 1 b 3 Q 7 U 2 V j d G l v b j E v c G x h e W V y c 1 8 x M F 8 4 X z I w M j I s I D E x I D U w I D A 4 L 0 F 1 d G 9 S Z W 1 v d m V k Q 2 9 s d W 1 u c z E u e 0 V z c G V j a W F s a W R h Z C w 1 f S Z x d W 9 0 O y w m c X V v d D t T Z W N 0 a W 9 u M S 9 w b G F 5 Z X J z X z E w X z h f M j A y M i w g M T E g N T A g M D g v Q X V 0 b 1 J l b W 9 2 Z W R D b 2 x 1 b W 5 z M S 5 7 Q m 9 u a W Z p Y 2 F j a c O z b i B w b 3 I g Y 2 x 1 Y i B k Z S B v c m l n Z W 4 s N n 0 m c X V v d D s s J n F 1 b 3 Q 7 U 2 V j d G l v b j E v c G x h e W V y c 1 8 x M F 8 4 X z I w M j I s I D E x I D U w I D A 4 L 0 F 1 d G 9 S Z W 1 v d m V k Q 2 9 s d W 1 u c z E u e 0 x l c 2 l v b m V z L D d 9 J n F 1 b 3 Q 7 L C Z x d W 9 0 O 1 N l Y 3 R p b 2 4 x L 3 B s Y X l l c n N f M T B f O F 8 y M D I y L C A x M S A 1 M C A w O C 9 B d X R v U m V t b 3 Z l Z E N v b H V t b n M x L n t B b W 9 u Z X N 0 Y W N p b 2 5 l c y w 4 f S Z x d W 9 0 O y w m c X V v d D t T Z W N 0 a W 9 u M S 9 w b G F 5 Z X J z X z E w X z h f M j A y M i w g M T E g N T A g M D g v Q X V 0 b 1 J l b W 9 2 Z W R D b 2 x 1 b W 5 z M S 5 7 R W 4 g b G E g b G l z d G E g Z G U g d H J h b n N m Z X J l b m N p Y X M s O X 0 m c X V v d D s s J n F 1 b 3 Q 7 U 2 V j d G l v b j E v c G x h e W V y c 1 8 x M F 8 4 X z I w M j I s I D E x I D U w I D A 4 L 0 F 1 d G 9 S Z W 1 v d m V k Q 2 9 s d W 1 u c z E u e 0 V k Y W Q s M T B 9 J n F 1 b 3 Q 7 L C Z x d W 9 0 O 1 N l Y 3 R p b 2 4 x L 3 B s Y X l l c n N f M T B f O F 8 y M D I y L C A x M S A 1 M C A w O C 9 B d X R v U m V t b 3 Z l Z E N v b H V t b n M x L n t E w 6 1 h c y w x M X 0 m c X V v d D s s J n F 1 b 3 Q 7 U 2 V j d G l v b j E v c G x h e W V y c 1 8 x M F 8 4 X z I w M j I s I D E x I D U w I D A 4 L 0 F 1 d G 9 S Z W 1 v d m V k Q 2 9 s d W 1 u c z E u e 1 R T S S w x M n 0 m c X V v d D s s J n F 1 b 3 Q 7 U 2 V j d G l v b j E v c G x h e W V y c 1 8 x M F 8 4 X z I w M j I s I D E x I D U w I D A 4 L 0 F 1 d G 9 S Z W 1 v d m V k Q 2 9 s d W 1 u c z E u e 1 N h b G F y a W 8 s M T N 9 J n F 1 b 3 Q 7 L C Z x d W 9 0 O 1 N l Y 3 R p b 2 4 x L 3 B s Y X l l c n N f M T B f O F 8 y M D I y L C A x M S A 1 M C A w O C 9 B d X R v U m V t b 3 Z l Z E N v b H V t b n M x L n t T Z W 1 h b m F z I G V u I G V s I G N s d W I s M T R 9 J n F 1 b 3 Q 7 L C Z x d W 9 0 O 1 N l Y 3 R p b 2 4 x L 3 B s Y X l l c n N f M T B f O F 8 y M D I y L C A x M S A 1 M C A w O C 9 B d X R v U m V t b 3 Z l Z E N v b H V t b n M x L n t F e H B l c m l l b m N p Y S w x N X 0 m c X V v d D s s J n F 1 b 3 Q 7 U 2 V j d G l v b j E v c G x h e W V y c 1 8 x M F 8 4 X z I w M j I s I D E x I D U w I D A 4 L 0 F 1 d G 9 S Z W 1 v d m V k Q 2 9 s d W 1 u c z E u e 0 x p Z G V y Y X p n b y w x N n 0 m c X V v d D s s J n F 1 b 3 Q 7 U 2 V j d G l v b j E v c G x h e W V y c 1 8 x M F 8 4 X z I w M j I s I D E x I D U w I D A 4 L 0 F 1 d G 9 S Z W 1 v d m V k Q 2 9 s d W 1 u c z E u e 0 Z p Z G V s a W R h Z C w x N 3 0 m c X V v d D s s J n F 1 b 3 Q 7 U 2 V j d G l v b j E v c G x h e W V y c 1 8 x M F 8 4 X z I w M j I s I D E x I D U w I D A 4 L 0 F 1 d G 9 S Z W 1 v d m V k Q 2 9 s d W 1 u c z E u e 0 Z v c m 1 h L D E 4 f S Z x d W 9 0 O y w m c X V v d D t T Z W N 0 a W 9 u M S 9 w b G F 5 Z X J z X z E w X z h f M j A y M i w g M T E g N T A g M D g v Q X V 0 b 1 J l b W 9 2 Z W R D b 2 x 1 b W 5 z M S 5 7 U m V z a X N 0 Z W 5 j a W E s M T l 9 J n F 1 b 3 Q 7 L C Z x d W 9 0 O 1 N l Y 3 R p b 2 4 x L 3 B s Y X l l c n N f M T B f O F 8 y M D I y L C A x M S A 1 M C A w O C 9 B d X R v U m V t b 3 Z l Z E N v b H V t b n M x L n t G Z W N o Y S D D u m x 0 a W 1 v I H B h c n R p Z G 8 s M j B 9 J n F 1 b 3 Q 7 L C Z x d W 9 0 O 1 N l Y 3 R p b 2 4 x L 3 B s Y X l l c n N f M T B f O F 8 y M D I y L C A x M S A 1 M C A w O C 9 B d X R v U m V t b 3 Z l Z E N v b H V t b n M x L n t S Z W 5 k a W 1 p Z W 5 0 b y D D u m x 0 a W 1 v I H B h c n R p Z G 8 s M j F 9 J n F 1 b 3 Q 7 L C Z x d W 9 0 O 1 N l Y 3 R p b 2 4 x L 3 B s Y X l l c n N f M T B f O F 8 y M D I y L C A x M S A 1 M C A w O C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b H V i I E F 0 b M O p d G l j b y B H Y W R p d G F u b y I g L z 4 8 R W 5 0 c n k g V H l w Z T 0 i U m V j b 3 Z l c n l U Y X J n Z X R D b 2 x 1 b W 4 i I F Z h b H V l P S J s M S I g L z 4 8 R W 5 0 c n k g V H l w Z T 0 i U m V j b 3 Z l c n l U Y X J n Z X R S b 3 c i I F Z h b H V l P S J s M j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B U M D k 6 N T I 6 M j g u O T g 0 O T c y O F o i I C 8 + P E V u d H J 5 I F R 5 c G U 9 I k Z p b G x D b 2 x 1 b W 5 U e X B l c y I g V m F s d W U 9 I n N C Z 0 1 H Q X d N R 0 F 3 W U R C Z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E w X z h f M j A y M i w g M T E g N T A g M D g g K D I p L 1 R p c G 8 g Y 2 F t Y m l h Z G 8 u e 0 5 h Y 2 l v b m F s a W R h Z C w w f S Z x d W 9 0 O y w m c X V v d D t T Z W N 0 a W 9 u M S 9 w b G F 5 Z X J z X z E w X z h f M j A y M i w g M T E g N T A g M D g g K D I p L 1 R p c G 8 g Y 2 F t Y m l h Z G 8 u e 0 R v c n N h b C w x f S Z x d W 9 0 O y w m c X V v d D t T Z W N 0 a W 9 u M S 9 w b G F 5 Z X J z X z E w X z h f M j A y M i w g M T E g N T A g M D g g K D I p L 1 R p c G 8 g Y 2 F t Y m l h Z G 8 u e 0 5 v b W J y Z S w y f S Z x d W 9 0 O y w m c X V v d D t T Z W N 0 a W 9 u M S 9 w b G F 5 Z X J z X z E w X z h f M j A y M i w g M T E g N T A g M D g g K D I p L 1 R p c G 8 g Y 2 F t Y m l h Z G 8 u e 0 l E I G R l b C B q d W d h Z G 9 y L D N 9 J n F 1 b 3 Q 7 L C Z x d W 9 0 O 1 N l Y 3 R p b 2 4 x L 3 B s Y X l l c n N f M T B f O F 8 y M D I y L C A x M S A 1 M C A w O C A o M i k v V G l w b y B j Y W 1 i a W F k b y 5 7 R W 5 0 c m V u Y W R v c i w 0 f S Z x d W 9 0 O y w m c X V v d D t T Z W N 0 a W 9 u M S 9 w b G F 5 Z X J z X z E w X z h f M j A y M i w g M T E g N T A g M D g g K D I p L 1 R p c G 8 g Y 2 F t Y m l h Z G 8 u e 0 V z c G V j a W F s a W R h Z C w 1 f S Z x d W 9 0 O y w m c X V v d D t T Z W N 0 a W 9 u M S 9 w b G F 5 Z X J z X z E w X z h f M j A y M i w g M T E g N T A g M D g g K D I p L 1 R p c G 8 g Y 2 F t Y m l h Z G 8 u e 0 J v b m l m a W N h Y 2 n D s 2 4 g c G 9 y I G N s d W I g Z G U g b 3 J p Z 2 V u L D Z 9 J n F 1 b 3 Q 7 L C Z x d W 9 0 O 1 N l Y 3 R p b 2 4 x L 3 B s Y X l l c n N f M T B f O F 8 y M D I y L C A x M S A 1 M C A w O C A o M i k v V G l w b y B j Y W 1 i a W F k b y 5 7 T G V z a W 9 u Z X M s N 3 0 m c X V v d D s s J n F 1 b 3 Q 7 U 2 V j d G l v b j E v c G x h e W V y c 1 8 x M F 8 4 X z I w M j I s I D E x I D U w I D A 4 I C g y K S 9 U a X B v I G N h b W J p Y W R v L n t B b W 9 u Z X N 0 Y W N p b 2 5 l c y w 4 f S Z x d W 9 0 O y w m c X V v d D t T Z W N 0 a W 9 u M S 9 w b G F 5 Z X J z X z E w X z h f M j A y M i w g M T E g N T A g M D g g K D I p L 1 R p c G 8 g Y 2 F t Y m l h Z G 8 u e 0 V u I G x h I G x p c 3 R h I G R l I H R y Y W 5 z Z m V y Z W 5 j a W F z L D l 9 J n F 1 b 3 Q 7 L C Z x d W 9 0 O 1 N l Y 3 R p b 2 4 x L 3 B s Y X l l c n N f M T B f O F 8 y M D I y L C A x M S A 1 M C A w O C A o M i k v V G l w b y B j Y W 1 i a W F k b y 5 7 R W R h Z C w x M H 0 m c X V v d D s s J n F 1 b 3 Q 7 U 2 V j d G l v b j E v c G x h e W V y c 1 8 x M F 8 4 X z I w M j I s I D E x I D U w I D A 4 I C g y K S 9 U a X B v I G N h b W J p Y W R v L n t E w 6 1 h c y w x M X 0 m c X V v d D s s J n F 1 b 3 Q 7 U 2 V j d G l v b j E v c G x h e W V y c 1 8 x M F 8 4 X z I w M j I s I D E x I D U w I D A 4 I C g y K S 9 U a X B v I G N h b W J p Y W R v L n t U U 0 k s M T J 9 J n F 1 b 3 Q 7 L C Z x d W 9 0 O 1 N l Y 3 R p b 2 4 x L 3 B s Y X l l c n N f M T B f O F 8 y M D I y L C A x M S A 1 M C A w O C A o M i k v V G l w b y B j Y W 1 i a W F k b y 5 7 U 2 F s Y X J p b y w x M 3 0 m c X V v d D s s J n F 1 b 3 Q 7 U 2 V j d G l v b j E v c G x h e W V y c 1 8 x M F 8 4 X z I w M j I s I D E x I D U w I D A 4 I C g y K S 9 U a X B v I G N h b W J p Y W R v L n t T Z W 1 h b m F z I G V u I G V s I G N s d W I s M T R 9 J n F 1 b 3 Q 7 L C Z x d W 9 0 O 1 N l Y 3 R p b 2 4 x L 3 B s Y X l l c n N f M T B f O F 8 y M D I y L C A x M S A 1 M C A w O C A o M i k v V G l w b y B j Y W 1 i a W F k b y 5 7 R X h w Z X J p Z W 5 j a W E s M T V 9 J n F 1 b 3 Q 7 L C Z x d W 9 0 O 1 N l Y 3 R p b 2 4 x L 3 B s Y X l l c n N f M T B f O F 8 y M D I y L C A x M S A 1 M C A w O C A o M i k v V G l w b y B j Y W 1 i a W F k b y 5 7 T G l k Z X J h e m d v L D E 2 f S Z x d W 9 0 O y w m c X V v d D t T Z W N 0 a W 9 u M S 9 w b G F 5 Z X J z X z E w X z h f M j A y M i w g M T E g N T A g M D g g K D I p L 1 R p c G 8 g Y 2 F t Y m l h Z G 8 u e 0 Z p Z G V s a W R h Z C w x N 3 0 m c X V v d D s s J n F 1 b 3 Q 7 U 2 V j d G l v b j E v c G x h e W V y c 1 8 x M F 8 4 X z I w M j I s I D E x I D U w I D A 4 I C g y K S 9 U a X B v I G N h b W J p Y W R v L n t G b 3 J t Y S w x O H 0 m c X V v d D s s J n F 1 b 3 Q 7 U 2 V j d G l v b j E v c G x h e W V y c 1 8 x M F 8 4 X z I w M j I s I D E x I D U w I D A 4 I C g y K S 9 U a X B v I G N h b W J p Y W R v L n t S Z X N p c 3 R l b m N p Y S w x O X 0 m c X V v d D s s J n F 1 b 3 Q 7 U 2 V j d G l v b j E v c G x h e W V y c 1 8 x M F 8 4 X z I w M j I s I D E x I D U w I D A 4 I C g y K S 9 U a X B v I G N h b W J p Y W R v L n t G Z W N o Y S D D u m x 0 a W 1 v I H B h c n R p Z G 8 s M j B 9 J n F 1 b 3 Q 7 L C Z x d W 9 0 O 1 N l Y 3 R p b 2 4 x L 3 B s Y X l l c n N f M T B f O F 8 y M D I y L C A x M S A 1 M C A w O C A o M i k v V G l w b y B j Y W 1 i a W F k b y 5 7 U m V u Z G l t a W V u d G 8 g w 7 p s d G l t b y B w Y X J 0 a W R v L D I x f S Z x d W 9 0 O y w m c X V v d D t T Z W N 0 a W 9 u M S 9 w b G F 5 Z X J z X z E w X z h f M j A y M i w g M T E g N T A g M D g g K D I p L 1 R p c G 8 g Y 2 F t Y m l h Z G 8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w X z h f M j A y M i w g M T E g N T A g M D g g K D I p L 1 R p c G 8 g Y 2 F t Y m l h Z G 8 u e 0 5 h Y 2 l v b m F s a W R h Z C w w f S Z x d W 9 0 O y w m c X V v d D t T Z W N 0 a W 9 u M S 9 w b G F 5 Z X J z X z E w X z h f M j A y M i w g M T E g N T A g M D g g K D I p L 1 R p c G 8 g Y 2 F t Y m l h Z G 8 u e 0 R v c n N h b C w x f S Z x d W 9 0 O y w m c X V v d D t T Z W N 0 a W 9 u M S 9 w b G F 5 Z X J z X z E w X z h f M j A y M i w g M T E g N T A g M D g g K D I p L 1 R p c G 8 g Y 2 F t Y m l h Z G 8 u e 0 5 v b W J y Z S w y f S Z x d W 9 0 O y w m c X V v d D t T Z W N 0 a W 9 u M S 9 w b G F 5 Z X J z X z E w X z h f M j A y M i w g M T E g N T A g M D g g K D I p L 1 R p c G 8 g Y 2 F t Y m l h Z G 8 u e 0 l E I G R l b C B q d W d h Z G 9 y L D N 9 J n F 1 b 3 Q 7 L C Z x d W 9 0 O 1 N l Y 3 R p b 2 4 x L 3 B s Y X l l c n N f M T B f O F 8 y M D I y L C A x M S A 1 M C A w O C A o M i k v V G l w b y B j Y W 1 i a W F k b y 5 7 R W 5 0 c m V u Y W R v c i w 0 f S Z x d W 9 0 O y w m c X V v d D t T Z W N 0 a W 9 u M S 9 w b G F 5 Z X J z X z E w X z h f M j A y M i w g M T E g N T A g M D g g K D I p L 1 R p c G 8 g Y 2 F t Y m l h Z G 8 u e 0 V z c G V j a W F s a W R h Z C w 1 f S Z x d W 9 0 O y w m c X V v d D t T Z W N 0 a W 9 u M S 9 w b G F 5 Z X J z X z E w X z h f M j A y M i w g M T E g N T A g M D g g K D I p L 1 R p c G 8 g Y 2 F t Y m l h Z G 8 u e 0 J v b m l m a W N h Y 2 n D s 2 4 g c G 9 y I G N s d W I g Z G U g b 3 J p Z 2 V u L D Z 9 J n F 1 b 3 Q 7 L C Z x d W 9 0 O 1 N l Y 3 R p b 2 4 x L 3 B s Y X l l c n N f M T B f O F 8 y M D I y L C A x M S A 1 M C A w O C A o M i k v V G l w b y B j Y W 1 i a W F k b y 5 7 T G V z a W 9 u Z X M s N 3 0 m c X V v d D s s J n F 1 b 3 Q 7 U 2 V j d G l v b j E v c G x h e W V y c 1 8 x M F 8 4 X z I w M j I s I D E x I D U w I D A 4 I C g y K S 9 U a X B v I G N h b W J p Y W R v L n t B b W 9 u Z X N 0 Y W N p b 2 5 l c y w 4 f S Z x d W 9 0 O y w m c X V v d D t T Z W N 0 a W 9 u M S 9 w b G F 5 Z X J z X z E w X z h f M j A y M i w g M T E g N T A g M D g g K D I p L 1 R p c G 8 g Y 2 F t Y m l h Z G 8 u e 0 V u I G x h I G x p c 3 R h I G R l I H R y Y W 5 z Z m V y Z W 5 j a W F z L D l 9 J n F 1 b 3 Q 7 L C Z x d W 9 0 O 1 N l Y 3 R p b 2 4 x L 3 B s Y X l l c n N f M T B f O F 8 y M D I y L C A x M S A 1 M C A w O C A o M i k v V G l w b y B j Y W 1 i a W F k b y 5 7 R W R h Z C w x M H 0 m c X V v d D s s J n F 1 b 3 Q 7 U 2 V j d G l v b j E v c G x h e W V y c 1 8 x M F 8 4 X z I w M j I s I D E x I D U w I D A 4 I C g y K S 9 U a X B v I G N h b W J p Y W R v L n t E w 6 1 h c y w x M X 0 m c X V v d D s s J n F 1 b 3 Q 7 U 2 V j d G l v b j E v c G x h e W V y c 1 8 x M F 8 4 X z I w M j I s I D E x I D U w I D A 4 I C g y K S 9 U a X B v I G N h b W J p Y W R v L n t U U 0 k s M T J 9 J n F 1 b 3 Q 7 L C Z x d W 9 0 O 1 N l Y 3 R p b 2 4 x L 3 B s Y X l l c n N f M T B f O F 8 y M D I y L C A x M S A 1 M C A w O C A o M i k v V G l w b y B j Y W 1 i a W F k b y 5 7 U 2 F s Y X J p b y w x M 3 0 m c X V v d D s s J n F 1 b 3 Q 7 U 2 V j d G l v b j E v c G x h e W V y c 1 8 x M F 8 4 X z I w M j I s I D E x I D U w I D A 4 I C g y K S 9 U a X B v I G N h b W J p Y W R v L n t T Z W 1 h b m F z I G V u I G V s I G N s d W I s M T R 9 J n F 1 b 3 Q 7 L C Z x d W 9 0 O 1 N l Y 3 R p b 2 4 x L 3 B s Y X l l c n N f M T B f O F 8 y M D I y L C A x M S A 1 M C A w O C A o M i k v V G l w b y B j Y W 1 i a W F k b y 5 7 R X h w Z X J p Z W 5 j a W E s M T V 9 J n F 1 b 3 Q 7 L C Z x d W 9 0 O 1 N l Y 3 R p b 2 4 x L 3 B s Y X l l c n N f M T B f O F 8 y M D I y L C A x M S A 1 M C A w O C A o M i k v V G l w b y B j Y W 1 i a W F k b y 5 7 T G l k Z X J h e m d v L D E 2 f S Z x d W 9 0 O y w m c X V v d D t T Z W N 0 a W 9 u M S 9 w b G F 5 Z X J z X z E w X z h f M j A y M i w g M T E g N T A g M D g g K D I p L 1 R p c G 8 g Y 2 F t Y m l h Z G 8 u e 0 Z p Z G V s a W R h Z C w x N 3 0 m c X V v d D s s J n F 1 b 3 Q 7 U 2 V j d G l v b j E v c G x h e W V y c 1 8 x M F 8 4 X z I w M j I s I D E x I D U w I D A 4 I C g y K S 9 U a X B v I G N h b W J p Y W R v L n t G b 3 J t Y S w x O H 0 m c X V v d D s s J n F 1 b 3 Q 7 U 2 V j d G l v b j E v c G x h e W V y c 1 8 x M F 8 4 X z I w M j I s I D E x I D U w I D A 4 I C g y K S 9 U a X B v I G N h b W J p Y W R v L n t S Z X N p c 3 R l b m N p Y S w x O X 0 m c X V v d D s s J n F 1 b 3 Q 7 U 2 V j d G l v b j E v c G x h e W V y c 1 8 x M F 8 4 X z I w M j I s I D E x I D U w I D A 4 I C g y K S 9 U a X B v I G N h b W J p Y W R v L n t G Z W N o Y S D D u m x 0 a W 1 v I H B h c n R p Z G 8 s M j B 9 J n F 1 b 3 Q 7 L C Z x d W 9 0 O 1 N l Y 3 R p b 2 4 x L 3 B s Y X l l c n N f M T B f O F 8 y M D I y L C A x M S A 1 M C A w O C A o M i k v V G l w b y B j Y W 1 i a W F k b y 5 7 U m V u Z G l t a W V u d G 8 g w 7 p s d G l t b y B w Y X J 0 a W R v L D I x f S Z x d W 9 0 O y w m c X V v d D t T Z W N 0 a W 9 u M S 9 w b G F 5 Z X J z X z E w X z h f M j A y M i w g M T E g N T A g M D g g K D I p L 1 R p c G 8 g Y 2 F t Y m l h Z G 8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E w X z h f M j A y M i U y Q y U y M D E x J T I w N T A l M j A w O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w X z h f M j A y M i U y Q y U y M D E x J T I w N T A l M j A w O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w X z h f M j A y M i U y Q y U y M D E x J T I w N T A l M j A w O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w X z h f M j A y M i U y Q y U y M D E x J T I w N T A l M j A w O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w V D A 5 O j U z O j A 3 L j I 1 M z c 1 O T R a I i A v P j x F b n R y e S B U e X B l P S J G a W x s Q 2 9 s d W 1 u V H l w Z X M i I F Z h b H V l P S J z Q m d N R 0 F 3 T U d B d 1 l E Q m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x M F 8 4 X z I w M j I s I D E x I D U w I D A 4 I C g z K S 9 B d X R v U m V t b 3 Z l Z E N v b H V t b n M x L n t O Y W N p b 2 5 h b G l k Y W Q s M H 0 m c X V v d D s s J n F 1 b 3 Q 7 U 2 V j d G l v b j E v c G x h e W V y c 1 8 x M F 8 4 X z I w M j I s I D E x I D U w I D A 4 I C g z K S 9 B d X R v U m V t b 3 Z l Z E N v b H V t b n M x L n t E b 3 J z Y W w s M X 0 m c X V v d D s s J n F 1 b 3 Q 7 U 2 V j d G l v b j E v c G x h e W V y c 1 8 x M F 8 4 X z I w M j I s I D E x I D U w I D A 4 I C g z K S 9 B d X R v U m V t b 3 Z l Z E N v b H V t b n M x L n t O b 2 1 i c m U s M n 0 m c X V v d D s s J n F 1 b 3 Q 7 U 2 V j d G l v b j E v c G x h e W V y c 1 8 x M F 8 4 X z I w M j I s I D E x I D U w I D A 4 I C g z K S 9 B d X R v U m V t b 3 Z l Z E N v b H V t b n M x L n t J R C B k Z W w g a n V n Y W R v c i w z f S Z x d W 9 0 O y w m c X V v d D t T Z W N 0 a W 9 u M S 9 w b G F 5 Z X J z X z E w X z h f M j A y M i w g M T E g N T A g M D g g K D M p L 0 F 1 d G 9 S Z W 1 v d m V k Q 2 9 s d W 1 u c z E u e 0 V u d H J l b m F k b 3 I s N H 0 m c X V v d D s s J n F 1 b 3 Q 7 U 2 V j d G l v b j E v c G x h e W V y c 1 8 x M F 8 4 X z I w M j I s I D E x I D U w I D A 4 I C g z K S 9 B d X R v U m V t b 3 Z l Z E N v b H V t b n M x L n t F c 3 B l Y 2 l h b G l k Y W Q s N X 0 m c X V v d D s s J n F 1 b 3 Q 7 U 2 V j d G l v b j E v c G x h e W V y c 1 8 x M F 8 4 X z I w M j I s I D E x I D U w I D A 4 I C g z K S 9 B d X R v U m V t b 3 Z l Z E N v b H V t b n M x L n t C b 2 5 p Z m l j Y W N p w 7 N u I H B v c i B j b H V i I G R l I G 9 y a W d l b i w 2 f S Z x d W 9 0 O y w m c X V v d D t T Z W N 0 a W 9 u M S 9 w b G F 5 Z X J z X z E w X z h f M j A y M i w g M T E g N T A g M D g g K D M p L 0 F 1 d G 9 S Z W 1 v d m V k Q 2 9 s d W 1 u c z E u e 0 x l c 2 l v b m V z L D d 9 J n F 1 b 3 Q 7 L C Z x d W 9 0 O 1 N l Y 3 R p b 2 4 x L 3 B s Y X l l c n N f M T B f O F 8 y M D I y L C A x M S A 1 M C A w O C A o M y k v Q X V 0 b 1 J l b W 9 2 Z W R D b 2 x 1 b W 5 z M S 5 7 Q W 1 v b m V z d G F j a W 9 u Z X M s O H 0 m c X V v d D s s J n F 1 b 3 Q 7 U 2 V j d G l v b j E v c G x h e W V y c 1 8 x M F 8 4 X z I w M j I s I D E x I D U w I D A 4 I C g z K S 9 B d X R v U m V t b 3 Z l Z E N v b H V t b n M x L n t F b i B s Y S B s a X N 0 Y S B k Z S B 0 c m F u c 2 Z l c m V u Y 2 l h c y w 5 f S Z x d W 9 0 O y w m c X V v d D t T Z W N 0 a W 9 u M S 9 w b G F 5 Z X J z X z E w X z h f M j A y M i w g M T E g N T A g M D g g K D M p L 0 F 1 d G 9 S Z W 1 v d m V k Q 2 9 s d W 1 u c z E u e 0 V k Y W Q s M T B 9 J n F 1 b 3 Q 7 L C Z x d W 9 0 O 1 N l Y 3 R p b 2 4 x L 3 B s Y X l l c n N f M T B f O F 8 y M D I y L C A x M S A 1 M C A w O C A o M y k v Q X V 0 b 1 J l b W 9 2 Z W R D b 2 x 1 b W 5 z M S 5 7 R M O t Y X M s M T F 9 J n F 1 b 3 Q 7 L C Z x d W 9 0 O 1 N l Y 3 R p b 2 4 x L 3 B s Y X l l c n N f M T B f O F 8 y M D I y L C A x M S A 1 M C A w O C A o M y k v Q X V 0 b 1 J l b W 9 2 Z W R D b 2 x 1 b W 5 z M S 5 7 V F N J L D E y f S Z x d W 9 0 O y w m c X V v d D t T Z W N 0 a W 9 u M S 9 w b G F 5 Z X J z X z E w X z h f M j A y M i w g M T E g N T A g M D g g K D M p L 0 F 1 d G 9 S Z W 1 v d m V k Q 2 9 s d W 1 u c z E u e 1 N h b G F y a W 8 s M T N 9 J n F 1 b 3 Q 7 L C Z x d W 9 0 O 1 N l Y 3 R p b 2 4 x L 3 B s Y X l l c n N f M T B f O F 8 y M D I y L C A x M S A 1 M C A w O C A o M y k v Q X V 0 b 1 J l b W 9 2 Z W R D b 2 x 1 b W 5 z M S 5 7 U 2 V t Y W 5 h c y B l b i B l b C B j b H V i L D E 0 f S Z x d W 9 0 O y w m c X V v d D t T Z W N 0 a W 9 u M S 9 w b G F 5 Z X J z X z E w X z h f M j A y M i w g M T E g N T A g M D g g K D M p L 0 F 1 d G 9 S Z W 1 v d m V k Q 2 9 s d W 1 u c z E u e 0 V 4 c G V y a W V u Y 2 l h L D E 1 f S Z x d W 9 0 O y w m c X V v d D t T Z W N 0 a W 9 u M S 9 w b G F 5 Z X J z X z E w X z h f M j A y M i w g M T E g N T A g M D g g K D M p L 0 F 1 d G 9 S Z W 1 v d m V k Q 2 9 s d W 1 u c z E u e 0 x p Z G V y Y X p n b y w x N n 0 m c X V v d D s s J n F 1 b 3 Q 7 U 2 V j d G l v b j E v c G x h e W V y c 1 8 x M F 8 4 X z I w M j I s I D E x I D U w I D A 4 I C g z K S 9 B d X R v U m V t b 3 Z l Z E N v b H V t b n M x L n t G a W R l b G l k Y W Q s M T d 9 J n F 1 b 3 Q 7 L C Z x d W 9 0 O 1 N l Y 3 R p b 2 4 x L 3 B s Y X l l c n N f M T B f O F 8 y M D I y L C A x M S A 1 M C A w O C A o M y k v Q X V 0 b 1 J l b W 9 2 Z W R D b 2 x 1 b W 5 z M S 5 7 R m 9 y b W E s M T h 9 J n F 1 b 3 Q 7 L C Z x d W 9 0 O 1 N l Y 3 R p b 2 4 x L 3 B s Y X l l c n N f M T B f O F 8 y M D I y L C A x M S A 1 M C A w O C A o M y k v Q X V 0 b 1 J l b W 9 2 Z W R D b 2 x 1 b W 5 z M S 5 7 U m V z a X N 0 Z W 5 j a W E s M T l 9 J n F 1 b 3 Q 7 L C Z x d W 9 0 O 1 N l Y 3 R p b 2 4 x L 3 B s Y X l l c n N f M T B f O F 8 y M D I y L C A x M S A 1 M C A w O C A o M y k v Q X V 0 b 1 J l b W 9 2 Z W R D b 2 x 1 b W 5 z M S 5 7 R m V j a G E g w 7 p s d G l t b y B w Y X J 0 a W R v L D I w f S Z x d W 9 0 O y w m c X V v d D t T Z W N 0 a W 9 u M S 9 w b G F 5 Z X J z X z E w X z h f M j A y M i w g M T E g N T A g M D g g K D M p L 0 F 1 d G 9 S Z W 1 v d m V k Q 2 9 s d W 1 u c z E u e 1 J l b m R p b W l l b n R v I M O 6 b H R p b W 8 g c G F y d G l k b y w y M X 0 m c X V v d D s s J n F 1 b 3 Q 7 U 2 V j d G l v b j E v c G x h e W V y c 1 8 x M F 8 4 X z I w M j I s I D E x I D U w I D A 4 I C g z K S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x M F 8 4 X z I w M j I s I D E x I D U w I D A 4 I C g z K S 9 B d X R v U m V t b 3 Z l Z E N v b H V t b n M x L n t O Y W N p b 2 5 h b G l k Y W Q s M H 0 m c X V v d D s s J n F 1 b 3 Q 7 U 2 V j d G l v b j E v c G x h e W V y c 1 8 x M F 8 4 X z I w M j I s I D E x I D U w I D A 4 I C g z K S 9 B d X R v U m V t b 3 Z l Z E N v b H V t b n M x L n t E b 3 J z Y W w s M X 0 m c X V v d D s s J n F 1 b 3 Q 7 U 2 V j d G l v b j E v c G x h e W V y c 1 8 x M F 8 4 X z I w M j I s I D E x I D U w I D A 4 I C g z K S 9 B d X R v U m V t b 3 Z l Z E N v b H V t b n M x L n t O b 2 1 i c m U s M n 0 m c X V v d D s s J n F 1 b 3 Q 7 U 2 V j d G l v b j E v c G x h e W V y c 1 8 x M F 8 4 X z I w M j I s I D E x I D U w I D A 4 I C g z K S 9 B d X R v U m V t b 3 Z l Z E N v b H V t b n M x L n t J R C B k Z W w g a n V n Y W R v c i w z f S Z x d W 9 0 O y w m c X V v d D t T Z W N 0 a W 9 u M S 9 w b G F 5 Z X J z X z E w X z h f M j A y M i w g M T E g N T A g M D g g K D M p L 0 F 1 d G 9 S Z W 1 v d m V k Q 2 9 s d W 1 u c z E u e 0 V u d H J l b m F k b 3 I s N H 0 m c X V v d D s s J n F 1 b 3 Q 7 U 2 V j d G l v b j E v c G x h e W V y c 1 8 x M F 8 4 X z I w M j I s I D E x I D U w I D A 4 I C g z K S 9 B d X R v U m V t b 3 Z l Z E N v b H V t b n M x L n t F c 3 B l Y 2 l h b G l k Y W Q s N X 0 m c X V v d D s s J n F 1 b 3 Q 7 U 2 V j d G l v b j E v c G x h e W V y c 1 8 x M F 8 4 X z I w M j I s I D E x I D U w I D A 4 I C g z K S 9 B d X R v U m V t b 3 Z l Z E N v b H V t b n M x L n t C b 2 5 p Z m l j Y W N p w 7 N u I H B v c i B j b H V i I G R l I G 9 y a W d l b i w 2 f S Z x d W 9 0 O y w m c X V v d D t T Z W N 0 a W 9 u M S 9 w b G F 5 Z X J z X z E w X z h f M j A y M i w g M T E g N T A g M D g g K D M p L 0 F 1 d G 9 S Z W 1 v d m V k Q 2 9 s d W 1 u c z E u e 0 x l c 2 l v b m V z L D d 9 J n F 1 b 3 Q 7 L C Z x d W 9 0 O 1 N l Y 3 R p b 2 4 x L 3 B s Y X l l c n N f M T B f O F 8 y M D I y L C A x M S A 1 M C A w O C A o M y k v Q X V 0 b 1 J l b W 9 2 Z W R D b 2 x 1 b W 5 z M S 5 7 Q W 1 v b m V z d G F j a W 9 u Z X M s O H 0 m c X V v d D s s J n F 1 b 3 Q 7 U 2 V j d G l v b j E v c G x h e W V y c 1 8 x M F 8 4 X z I w M j I s I D E x I D U w I D A 4 I C g z K S 9 B d X R v U m V t b 3 Z l Z E N v b H V t b n M x L n t F b i B s Y S B s a X N 0 Y S B k Z S B 0 c m F u c 2 Z l c m V u Y 2 l h c y w 5 f S Z x d W 9 0 O y w m c X V v d D t T Z W N 0 a W 9 u M S 9 w b G F 5 Z X J z X z E w X z h f M j A y M i w g M T E g N T A g M D g g K D M p L 0 F 1 d G 9 S Z W 1 v d m V k Q 2 9 s d W 1 u c z E u e 0 V k Y W Q s M T B 9 J n F 1 b 3 Q 7 L C Z x d W 9 0 O 1 N l Y 3 R p b 2 4 x L 3 B s Y X l l c n N f M T B f O F 8 y M D I y L C A x M S A 1 M C A w O C A o M y k v Q X V 0 b 1 J l b W 9 2 Z W R D b 2 x 1 b W 5 z M S 5 7 R M O t Y X M s M T F 9 J n F 1 b 3 Q 7 L C Z x d W 9 0 O 1 N l Y 3 R p b 2 4 x L 3 B s Y X l l c n N f M T B f O F 8 y M D I y L C A x M S A 1 M C A w O C A o M y k v Q X V 0 b 1 J l b W 9 2 Z W R D b 2 x 1 b W 5 z M S 5 7 V F N J L D E y f S Z x d W 9 0 O y w m c X V v d D t T Z W N 0 a W 9 u M S 9 w b G F 5 Z X J z X z E w X z h f M j A y M i w g M T E g N T A g M D g g K D M p L 0 F 1 d G 9 S Z W 1 v d m V k Q 2 9 s d W 1 u c z E u e 1 N h b G F y a W 8 s M T N 9 J n F 1 b 3 Q 7 L C Z x d W 9 0 O 1 N l Y 3 R p b 2 4 x L 3 B s Y X l l c n N f M T B f O F 8 y M D I y L C A x M S A 1 M C A w O C A o M y k v Q X V 0 b 1 J l b W 9 2 Z W R D b 2 x 1 b W 5 z M S 5 7 U 2 V t Y W 5 h c y B l b i B l b C B j b H V i L D E 0 f S Z x d W 9 0 O y w m c X V v d D t T Z W N 0 a W 9 u M S 9 w b G F 5 Z X J z X z E w X z h f M j A y M i w g M T E g N T A g M D g g K D M p L 0 F 1 d G 9 S Z W 1 v d m V k Q 2 9 s d W 1 u c z E u e 0 V 4 c G V y a W V u Y 2 l h L D E 1 f S Z x d W 9 0 O y w m c X V v d D t T Z W N 0 a W 9 u M S 9 w b G F 5 Z X J z X z E w X z h f M j A y M i w g M T E g N T A g M D g g K D M p L 0 F 1 d G 9 S Z W 1 v d m V k Q 2 9 s d W 1 u c z E u e 0 x p Z G V y Y X p n b y w x N n 0 m c X V v d D s s J n F 1 b 3 Q 7 U 2 V j d G l v b j E v c G x h e W V y c 1 8 x M F 8 4 X z I w M j I s I D E x I D U w I D A 4 I C g z K S 9 B d X R v U m V t b 3 Z l Z E N v b H V t b n M x L n t G a W R l b G l k Y W Q s M T d 9 J n F 1 b 3 Q 7 L C Z x d W 9 0 O 1 N l Y 3 R p b 2 4 x L 3 B s Y X l l c n N f M T B f O F 8 y M D I y L C A x M S A 1 M C A w O C A o M y k v Q X V 0 b 1 J l b W 9 2 Z W R D b 2 x 1 b W 5 z M S 5 7 R m 9 y b W E s M T h 9 J n F 1 b 3 Q 7 L C Z x d W 9 0 O 1 N l Y 3 R p b 2 4 x L 3 B s Y X l l c n N f M T B f O F 8 y M D I y L C A x M S A 1 M C A w O C A o M y k v Q X V 0 b 1 J l b W 9 2 Z W R D b 2 x 1 b W 5 z M S 5 7 U m V z a X N 0 Z W 5 j a W E s M T l 9 J n F 1 b 3 Q 7 L C Z x d W 9 0 O 1 N l Y 3 R p b 2 4 x L 3 B s Y X l l c n N f M T B f O F 8 y M D I y L C A x M S A 1 M C A w O C A o M y k v Q X V 0 b 1 J l b W 9 2 Z W R D b 2 x 1 b W 5 z M S 5 7 R m V j a G E g w 7 p s d G l t b y B w Y X J 0 a W R v L D I w f S Z x d W 9 0 O y w m c X V v d D t T Z W N 0 a W 9 u M S 9 w b G F 5 Z X J z X z E w X z h f M j A y M i w g M T E g N T A g M D g g K D M p L 0 F 1 d G 9 S Z W 1 v d m V k Q 2 9 s d W 1 u c z E u e 1 J l b m R p b W l l b n R v I M O 6 b H R p b W 8 g c G F y d G l k b y w y M X 0 m c X V v d D s s J n F 1 b 3 Q 7 U 2 V j d G l v b j E v c G x h e W V y c 1 8 x M F 8 4 X z I w M j I s I D E x I D U w I D A 4 I C g z K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S U y M D U w J T I w M D g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i U y M D A 1 J T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F Q x M D o w N T o 0 M i 4 y N j Q y N j c z W i I g L z 4 8 R W 5 0 c n k g V H l w Z T 0 i R m l s b E N v b H V t b l R 5 c G V z I i B W Y W x 1 Z T 0 i c 0 J n W U d B d 0 1 H Q X d N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B f O F 8 y M D I y L C A x M i A w N S A y N S 9 B d X R v U m V t b 3 Z l Z E N v b H V t b n M x L n t O Y W N p b 2 5 h b G l k Y W Q s M H 0 m c X V v d D s s J n F 1 b 3 Q 7 U 2 V j d G l v b j E v c G x h e W V y c 1 8 x M F 8 4 X z I w M j I s I D E y I D A 1 I D I 1 L 0 F 1 d G 9 S Z W 1 v d m V k Q 2 9 s d W 1 u c z E u e 0 R v c n N h b C w x f S Z x d W 9 0 O y w m c X V v d D t T Z W N 0 a W 9 u M S 9 w b G F 5 Z X J z X z E w X z h f M j A y M i w g M T I g M D U g M j U v Q X V 0 b 1 J l b W 9 2 Z W R D b 2 x 1 b W 5 z M S 5 7 T m 9 t Y n J l L D J 9 J n F 1 b 3 Q 7 L C Z x d W 9 0 O 1 N l Y 3 R p b 2 4 x L 3 B s Y X l l c n N f M T B f O F 8 y M D I y L C A x M i A w N S A y N S 9 B d X R v U m V t b 3 Z l Z E N v b H V t b n M x L n t J R C B k Z W w g a n V n Y W R v c i w z f S Z x d W 9 0 O y w m c X V v d D t T Z W N 0 a W 9 u M S 9 w b G F 5 Z X J z X z E w X z h f M j A y M i w g M T I g M D U g M j U v Q X V 0 b 1 J l b W 9 2 Z W R D b 2 x 1 b W 5 z M S 5 7 R W 5 0 c m V u Y W R v c i w 0 f S Z x d W 9 0 O y w m c X V v d D t T Z W N 0 a W 9 u M S 9 w b G F 5 Z X J z X z E w X z h f M j A y M i w g M T I g M D U g M j U v Q X V 0 b 1 J l b W 9 2 Z W R D b 2 x 1 b W 5 z M S 5 7 R X N w Z W N p Y W x p Z G F k L D V 9 J n F 1 b 3 Q 7 L C Z x d W 9 0 O 1 N l Y 3 R p b 2 4 x L 3 B s Y X l l c n N f M T B f O F 8 y M D I y L C A x M i A w N S A y N S 9 B d X R v U m V t b 3 Z l Z E N v b H V t b n M x L n t C b 2 5 p Z m l j Y W N p w 7 N u I H B v c i B j b H V i I G R l I G 9 y a W d l b i w 2 f S Z x d W 9 0 O y w m c X V v d D t T Z W N 0 a W 9 u M S 9 w b G F 5 Z X J z X z E w X z h f M j A y M i w g M T I g M D U g M j U v Q X V 0 b 1 J l b W 9 2 Z W R D b 2 x 1 b W 5 z M S 5 7 T G V z a W 9 u Z X M s N 3 0 m c X V v d D s s J n F 1 b 3 Q 7 U 2 V j d G l v b j E v c G x h e W V y c 1 8 x M F 8 4 X z I w M j I s I D E y I D A 1 I D I 1 L 0 F 1 d G 9 S Z W 1 v d m V k Q 2 9 s d W 1 u c z E u e 0 F t b 2 5 l c 3 R h Y 2 l v b m V z L D h 9 J n F 1 b 3 Q 7 L C Z x d W 9 0 O 1 N l Y 3 R p b 2 4 x L 3 B s Y X l l c n N f M T B f O F 8 y M D I y L C A x M i A w N S A y N S 9 B d X R v U m V t b 3 Z l Z E N v b H V t b n M x L n t F b i B s Y S B s a X N 0 Y S B k Z S B 0 c m F u c 2 Z l c m V u Y 2 l h c y w 5 f S Z x d W 9 0 O y w m c X V v d D t T Z W N 0 a W 9 u M S 9 w b G F 5 Z X J z X z E w X z h f M j A y M i w g M T I g M D U g M j U v Q X V 0 b 1 J l b W 9 2 Z W R D b 2 x 1 b W 5 z M S 5 7 R W R h Z C w x M H 0 m c X V v d D s s J n F 1 b 3 Q 7 U 2 V j d G l v b j E v c G x h e W V y c 1 8 x M F 8 4 X z I w M j I s I D E y I D A 1 I D I 1 L 0 F 1 d G 9 S Z W 1 v d m V k Q 2 9 s d W 1 u c z E u e 0 T D r W F z L D E x f S Z x d W 9 0 O y w m c X V v d D t T Z W N 0 a W 9 u M S 9 w b G F 5 Z X J z X z E w X z h f M j A y M i w g M T I g M D U g M j U v Q X V 0 b 1 J l b W 9 2 Z W R D b 2 x 1 b W 5 z M S 5 7 V F N J L D E y f S Z x d W 9 0 O y w m c X V v d D t T Z W N 0 a W 9 u M S 9 w b G F 5 Z X J z X z E w X z h f M j A y M i w g M T I g M D U g M j U v Q X V 0 b 1 J l b W 9 2 Z W R D b 2 x 1 b W 5 z M S 5 7 U 2 F s Y X J p b y w x M 3 0 m c X V v d D s s J n F 1 b 3 Q 7 U 2 V j d G l v b j E v c G x h e W V y c 1 8 x M F 8 4 X z I w M j I s I D E y I D A 1 I D I 1 L 0 F 1 d G 9 S Z W 1 v d m V k Q 2 9 s d W 1 u c z E u e 1 N l b W F u Y X M g Z W 4 g Z W w g Y 2 x 1 Y i w x N H 0 m c X V v d D s s J n F 1 b 3 Q 7 U 2 V j d G l v b j E v c G x h e W V y c 1 8 x M F 8 4 X z I w M j I s I D E y I D A 1 I D I 1 L 0 F 1 d G 9 S Z W 1 v d m V k Q 2 9 s d W 1 u c z E u e 0 V 4 c G V y a W V u Y 2 l h L D E 1 f S Z x d W 9 0 O y w m c X V v d D t T Z W N 0 a W 9 u M S 9 w b G F 5 Z X J z X z E w X z h f M j A y M i w g M T I g M D U g M j U v Q X V 0 b 1 J l b W 9 2 Z W R D b 2 x 1 b W 5 z M S 5 7 T G l k Z X J h e m d v L D E 2 f S Z x d W 9 0 O y w m c X V v d D t T Z W N 0 a W 9 u M S 9 w b G F 5 Z X J z X z E w X z h f M j A y M i w g M T I g M D U g M j U v Q X V 0 b 1 J l b W 9 2 Z W R D b 2 x 1 b W 5 z M S 5 7 R m l k Z W x p Z G F k L D E 3 f S Z x d W 9 0 O y w m c X V v d D t T Z W N 0 a W 9 u M S 9 w b G F 5 Z X J z X z E w X z h f M j A y M i w g M T I g M D U g M j U v Q X V 0 b 1 J l b W 9 2 Z W R D b 2 x 1 b W 5 z M S 5 7 R m 9 y b W E s M T h 9 J n F 1 b 3 Q 7 L C Z x d W 9 0 O 1 N l Y 3 R p b 2 4 x L 3 B s Y X l l c n N f M T B f O F 8 y M D I y L C A x M i A w N S A y N S 9 B d X R v U m V t b 3 Z l Z E N v b H V t b n M x L n t S Z X N p c 3 R l b m N p Y S w x O X 0 m c X V v d D s s J n F 1 b 3 Q 7 U 2 V j d G l v b j E v c G x h e W V y c 1 8 x M F 8 4 X z I w M j I s I D E y I D A 1 I D I 1 L 0 F 1 d G 9 S Z W 1 v d m V k Q 2 9 s d W 1 u c z E u e 0 Z l Y 2 h h I M O 6 b H R p b W 8 g c G F y d G l k b y w y M H 0 m c X V v d D s s J n F 1 b 3 Q 7 U 2 V j d G l v b j E v c G x h e W V y c 1 8 x M F 8 4 X z I w M j I s I D E y I D A 1 I D I 1 L 0 F 1 d G 9 S Z W 1 v d m V k Q 2 9 s d W 1 u c z E u e 1 J l b m R p b W l l b n R v I M O 6 b H R p b W 8 g c G F y d G l k b y w y M X 0 m c X V v d D s s J n F 1 b 3 Q 7 U 2 V j d G l v b j E v c G x h e W V y c 1 8 x M F 8 4 X z I w M j I s I D E y I D A 1 I D I 1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w X z h f M j A y M i w g M T I g M D U g M j U v Q X V 0 b 1 J l b W 9 2 Z W R D b 2 x 1 b W 5 z M S 5 7 T m F j a W 9 u Y W x p Z G F k L D B 9 J n F 1 b 3 Q 7 L C Z x d W 9 0 O 1 N l Y 3 R p b 2 4 x L 3 B s Y X l l c n N f M T B f O F 8 y M D I y L C A x M i A w N S A y N S 9 B d X R v U m V t b 3 Z l Z E N v b H V t b n M x L n t E b 3 J z Y W w s M X 0 m c X V v d D s s J n F 1 b 3 Q 7 U 2 V j d G l v b j E v c G x h e W V y c 1 8 x M F 8 4 X z I w M j I s I D E y I D A 1 I D I 1 L 0 F 1 d G 9 S Z W 1 v d m V k Q 2 9 s d W 1 u c z E u e 0 5 v b W J y Z S w y f S Z x d W 9 0 O y w m c X V v d D t T Z W N 0 a W 9 u M S 9 w b G F 5 Z X J z X z E w X z h f M j A y M i w g M T I g M D U g M j U v Q X V 0 b 1 J l b W 9 2 Z W R D b 2 x 1 b W 5 z M S 5 7 S U Q g Z G V s I G p 1 Z 2 F k b 3 I s M 3 0 m c X V v d D s s J n F 1 b 3 Q 7 U 2 V j d G l v b j E v c G x h e W V y c 1 8 x M F 8 4 X z I w M j I s I D E y I D A 1 I D I 1 L 0 F 1 d G 9 S Z W 1 v d m V k Q 2 9 s d W 1 u c z E u e 0 V u d H J l b m F k b 3 I s N H 0 m c X V v d D s s J n F 1 b 3 Q 7 U 2 V j d G l v b j E v c G x h e W V y c 1 8 x M F 8 4 X z I w M j I s I D E y I D A 1 I D I 1 L 0 F 1 d G 9 S Z W 1 v d m V k Q 2 9 s d W 1 u c z E u e 0 V z c G V j a W F s a W R h Z C w 1 f S Z x d W 9 0 O y w m c X V v d D t T Z W N 0 a W 9 u M S 9 w b G F 5 Z X J z X z E w X z h f M j A y M i w g M T I g M D U g M j U v Q X V 0 b 1 J l b W 9 2 Z W R D b 2 x 1 b W 5 z M S 5 7 Q m 9 u a W Z p Y 2 F j a c O z b i B w b 3 I g Y 2 x 1 Y i B k Z S B v c m l n Z W 4 s N n 0 m c X V v d D s s J n F 1 b 3 Q 7 U 2 V j d G l v b j E v c G x h e W V y c 1 8 x M F 8 4 X z I w M j I s I D E y I D A 1 I D I 1 L 0 F 1 d G 9 S Z W 1 v d m V k Q 2 9 s d W 1 u c z E u e 0 x l c 2 l v b m V z L D d 9 J n F 1 b 3 Q 7 L C Z x d W 9 0 O 1 N l Y 3 R p b 2 4 x L 3 B s Y X l l c n N f M T B f O F 8 y M D I y L C A x M i A w N S A y N S 9 B d X R v U m V t b 3 Z l Z E N v b H V t b n M x L n t B b W 9 u Z X N 0 Y W N p b 2 5 l c y w 4 f S Z x d W 9 0 O y w m c X V v d D t T Z W N 0 a W 9 u M S 9 w b G F 5 Z X J z X z E w X z h f M j A y M i w g M T I g M D U g M j U v Q X V 0 b 1 J l b W 9 2 Z W R D b 2 x 1 b W 5 z M S 5 7 R W 4 g b G E g b G l z d G E g Z G U g d H J h b n N m Z X J l b m N p Y X M s O X 0 m c X V v d D s s J n F 1 b 3 Q 7 U 2 V j d G l v b j E v c G x h e W V y c 1 8 x M F 8 4 X z I w M j I s I D E y I D A 1 I D I 1 L 0 F 1 d G 9 S Z W 1 v d m V k Q 2 9 s d W 1 u c z E u e 0 V k Y W Q s M T B 9 J n F 1 b 3 Q 7 L C Z x d W 9 0 O 1 N l Y 3 R p b 2 4 x L 3 B s Y X l l c n N f M T B f O F 8 y M D I y L C A x M i A w N S A y N S 9 B d X R v U m V t b 3 Z l Z E N v b H V t b n M x L n t E w 6 1 h c y w x M X 0 m c X V v d D s s J n F 1 b 3 Q 7 U 2 V j d G l v b j E v c G x h e W V y c 1 8 x M F 8 4 X z I w M j I s I D E y I D A 1 I D I 1 L 0 F 1 d G 9 S Z W 1 v d m V k Q 2 9 s d W 1 u c z E u e 1 R T S S w x M n 0 m c X V v d D s s J n F 1 b 3 Q 7 U 2 V j d G l v b j E v c G x h e W V y c 1 8 x M F 8 4 X z I w M j I s I D E y I D A 1 I D I 1 L 0 F 1 d G 9 S Z W 1 v d m V k Q 2 9 s d W 1 u c z E u e 1 N h b G F y a W 8 s M T N 9 J n F 1 b 3 Q 7 L C Z x d W 9 0 O 1 N l Y 3 R p b 2 4 x L 3 B s Y X l l c n N f M T B f O F 8 y M D I y L C A x M i A w N S A y N S 9 B d X R v U m V t b 3 Z l Z E N v b H V t b n M x L n t T Z W 1 h b m F z I G V u I G V s I G N s d W I s M T R 9 J n F 1 b 3 Q 7 L C Z x d W 9 0 O 1 N l Y 3 R p b 2 4 x L 3 B s Y X l l c n N f M T B f O F 8 y M D I y L C A x M i A w N S A y N S 9 B d X R v U m V t b 3 Z l Z E N v b H V t b n M x L n t F e H B l c m l l b m N p Y S w x N X 0 m c X V v d D s s J n F 1 b 3 Q 7 U 2 V j d G l v b j E v c G x h e W V y c 1 8 x M F 8 4 X z I w M j I s I D E y I D A 1 I D I 1 L 0 F 1 d G 9 S Z W 1 v d m V k Q 2 9 s d W 1 u c z E u e 0 x p Z G V y Y X p n b y w x N n 0 m c X V v d D s s J n F 1 b 3 Q 7 U 2 V j d G l v b j E v c G x h e W V y c 1 8 x M F 8 4 X z I w M j I s I D E y I D A 1 I D I 1 L 0 F 1 d G 9 S Z W 1 v d m V k Q 2 9 s d W 1 u c z E u e 0 Z p Z G V s a W R h Z C w x N 3 0 m c X V v d D s s J n F 1 b 3 Q 7 U 2 V j d G l v b j E v c G x h e W V y c 1 8 x M F 8 4 X z I w M j I s I D E y I D A 1 I D I 1 L 0 F 1 d G 9 S Z W 1 v d m V k Q 2 9 s d W 1 u c z E u e 0 Z v c m 1 h L D E 4 f S Z x d W 9 0 O y w m c X V v d D t T Z W N 0 a W 9 u M S 9 w b G F 5 Z X J z X z E w X z h f M j A y M i w g M T I g M D U g M j U v Q X V 0 b 1 J l b W 9 2 Z W R D b 2 x 1 b W 5 z M S 5 7 U m V z a X N 0 Z W 5 j a W E s M T l 9 J n F 1 b 3 Q 7 L C Z x d W 9 0 O 1 N l Y 3 R p b 2 4 x L 3 B s Y X l l c n N f M T B f O F 8 y M D I y L C A x M i A w N S A y N S 9 B d X R v U m V t b 3 Z l Z E N v b H V t b n M x L n t G Z W N o Y S D D u m x 0 a W 1 v I H B h c n R p Z G 8 s M j B 9 J n F 1 b 3 Q 7 L C Z x d W 9 0 O 1 N l Y 3 R p b 2 4 x L 3 B s Y X l l c n N f M T B f O F 8 y M D I y L C A x M i A w N S A y N S 9 B d X R v U m V t b 3 Z l Z E N v b H V t b n M x L n t S Z W 5 k a W 1 p Z W 5 0 b y D D u m x 0 a W 1 v I H B h c n R p Z G 8 s M j F 9 J n F 1 b 3 Q 7 L C Z x d W 9 0 O 1 N l Y 3 R p b 2 4 x L 3 B s Y X l l c n N f M T B f O F 8 y M D I y L C A x M i A w N S A y N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F 8 4 X z I w M j I l M k M l M j A x M i U y M D A 1 J T I w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i U y M D A 1 J T I w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F 8 4 X z I w M j I l M k M l M j A x M i U y M D A 1 J T I w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V 8 4 X z I w M j I l M k M l M j A x N C U y M D I 4 J T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Y X N v I H F 1 Z S B h c n J h c 2 8 i I C 8 + P E V u d H J 5 I F R 5 c G U 9 I l J l Y 2 9 2 Z X J 5 V G F y Z 2 V 0 Q 2 9 s d W 1 u I i B W Y W x 1 Z T 0 i b D I 5 I i A v P j x F b n R y e S B U e X B l P S J S Z W N v d m V y e V R h c m d l d F J v d y I g V m F s d W U 9 I m w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V Q x M j o y O D o z O S 4 z N j A w O T c y W i I g L z 4 8 R W 5 0 c n k g V H l w Z T 0 i R m l s b E N v b H V t b l R 5 c G V z I i B W Y W x 1 Z T 0 i c 0 J n T U d B d 0 1 H Q X d Z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F f O F 8 y M D I y L C A x N C A y O C A x M y 9 B d X R v U m V t b 3 Z l Z E N v b H V t b n M x L n t O Y W N p b 2 5 h b G l k Y W Q s M H 0 m c X V v d D s s J n F 1 b 3 Q 7 U 2 V j d G l v b j E v c G x h e W V y c 1 8 x M V 8 4 X z I w M j I s I D E 0 I D I 4 I D E z L 0 F 1 d G 9 S Z W 1 v d m V k Q 2 9 s d W 1 u c z E u e 0 R v c n N h b C w x f S Z x d W 9 0 O y w m c X V v d D t T Z W N 0 a W 9 u M S 9 w b G F 5 Z X J z X z E x X z h f M j A y M i w g M T Q g M j g g M T M v Q X V 0 b 1 J l b W 9 2 Z W R D b 2 x 1 b W 5 z M S 5 7 T m 9 t Y n J l L D J 9 J n F 1 b 3 Q 7 L C Z x d W 9 0 O 1 N l Y 3 R p b 2 4 x L 3 B s Y X l l c n N f M T F f O F 8 y M D I y L C A x N C A y O C A x M y 9 B d X R v U m V t b 3 Z l Z E N v b H V t b n M x L n t J R C B k Z W w g a n V n Y W R v c i w z f S Z x d W 9 0 O y w m c X V v d D t T Z W N 0 a W 9 u M S 9 w b G F 5 Z X J z X z E x X z h f M j A y M i w g M T Q g M j g g M T M v Q X V 0 b 1 J l b W 9 2 Z W R D b 2 x 1 b W 5 z M S 5 7 R W 5 0 c m V u Y W R v c i w 0 f S Z x d W 9 0 O y w m c X V v d D t T Z W N 0 a W 9 u M S 9 w b G F 5 Z X J z X z E x X z h f M j A y M i w g M T Q g M j g g M T M v Q X V 0 b 1 J l b W 9 2 Z W R D b 2 x 1 b W 5 z M S 5 7 R X N w Z W N p Y W x p Z G F k L D V 9 J n F 1 b 3 Q 7 L C Z x d W 9 0 O 1 N l Y 3 R p b 2 4 x L 3 B s Y X l l c n N f M T F f O F 8 y M D I y L C A x N C A y O C A x M y 9 B d X R v U m V t b 3 Z l Z E N v b H V t b n M x L n t C b 2 5 p Z m l j Y W N p w 7 N u I H B v c i B j b H V i I G R l I G 9 y a W d l b i w 2 f S Z x d W 9 0 O y w m c X V v d D t T Z W N 0 a W 9 u M S 9 w b G F 5 Z X J z X z E x X z h f M j A y M i w g M T Q g M j g g M T M v Q X V 0 b 1 J l b W 9 2 Z W R D b 2 x 1 b W 5 z M S 5 7 T G V z a W 9 u Z X M s N 3 0 m c X V v d D s s J n F 1 b 3 Q 7 U 2 V j d G l v b j E v c G x h e W V y c 1 8 x M V 8 4 X z I w M j I s I D E 0 I D I 4 I D E z L 0 F 1 d G 9 S Z W 1 v d m V k Q 2 9 s d W 1 u c z E u e 0 F t b 2 5 l c 3 R h Y 2 l v b m V z L D h 9 J n F 1 b 3 Q 7 L C Z x d W 9 0 O 1 N l Y 3 R p b 2 4 x L 3 B s Y X l l c n N f M T F f O F 8 y M D I y L C A x N C A y O C A x M y 9 B d X R v U m V t b 3 Z l Z E N v b H V t b n M x L n t F b i B s Y S B s a X N 0 Y S B k Z S B 0 c m F u c 2 Z l c m V u Y 2 l h c y w 5 f S Z x d W 9 0 O y w m c X V v d D t T Z W N 0 a W 9 u M S 9 w b G F 5 Z X J z X z E x X z h f M j A y M i w g M T Q g M j g g M T M v Q X V 0 b 1 J l b W 9 2 Z W R D b 2 x 1 b W 5 z M S 5 7 R W R h Z C w x M H 0 m c X V v d D s s J n F 1 b 3 Q 7 U 2 V j d G l v b j E v c G x h e W V y c 1 8 x M V 8 4 X z I w M j I s I D E 0 I D I 4 I D E z L 0 F 1 d G 9 S Z W 1 v d m V k Q 2 9 s d W 1 u c z E u e 0 T D r W F z L D E x f S Z x d W 9 0 O y w m c X V v d D t T Z W N 0 a W 9 u M S 9 w b G F 5 Z X J z X z E x X z h f M j A y M i w g M T Q g M j g g M T M v Q X V 0 b 1 J l b W 9 2 Z W R D b 2 x 1 b W 5 z M S 5 7 V F N J L D E y f S Z x d W 9 0 O y w m c X V v d D t T Z W N 0 a W 9 u M S 9 w b G F 5 Z X J z X z E x X z h f M j A y M i w g M T Q g M j g g M T M v Q X V 0 b 1 J l b W 9 2 Z W R D b 2 x 1 b W 5 z M S 5 7 U 2 F s Y X J p b y w x M 3 0 m c X V v d D s s J n F 1 b 3 Q 7 U 2 V j d G l v b j E v c G x h e W V y c 1 8 x M V 8 4 X z I w M j I s I D E 0 I D I 4 I D E z L 0 F 1 d G 9 S Z W 1 v d m V k Q 2 9 s d W 1 u c z E u e 1 N l b W F u Y X M g Z W 4 g Z W w g Y 2 x 1 Y i w x N H 0 m c X V v d D s s J n F 1 b 3 Q 7 U 2 V j d G l v b j E v c G x h e W V y c 1 8 x M V 8 4 X z I w M j I s I D E 0 I D I 4 I D E z L 0 F 1 d G 9 S Z W 1 v d m V k Q 2 9 s d W 1 u c z E u e 0 V 4 c G V y a W V u Y 2 l h L D E 1 f S Z x d W 9 0 O y w m c X V v d D t T Z W N 0 a W 9 u M S 9 w b G F 5 Z X J z X z E x X z h f M j A y M i w g M T Q g M j g g M T M v Q X V 0 b 1 J l b W 9 2 Z W R D b 2 x 1 b W 5 z M S 5 7 T G l k Z X J h e m d v L D E 2 f S Z x d W 9 0 O y w m c X V v d D t T Z W N 0 a W 9 u M S 9 w b G F 5 Z X J z X z E x X z h f M j A y M i w g M T Q g M j g g M T M v Q X V 0 b 1 J l b W 9 2 Z W R D b 2 x 1 b W 5 z M S 5 7 R m l k Z W x p Z G F k L D E 3 f S Z x d W 9 0 O y w m c X V v d D t T Z W N 0 a W 9 u M S 9 w b G F 5 Z X J z X z E x X z h f M j A y M i w g M T Q g M j g g M T M v Q X V 0 b 1 J l b W 9 2 Z W R D b 2 x 1 b W 5 z M S 5 7 R m 9 y b W E s M T h 9 J n F 1 b 3 Q 7 L C Z x d W 9 0 O 1 N l Y 3 R p b 2 4 x L 3 B s Y X l l c n N f M T F f O F 8 y M D I y L C A x N C A y O C A x M y 9 B d X R v U m V t b 3 Z l Z E N v b H V t b n M x L n t S Z X N p c 3 R l b m N p Y S w x O X 0 m c X V v d D s s J n F 1 b 3 Q 7 U 2 V j d G l v b j E v c G x h e W V y c 1 8 x M V 8 4 X z I w M j I s I D E 0 I D I 4 I D E z L 0 F 1 d G 9 S Z W 1 v d m V k Q 2 9 s d W 1 u c z E u e 0 Z l Y 2 h h I M O 6 b H R p b W 8 g c G F y d G l k b y w y M H 0 m c X V v d D s s J n F 1 b 3 Q 7 U 2 V j d G l v b j E v c G x h e W V y c 1 8 x M V 8 4 X z I w M j I s I D E 0 I D I 4 I D E z L 0 F 1 d G 9 S Z W 1 v d m V k Q 2 9 s d W 1 u c z E u e 1 J l b m R p b W l l b n R v I M O 6 b H R p b W 8 g c G F y d G l k b y w y M X 0 m c X V v d D s s J n F 1 b 3 Q 7 U 2 V j d G l v b j E v c G x h e W V y c 1 8 x M V 8 4 X z I w M j I s I D E 0 I D I 4 I D E z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x X z h f M j A y M i w g M T Q g M j g g M T M v Q X V 0 b 1 J l b W 9 2 Z W R D b 2 x 1 b W 5 z M S 5 7 T m F j a W 9 u Y W x p Z G F k L D B 9 J n F 1 b 3 Q 7 L C Z x d W 9 0 O 1 N l Y 3 R p b 2 4 x L 3 B s Y X l l c n N f M T F f O F 8 y M D I y L C A x N C A y O C A x M y 9 B d X R v U m V t b 3 Z l Z E N v b H V t b n M x L n t E b 3 J z Y W w s M X 0 m c X V v d D s s J n F 1 b 3 Q 7 U 2 V j d G l v b j E v c G x h e W V y c 1 8 x M V 8 4 X z I w M j I s I D E 0 I D I 4 I D E z L 0 F 1 d G 9 S Z W 1 v d m V k Q 2 9 s d W 1 u c z E u e 0 5 v b W J y Z S w y f S Z x d W 9 0 O y w m c X V v d D t T Z W N 0 a W 9 u M S 9 w b G F 5 Z X J z X z E x X z h f M j A y M i w g M T Q g M j g g M T M v Q X V 0 b 1 J l b W 9 2 Z W R D b 2 x 1 b W 5 z M S 5 7 S U Q g Z G V s I G p 1 Z 2 F k b 3 I s M 3 0 m c X V v d D s s J n F 1 b 3 Q 7 U 2 V j d G l v b j E v c G x h e W V y c 1 8 x M V 8 4 X z I w M j I s I D E 0 I D I 4 I D E z L 0 F 1 d G 9 S Z W 1 v d m V k Q 2 9 s d W 1 u c z E u e 0 V u d H J l b m F k b 3 I s N H 0 m c X V v d D s s J n F 1 b 3 Q 7 U 2 V j d G l v b j E v c G x h e W V y c 1 8 x M V 8 4 X z I w M j I s I D E 0 I D I 4 I D E z L 0 F 1 d G 9 S Z W 1 v d m V k Q 2 9 s d W 1 u c z E u e 0 V z c G V j a W F s a W R h Z C w 1 f S Z x d W 9 0 O y w m c X V v d D t T Z W N 0 a W 9 u M S 9 w b G F 5 Z X J z X z E x X z h f M j A y M i w g M T Q g M j g g M T M v Q X V 0 b 1 J l b W 9 2 Z W R D b 2 x 1 b W 5 z M S 5 7 Q m 9 u a W Z p Y 2 F j a c O z b i B w b 3 I g Y 2 x 1 Y i B k Z S B v c m l n Z W 4 s N n 0 m c X V v d D s s J n F 1 b 3 Q 7 U 2 V j d G l v b j E v c G x h e W V y c 1 8 x M V 8 4 X z I w M j I s I D E 0 I D I 4 I D E z L 0 F 1 d G 9 S Z W 1 v d m V k Q 2 9 s d W 1 u c z E u e 0 x l c 2 l v b m V z L D d 9 J n F 1 b 3 Q 7 L C Z x d W 9 0 O 1 N l Y 3 R p b 2 4 x L 3 B s Y X l l c n N f M T F f O F 8 y M D I y L C A x N C A y O C A x M y 9 B d X R v U m V t b 3 Z l Z E N v b H V t b n M x L n t B b W 9 u Z X N 0 Y W N p b 2 5 l c y w 4 f S Z x d W 9 0 O y w m c X V v d D t T Z W N 0 a W 9 u M S 9 w b G F 5 Z X J z X z E x X z h f M j A y M i w g M T Q g M j g g M T M v Q X V 0 b 1 J l b W 9 2 Z W R D b 2 x 1 b W 5 z M S 5 7 R W 4 g b G E g b G l z d G E g Z G U g d H J h b n N m Z X J l b m N p Y X M s O X 0 m c X V v d D s s J n F 1 b 3 Q 7 U 2 V j d G l v b j E v c G x h e W V y c 1 8 x M V 8 4 X z I w M j I s I D E 0 I D I 4 I D E z L 0 F 1 d G 9 S Z W 1 v d m V k Q 2 9 s d W 1 u c z E u e 0 V k Y W Q s M T B 9 J n F 1 b 3 Q 7 L C Z x d W 9 0 O 1 N l Y 3 R p b 2 4 x L 3 B s Y X l l c n N f M T F f O F 8 y M D I y L C A x N C A y O C A x M y 9 B d X R v U m V t b 3 Z l Z E N v b H V t b n M x L n t E w 6 1 h c y w x M X 0 m c X V v d D s s J n F 1 b 3 Q 7 U 2 V j d G l v b j E v c G x h e W V y c 1 8 x M V 8 4 X z I w M j I s I D E 0 I D I 4 I D E z L 0 F 1 d G 9 S Z W 1 v d m V k Q 2 9 s d W 1 u c z E u e 1 R T S S w x M n 0 m c X V v d D s s J n F 1 b 3 Q 7 U 2 V j d G l v b j E v c G x h e W V y c 1 8 x M V 8 4 X z I w M j I s I D E 0 I D I 4 I D E z L 0 F 1 d G 9 S Z W 1 v d m V k Q 2 9 s d W 1 u c z E u e 1 N h b G F y a W 8 s M T N 9 J n F 1 b 3 Q 7 L C Z x d W 9 0 O 1 N l Y 3 R p b 2 4 x L 3 B s Y X l l c n N f M T F f O F 8 y M D I y L C A x N C A y O C A x M y 9 B d X R v U m V t b 3 Z l Z E N v b H V t b n M x L n t T Z W 1 h b m F z I G V u I G V s I G N s d W I s M T R 9 J n F 1 b 3 Q 7 L C Z x d W 9 0 O 1 N l Y 3 R p b 2 4 x L 3 B s Y X l l c n N f M T F f O F 8 y M D I y L C A x N C A y O C A x M y 9 B d X R v U m V t b 3 Z l Z E N v b H V t b n M x L n t F e H B l c m l l b m N p Y S w x N X 0 m c X V v d D s s J n F 1 b 3 Q 7 U 2 V j d G l v b j E v c G x h e W V y c 1 8 x M V 8 4 X z I w M j I s I D E 0 I D I 4 I D E z L 0 F 1 d G 9 S Z W 1 v d m V k Q 2 9 s d W 1 u c z E u e 0 x p Z G V y Y X p n b y w x N n 0 m c X V v d D s s J n F 1 b 3 Q 7 U 2 V j d G l v b j E v c G x h e W V y c 1 8 x M V 8 4 X z I w M j I s I D E 0 I D I 4 I D E z L 0 F 1 d G 9 S Z W 1 v d m V k Q 2 9 s d W 1 u c z E u e 0 Z p Z G V s a W R h Z C w x N 3 0 m c X V v d D s s J n F 1 b 3 Q 7 U 2 V j d G l v b j E v c G x h e W V y c 1 8 x M V 8 4 X z I w M j I s I D E 0 I D I 4 I D E z L 0 F 1 d G 9 S Z W 1 v d m V k Q 2 9 s d W 1 u c z E u e 0 Z v c m 1 h L D E 4 f S Z x d W 9 0 O y w m c X V v d D t T Z W N 0 a W 9 u M S 9 w b G F 5 Z X J z X z E x X z h f M j A y M i w g M T Q g M j g g M T M v Q X V 0 b 1 J l b W 9 2 Z W R D b 2 x 1 b W 5 z M S 5 7 U m V z a X N 0 Z W 5 j a W E s M T l 9 J n F 1 b 3 Q 7 L C Z x d W 9 0 O 1 N l Y 3 R p b 2 4 x L 3 B s Y X l l c n N f M T F f O F 8 y M D I y L C A x N C A y O C A x M y 9 B d X R v U m V t b 3 Z l Z E N v b H V t b n M x L n t G Z W N o Y S D D u m x 0 a W 1 v I H B h c n R p Z G 8 s M j B 9 J n F 1 b 3 Q 7 L C Z x d W 9 0 O 1 N l Y 3 R p b 2 4 x L 3 B s Y X l l c n N f M T F f O F 8 y M D I y L C A x N C A y O C A x M y 9 B d X R v U m V t b 3 Z l Z E N v b H V t b n M x L n t S Z W 5 k a W 1 p Z W 5 0 b y D D u m x 0 a W 1 v I H B h c n R p Z G 8 s M j F 9 J n F 1 b 3 Q 7 L C Z x d W 9 0 O 1 N l Y 3 R p b 2 4 x L 3 B s Y X l l c n N f M T F f O F 8 y M D I y L C A x N C A y O C A x M y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V 8 4 X z I w M j I l M k M l M j A x N C U y M D I 4 J T I w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V 8 4 X z I w M j I l M k M l M j A x N C U y M D I 4 J T I w M T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V 8 4 X z I w M j I l M k M l M j A x N C U y M D I 4 J T I w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V 8 4 X z I w M j I l M k M l M j A x N C U y M D I 5 J T I w N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Y W 1 i b 2 x p I i A v P j x F b n R y e S B U e X B l P S J S Z W N v d m V y e V R h c m d l d E N v b H V t b i I g V m F s d W U 9 I m w y O C I g L z 4 8 R W 5 0 c n k g V H l w Z T 0 i U m V j b 3 Z l c n l U Y X J n Z X R S b 3 c i I F Z h b H V l P S J s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I 6 M j k 6 N T k u N D Q 3 N T I 4 N l o i I C 8 + P E V u d H J 5 I F R 5 c G U 9 I k Z p b G x D b 2 x 1 b W 5 U e X B l c y I g V m F s d W U 9 I n N C Z 0 1 H Q X d N R 0 F 3 T U R B d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E x X z h f M j A y M i w g M T Q g M j k g N D I v Q X V 0 b 1 J l b W 9 2 Z W R D b 2 x 1 b W 5 z M S 5 7 T m F j a W 9 u Y W x p Z G F k L D B 9 J n F 1 b 3 Q 7 L C Z x d W 9 0 O 1 N l Y 3 R p b 2 4 x L 3 B s Y X l l c n N f M T F f O F 8 y M D I y L C A x N C A y O S A 0 M i 9 B d X R v U m V t b 3 Z l Z E N v b H V t b n M x L n t E b 3 J z Y W w s M X 0 m c X V v d D s s J n F 1 b 3 Q 7 U 2 V j d G l v b j E v c G x h e W V y c 1 8 x M V 8 4 X z I w M j I s I D E 0 I D I 5 I D Q y L 0 F 1 d G 9 S Z W 1 v d m V k Q 2 9 s d W 1 u c z E u e 0 5 v b W J y Z S w y f S Z x d W 9 0 O y w m c X V v d D t T Z W N 0 a W 9 u M S 9 w b G F 5 Z X J z X z E x X z h f M j A y M i w g M T Q g M j k g N D I v Q X V 0 b 1 J l b W 9 2 Z W R D b 2 x 1 b W 5 z M S 5 7 S U Q g Z G V s I G p 1 Z 2 F k b 3 I s M 3 0 m c X V v d D s s J n F 1 b 3 Q 7 U 2 V j d G l v b j E v c G x h e W V y c 1 8 x M V 8 4 X z I w M j I s I D E 0 I D I 5 I D Q y L 0 F 1 d G 9 S Z W 1 v d m V k Q 2 9 s d W 1 u c z E u e 0 V u d H J l b m F k b 3 I s N H 0 m c X V v d D s s J n F 1 b 3 Q 7 U 2 V j d G l v b j E v c G x h e W V y c 1 8 x M V 8 4 X z I w M j I s I D E 0 I D I 5 I D Q y L 0 F 1 d G 9 S Z W 1 v d m V k Q 2 9 s d W 1 u c z E u e 0 V z c G V j a W F s a W R h Z C w 1 f S Z x d W 9 0 O y w m c X V v d D t T Z W N 0 a W 9 u M S 9 w b G F 5 Z X J z X z E x X z h f M j A y M i w g M T Q g M j k g N D I v Q X V 0 b 1 J l b W 9 2 Z W R D b 2 x 1 b W 5 z M S 5 7 Q m 9 u a W Z p Y 2 F j a c O z b i B w b 3 I g Y 2 x 1 Y i B k Z S B v c m l n Z W 4 s N n 0 m c X V v d D s s J n F 1 b 3 Q 7 U 2 V j d G l v b j E v c G x h e W V y c 1 8 x M V 8 4 X z I w M j I s I D E 0 I D I 5 I D Q y L 0 F 1 d G 9 S Z W 1 v d m V k Q 2 9 s d W 1 u c z E u e 0 x l c 2 l v b m V z L D d 9 J n F 1 b 3 Q 7 L C Z x d W 9 0 O 1 N l Y 3 R p b 2 4 x L 3 B s Y X l l c n N f M T F f O F 8 y M D I y L C A x N C A y O S A 0 M i 9 B d X R v U m V t b 3 Z l Z E N v b H V t b n M x L n t B b W 9 u Z X N 0 Y W N p b 2 5 l c y w 4 f S Z x d W 9 0 O y w m c X V v d D t T Z W N 0 a W 9 u M S 9 w b G F 5 Z X J z X z E x X z h f M j A y M i w g M T Q g M j k g N D I v Q X V 0 b 1 J l b W 9 2 Z W R D b 2 x 1 b W 5 z M S 5 7 R W 4 g b G E g b G l z d G E g Z G U g d H J h b n N m Z X J l b m N p Y X M s O X 0 m c X V v d D s s J n F 1 b 3 Q 7 U 2 V j d G l v b j E v c G x h e W V y c 1 8 x M V 8 4 X z I w M j I s I D E 0 I D I 5 I D Q y L 0 F 1 d G 9 S Z W 1 v d m V k Q 2 9 s d W 1 u c z E u e 0 V k Y W Q s M T B 9 J n F 1 b 3 Q 7 L C Z x d W 9 0 O 1 N l Y 3 R p b 2 4 x L 3 B s Y X l l c n N f M T F f O F 8 y M D I y L C A x N C A y O S A 0 M i 9 B d X R v U m V t b 3 Z l Z E N v b H V t b n M x L n t E w 6 1 h c y w x M X 0 m c X V v d D s s J n F 1 b 3 Q 7 U 2 V j d G l v b j E v c G x h e W V y c 1 8 x M V 8 4 X z I w M j I s I D E 0 I D I 5 I D Q y L 0 F 1 d G 9 S Z W 1 v d m V k Q 2 9 s d W 1 u c z E u e 1 R T S S w x M n 0 m c X V v d D s s J n F 1 b 3 Q 7 U 2 V j d G l v b j E v c G x h e W V y c 1 8 x M V 8 4 X z I w M j I s I D E 0 I D I 5 I D Q y L 0 F 1 d G 9 S Z W 1 v d m V k Q 2 9 s d W 1 u c z E u e 1 N h b G F y a W 8 s M T N 9 J n F 1 b 3 Q 7 L C Z x d W 9 0 O 1 N l Y 3 R p b 2 4 x L 3 B s Y X l l c n N f M T F f O F 8 y M D I y L C A x N C A y O S A 0 M i 9 B d X R v U m V t b 3 Z l Z E N v b H V t b n M x L n t T Z W 1 h b m F z I G V u I G V s I G N s d W I s M T R 9 J n F 1 b 3 Q 7 L C Z x d W 9 0 O 1 N l Y 3 R p b 2 4 x L 3 B s Y X l l c n N f M T F f O F 8 y M D I y L C A x N C A y O S A 0 M i 9 B d X R v U m V t b 3 Z l Z E N v b H V t b n M x L n t F e H B l c m l l b m N p Y S w x N X 0 m c X V v d D s s J n F 1 b 3 Q 7 U 2 V j d G l v b j E v c G x h e W V y c 1 8 x M V 8 4 X z I w M j I s I D E 0 I D I 5 I D Q y L 0 F 1 d G 9 S Z W 1 v d m V k Q 2 9 s d W 1 u c z E u e 0 x p Z G V y Y X p n b y w x N n 0 m c X V v d D s s J n F 1 b 3 Q 7 U 2 V j d G l v b j E v c G x h e W V y c 1 8 x M V 8 4 X z I w M j I s I D E 0 I D I 5 I D Q y L 0 F 1 d G 9 S Z W 1 v d m V k Q 2 9 s d W 1 u c z E u e 0 Z p Z G V s a W R h Z C w x N 3 0 m c X V v d D s s J n F 1 b 3 Q 7 U 2 V j d G l v b j E v c G x h e W V y c 1 8 x M V 8 4 X z I w M j I s I D E 0 I D I 5 I D Q y L 0 F 1 d G 9 S Z W 1 v d m V k Q 2 9 s d W 1 u c z E u e 0 Z v c m 1 h L D E 4 f S Z x d W 9 0 O y w m c X V v d D t T Z W N 0 a W 9 u M S 9 w b G F 5 Z X J z X z E x X z h f M j A y M i w g M T Q g M j k g N D I v Q X V 0 b 1 J l b W 9 2 Z W R D b 2 x 1 b W 5 z M S 5 7 U m V z a X N 0 Z W 5 j a W E s M T l 9 J n F 1 b 3 Q 7 L C Z x d W 9 0 O 1 N l Y 3 R p b 2 4 x L 3 B s Y X l l c n N f M T F f O F 8 y M D I y L C A x N C A y O S A 0 M i 9 B d X R v U m V t b 3 Z l Z E N v b H V t b n M x L n t G Z W N o Y S D D u m x 0 a W 1 v I H B h c n R p Z G 8 s M j B 9 J n F 1 b 3 Q 7 L C Z x d W 9 0 O 1 N l Y 3 R p b 2 4 x L 3 B s Y X l l c n N f M T F f O F 8 y M D I y L C A x N C A y O S A 0 M i 9 B d X R v U m V t b 3 Z l Z E N v b H V t b n M x L n t S Z W 5 k a W 1 p Z W 5 0 b y D D u m x 0 a W 1 v I H B h c n R p Z G 8 s M j F 9 J n F 1 b 3 Q 7 L C Z x d W 9 0 O 1 N l Y 3 R p b 2 4 x L 3 B s Y X l l c n N f M T F f O F 8 y M D I y L C A x N C A y O S A 0 M i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x M V 8 4 X z I w M j I s I D E 0 I D I 5 I D Q y L 0 F 1 d G 9 S Z W 1 v d m V k Q 2 9 s d W 1 u c z E u e 0 5 h Y 2 l v b m F s a W R h Z C w w f S Z x d W 9 0 O y w m c X V v d D t T Z W N 0 a W 9 u M S 9 w b G F 5 Z X J z X z E x X z h f M j A y M i w g M T Q g M j k g N D I v Q X V 0 b 1 J l b W 9 2 Z W R D b 2 x 1 b W 5 z M S 5 7 R G 9 y c 2 F s L D F 9 J n F 1 b 3 Q 7 L C Z x d W 9 0 O 1 N l Y 3 R p b 2 4 x L 3 B s Y X l l c n N f M T F f O F 8 y M D I y L C A x N C A y O S A 0 M i 9 B d X R v U m V t b 3 Z l Z E N v b H V t b n M x L n t O b 2 1 i c m U s M n 0 m c X V v d D s s J n F 1 b 3 Q 7 U 2 V j d G l v b j E v c G x h e W V y c 1 8 x M V 8 4 X z I w M j I s I D E 0 I D I 5 I D Q y L 0 F 1 d G 9 S Z W 1 v d m V k Q 2 9 s d W 1 u c z E u e 0 l E I G R l b C B q d W d h Z G 9 y L D N 9 J n F 1 b 3 Q 7 L C Z x d W 9 0 O 1 N l Y 3 R p b 2 4 x L 3 B s Y X l l c n N f M T F f O F 8 y M D I y L C A x N C A y O S A 0 M i 9 B d X R v U m V t b 3 Z l Z E N v b H V t b n M x L n t F b n R y Z W 5 h Z G 9 y L D R 9 J n F 1 b 3 Q 7 L C Z x d W 9 0 O 1 N l Y 3 R p b 2 4 x L 3 B s Y X l l c n N f M T F f O F 8 y M D I y L C A x N C A y O S A 0 M i 9 B d X R v U m V t b 3 Z l Z E N v b H V t b n M x L n t F c 3 B l Y 2 l h b G l k Y W Q s N X 0 m c X V v d D s s J n F 1 b 3 Q 7 U 2 V j d G l v b j E v c G x h e W V y c 1 8 x M V 8 4 X z I w M j I s I D E 0 I D I 5 I D Q y L 0 F 1 d G 9 S Z W 1 v d m V k Q 2 9 s d W 1 u c z E u e 0 J v b m l m a W N h Y 2 n D s 2 4 g c G 9 y I G N s d W I g Z G U g b 3 J p Z 2 V u L D Z 9 J n F 1 b 3 Q 7 L C Z x d W 9 0 O 1 N l Y 3 R p b 2 4 x L 3 B s Y X l l c n N f M T F f O F 8 y M D I y L C A x N C A y O S A 0 M i 9 B d X R v U m V t b 3 Z l Z E N v b H V t b n M x L n t M Z X N p b 2 5 l c y w 3 f S Z x d W 9 0 O y w m c X V v d D t T Z W N 0 a W 9 u M S 9 w b G F 5 Z X J z X z E x X z h f M j A y M i w g M T Q g M j k g N D I v Q X V 0 b 1 J l b W 9 2 Z W R D b 2 x 1 b W 5 z M S 5 7 Q W 1 v b m V z d G F j a W 9 u Z X M s O H 0 m c X V v d D s s J n F 1 b 3 Q 7 U 2 V j d G l v b j E v c G x h e W V y c 1 8 x M V 8 4 X z I w M j I s I D E 0 I D I 5 I D Q y L 0 F 1 d G 9 S Z W 1 v d m V k Q 2 9 s d W 1 u c z E u e 0 V u I G x h I G x p c 3 R h I G R l I H R y Y W 5 z Z m V y Z W 5 j a W F z L D l 9 J n F 1 b 3 Q 7 L C Z x d W 9 0 O 1 N l Y 3 R p b 2 4 x L 3 B s Y X l l c n N f M T F f O F 8 y M D I y L C A x N C A y O S A 0 M i 9 B d X R v U m V t b 3 Z l Z E N v b H V t b n M x L n t F Z G F k L D E w f S Z x d W 9 0 O y w m c X V v d D t T Z W N 0 a W 9 u M S 9 w b G F 5 Z X J z X z E x X z h f M j A y M i w g M T Q g M j k g N D I v Q X V 0 b 1 J l b W 9 2 Z W R D b 2 x 1 b W 5 z M S 5 7 R M O t Y X M s M T F 9 J n F 1 b 3 Q 7 L C Z x d W 9 0 O 1 N l Y 3 R p b 2 4 x L 3 B s Y X l l c n N f M T F f O F 8 y M D I y L C A x N C A y O S A 0 M i 9 B d X R v U m V t b 3 Z l Z E N v b H V t b n M x L n t U U 0 k s M T J 9 J n F 1 b 3 Q 7 L C Z x d W 9 0 O 1 N l Y 3 R p b 2 4 x L 3 B s Y X l l c n N f M T F f O F 8 y M D I y L C A x N C A y O S A 0 M i 9 B d X R v U m V t b 3 Z l Z E N v b H V t b n M x L n t T Y W x h c m l v L D E z f S Z x d W 9 0 O y w m c X V v d D t T Z W N 0 a W 9 u M S 9 w b G F 5 Z X J z X z E x X z h f M j A y M i w g M T Q g M j k g N D I v Q X V 0 b 1 J l b W 9 2 Z W R D b 2 x 1 b W 5 z M S 5 7 U 2 V t Y W 5 h c y B l b i B l b C B j b H V i L D E 0 f S Z x d W 9 0 O y w m c X V v d D t T Z W N 0 a W 9 u M S 9 w b G F 5 Z X J z X z E x X z h f M j A y M i w g M T Q g M j k g N D I v Q X V 0 b 1 J l b W 9 2 Z W R D b 2 x 1 b W 5 z M S 5 7 R X h w Z X J p Z W 5 j a W E s M T V 9 J n F 1 b 3 Q 7 L C Z x d W 9 0 O 1 N l Y 3 R p b 2 4 x L 3 B s Y X l l c n N f M T F f O F 8 y M D I y L C A x N C A y O S A 0 M i 9 B d X R v U m V t b 3 Z l Z E N v b H V t b n M x L n t M a W R l c m F 6 Z 2 8 s M T Z 9 J n F 1 b 3 Q 7 L C Z x d W 9 0 O 1 N l Y 3 R p b 2 4 x L 3 B s Y X l l c n N f M T F f O F 8 y M D I y L C A x N C A y O S A 0 M i 9 B d X R v U m V t b 3 Z l Z E N v b H V t b n M x L n t G a W R l b G l k Y W Q s M T d 9 J n F 1 b 3 Q 7 L C Z x d W 9 0 O 1 N l Y 3 R p b 2 4 x L 3 B s Y X l l c n N f M T F f O F 8 y M D I y L C A x N C A y O S A 0 M i 9 B d X R v U m V t b 3 Z l Z E N v b H V t b n M x L n t G b 3 J t Y S w x O H 0 m c X V v d D s s J n F 1 b 3 Q 7 U 2 V j d G l v b j E v c G x h e W V y c 1 8 x M V 8 4 X z I w M j I s I D E 0 I D I 5 I D Q y L 0 F 1 d G 9 S Z W 1 v d m V k Q 2 9 s d W 1 u c z E u e 1 J l c 2 l z d G V u Y 2 l h L D E 5 f S Z x d W 9 0 O y w m c X V v d D t T Z W N 0 a W 9 u M S 9 w b G F 5 Z X J z X z E x X z h f M j A y M i w g M T Q g M j k g N D I v Q X V 0 b 1 J l b W 9 2 Z W R D b 2 x 1 b W 5 z M S 5 7 R m V j a G E g w 7 p s d G l t b y B w Y X J 0 a W R v L D I w f S Z x d W 9 0 O y w m c X V v d D t T Z W N 0 a W 9 u M S 9 w b G F 5 Z X J z X z E x X z h f M j A y M i w g M T Q g M j k g N D I v Q X V 0 b 1 J l b W 9 2 Z W R D b 2 x 1 b W 5 z M S 5 7 U m V u Z G l t a W V u d G 8 g w 7 p s d G l t b y B w Y X J 0 a W R v L D I x f S Z x d W 9 0 O y w m c X V v d D t T Z W N 0 a W 9 u M S 9 w b G F 5 Z X J z X z E x X z h f M j A y M i w g M T Q g M j k g N D I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M T F f O F 8 y M D I y J T J D J T I w M T Q l M j A y O S U y M D Q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T F f O F 8 y M D I y J T J D J T I w M T Q l M j A y O S U y M D Q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T F f O F 8 y M D I y J T J D J T I w M T Q l M j A y O S U y M D Q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T F f O F 8 y M D I y J T J D J T I w M T Q l M j A z M C U y M D Q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G F z I E F u a W 1 h c y I g L z 4 8 R W 5 0 c n k g V H l w Z T 0 i U m V j b 3 Z l c n l U Y X J n Z X R D b 2 x 1 b W 4 i I F Z h b H V l P S J s M j k i I C 8 + P E V u d H J 5 I F R 5 c G U 9 I l J l Y 2 9 2 Z X J 5 V G F y Z 2 V 0 U m 9 3 I i B W Y W x 1 Z T 0 i b D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E y O j M x O j E 1 L j k x M j E 3 O T F a I i A v P j x F b n R y e S B U e X B l P S J G a W x s Q 2 9 s d W 1 u V H l w Z X M i I F Z h b H V l P S J z Q m d N R 0 F 3 T U d B d 0 1 E Q X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x M V 8 4 X z I w M j I s I D E 0 I D M w I D Q 5 L 0 F 1 d G 9 S Z W 1 v d m V k Q 2 9 s d W 1 u c z E u e 0 5 h Y 2 l v b m F s a W R h Z C w w f S Z x d W 9 0 O y w m c X V v d D t T Z W N 0 a W 9 u M S 9 w b G F 5 Z X J z X z E x X z h f M j A y M i w g M T Q g M z A g N D k v Q X V 0 b 1 J l b W 9 2 Z W R D b 2 x 1 b W 5 z M S 5 7 R G 9 y c 2 F s L D F 9 J n F 1 b 3 Q 7 L C Z x d W 9 0 O 1 N l Y 3 R p b 2 4 x L 3 B s Y X l l c n N f M T F f O F 8 y M D I y L C A x N C A z M C A 0 O S 9 B d X R v U m V t b 3 Z l Z E N v b H V t b n M x L n t O b 2 1 i c m U s M n 0 m c X V v d D s s J n F 1 b 3 Q 7 U 2 V j d G l v b j E v c G x h e W V y c 1 8 x M V 8 4 X z I w M j I s I D E 0 I D M w I D Q 5 L 0 F 1 d G 9 S Z W 1 v d m V k Q 2 9 s d W 1 u c z E u e 0 l E I G R l b C B q d W d h Z G 9 y L D N 9 J n F 1 b 3 Q 7 L C Z x d W 9 0 O 1 N l Y 3 R p b 2 4 x L 3 B s Y X l l c n N f M T F f O F 8 y M D I y L C A x N C A z M C A 0 O S 9 B d X R v U m V t b 3 Z l Z E N v b H V t b n M x L n t F b n R y Z W 5 h Z G 9 y L D R 9 J n F 1 b 3 Q 7 L C Z x d W 9 0 O 1 N l Y 3 R p b 2 4 x L 3 B s Y X l l c n N f M T F f O F 8 y M D I y L C A x N C A z M C A 0 O S 9 B d X R v U m V t b 3 Z l Z E N v b H V t b n M x L n t F c 3 B l Y 2 l h b G l k Y W Q s N X 0 m c X V v d D s s J n F 1 b 3 Q 7 U 2 V j d G l v b j E v c G x h e W V y c 1 8 x M V 8 4 X z I w M j I s I D E 0 I D M w I D Q 5 L 0 F 1 d G 9 S Z W 1 v d m V k Q 2 9 s d W 1 u c z E u e 0 J v b m l m a W N h Y 2 n D s 2 4 g c G 9 y I G N s d W I g Z G U g b 3 J p Z 2 V u L D Z 9 J n F 1 b 3 Q 7 L C Z x d W 9 0 O 1 N l Y 3 R p b 2 4 x L 3 B s Y X l l c n N f M T F f O F 8 y M D I y L C A x N C A z M C A 0 O S 9 B d X R v U m V t b 3 Z l Z E N v b H V t b n M x L n t M Z X N p b 2 5 l c y w 3 f S Z x d W 9 0 O y w m c X V v d D t T Z W N 0 a W 9 u M S 9 w b G F 5 Z X J z X z E x X z h f M j A y M i w g M T Q g M z A g N D k v Q X V 0 b 1 J l b W 9 2 Z W R D b 2 x 1 b W 5 z M S 5 7 Q W 1 v b m V z d G F j a W 9 u Z X M s O H 0 m c X V v d D s s J n F 1 b 3 Q 7 U 2 V j d G l v b j E v c G x h e W V y c 1 8 x M V 8 4 X z I w M j I s I D E 0 I D M w I D Q 5 L 0 F 1 d G 9 S Z W 1 v d m V k Q 2 9 s d W 1 u c z E u e 0 V u I G x h I G x p c 3 R h I G R l I H R y Y W 5 z Z m V y Z W 5 j a W F z L D l 9 J n F 1 b 3 Q 7 L C Z x d W 9 0 O 1 N l Y 3 R p b 2 4 x L 3 B s Y X l l c n N f M T F f O F 8 y M D I y L C A x N C A z M C A 0 O S 9 B d X R v U m V t b 3 Z l Z E N v b H V t b n M x L n t F Z G F k L D E w f S Z x d W 9 0 O y w m c X V v d D t T Z W N 0 a W 9 u M S 9 w b G F 5 Z X J z X z E x X z h f M j A y M i w g M T Q g M z A g N D k v Q X V 0 b 1 J l b W 9 2 Z W R D b 2 x 1 b W 5 z M S 5 7 R M O t Y X M s M T F 9 J n F 1 b 3 Q 7 L C Z x d W 9 0 O 1 N l Y 3 R p b 2 4 x L 3 B s Y X l l c n N f M T F f O F 8 y M D I y L C A x N C A z M C A 0 O S 9 B d X R v U m V t b 3 Z l Z E N v b H V t b n M x L n t U U 0 k s M T J 9 J n F 1 b 3 Q 7 L C Z x d W 9 0 O 1 N l Y 3 R p b 2 4 x L 3 B s Y X l l c n N f M T F f O F 8 y M D I y L C A x N C A z M C A 0 O S 9 B d X R v U m V t b 3 Z l Z E N v b H V t b n M x L n t T Y W x h c m l v L D E z f S Z x d W 9 0 O y w m c X V v d D t T Z W N 0 a W 9 u M S 9 w b G F 5 Z X J z X z E x X z h f M j A y M i w g M T Q g M z A g N D k v Q X V 0 b 1 J l b W 9 2 Z W R D b 2 x 1 b W 5 z M S 5 7 U 2 V t Y W 5 h c y B l b i B l b C B j b H V i L D E 0 f S Z x d W 9 0 O y w m c X V v d D t T Z W N 0 a W 9 u M S 9 w b G F 5 Z X J z X z E x X z h f M j A y M i w g M T Q g M z A g N D k v Q X V 0 b 1 J l b W 9 2 Z W R D b 2 x 1 b W 5 z M S 5 7 R X h w Z X J p Z W 5 j a W E s M T V 9 J n F 1 b 3 Q 7 L C Z x d W 9 0 O 1 N l Y 3 R p b 2 4 x L 3 B s Y X l l c n N f M T F f O F 8 y M D I y L C A x N C A z M C A 0 O S 9 B d X R v U m V t b 3 Z l Z E N v b H V t b n M x L n t M a W R l c m F 6 Z 2 8 s M T Z 9 J n F 1 b 3 Q 7 L C Z x d W 9 0 O 1 N l Y 3 R p b 2 4 x L 3 B s Y X l l c n N f M T F f O F 8 y M D I y L C A x N C A z M C A 0 O S 9 B d X R v U m V t b 3 Z l Z E N v b H V t b n M x L n t G a W R l b G l k Y W Q s M T d 9 J n F 1 b 3 Q 7 L C Z x d W 9 0 O 1 N l Y 3 R p b 2 4 x L 3 B s Y X l l c n N f M T F f O F 8 y M D I y L C A x N C A z M C A 0 O S 9 B d X R v U m V t b 3 Z l Z E N v b H V t b n M x L n t G b 3 J t Y S w x O H 0 m c X V v d D s s J n F 1 b 3 Q 7 U 2 V j d G l v b j E v c G x h e W V y c 1 8 x M V 8 4 X z I w M j I s I D E 0 I D M w I D Q 5 L 0 F 1 d G 9 S Z W 1 v d m V k Q 2 9 s d W 1 u c z E u e 1 J l c 2 l z d G V u Y 2 l h L D E 5 f S Z x d W 9 0 O y w m c X V v d D t T Z W N 0 a W 9 u M S 9 w b G F 5 Z X J z X z E x X z h f M j A y M i w g M T Q g M z A g N D k v Q X V 0 b 1 J l b W 9 2 Z W R D b 2 x 1 b W 5 z M S 5 7 R m V j a G E g w 7 p s d G l t b y B w Y X J 0 a W R v L D I w f S Z x d W 9 0 O y w m c X V v d D t T Z W N 0 a W 9 u M S 9 w b G F 5 Z X J z X z E x X z h f M j A y M i w g M T Q g M z A g N D k v Q X V 0 b 1 J l b W 9 2 Z W R D b 2 x 1 b W 5 z M S 5 7 U m V u Z G l t a W V u d G 8 g w 7 p s d G l t b y B w Y X J 0 a W R v L D I x f S Z x d W 9 0 O y w m c X V v d D t T Z W N 0 a W 9 u M S 9 w b G F 5 Z X J z X z E x X z h f M j A y M i w g M T Q g M z A g N D k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T F f O F 8 y M D I y L C A x N C A z M C A 0 O S 9 B d X R v U m V t b 3 Z l Z E N v b H V t b n M x L n t O Y W N p b 2 5 h b G l k Y W Q s M H 0 m c X V v d D s s J n F 1 b 3 Q 7 U 2 V j d G l v b j E v c G x h e W V y c 1 8 x M V 8 4 X z I w M j I s I D E 0 I D M w I D Q 5 L 0 F 1 d G 9 S Z W 1 v d m V k Q 2 9 s d W 1 u c z E u e 0 R v c n N h b C w x f S Z x d W 9 0 O y w m c X V v d D t T Z W N 0 a W 9 u M S 9 w b G F 5 Z X J z X z E x X z h f M j A y M i w g M T Q g M z A g N D k v Q X V 0 b 1 J l b W 9 2 Z W R D b 2 x 1 b W 5 z M S 5 7 T m 9 t Y n J l L D J 9 J n F 1 b 3 Q 7 L C Z x d W 9 0 O 1 N l Y 3 R p b 2 4 x L 3 B s Y X l l c n N f M T F f O F 8 y M D I y L C A x N C A z M C A 0 O S 9 B d X R v U m V t b 3 Z l Z E N v b H V t b n M x L n t J R C B k Z W w g a n V n Y W R v c i w z f S Z x d W 9 0 O y w m c X V v d D t T Z W N 0 a W 9 u M S 9 w b G F 5 Z X J z X z E x X z h f M j A y M i w g M T Q g M z A g N D k v Q X V 0 b 1 J l b W 9 2 Z W R D b 2 x 1 b W 5 z M S 5 7 R W 5 0 c m V u Y W R v c i w 0 f S Z x d W 9 0 O y w m c X V v d D t T Z W N 0 a W 9 u M S 9 w b G F 5 Z X J z X z E x X z h f M j A y M i w g M T Q g M z A g N D k v Q X V 0 b 1 J l b W 9 2 Z W R D b 2 x 1 b W 5 z M S 5 7 R X N w Z W N p Y W x p Z G F k L D V 9 J n F 1 b 3 Q 7 L C Z x d W 9 0 O 1 N l Y 3 R p b 2 4 x L 3 B s Y X l l c n N f M T F f O F 8 y M D I y L C A x N C A z M C A 0 O S 9 B d X R v U m V t b 3 Z l Z E N v b H V t b n M x L n t C b 2 5 p Z m l j Y W N p w 7 N u I H B v c i B j b H V i I G R l I G 9 y a W d l b i w 2 f S Z x d W 9 0 O y w m c X V v d D t T Z W N 0 a W 9 u M S 9 w b G F 5 Z X J z X z E x X z h f M j A y M i w g M T Q g M z A g N D k v Q X V 0 b 1 J l b W 9 2 Z W R D b 2 x 1 b W 5 z M S 5 7 T G V z a W 9 u Z X M s N 3 0 m c X V v d D s s J n F 1 b 3 Q 7 U 2 V j d G l v b j E v c G x h e W V y c 1 8 x M V 8 4 X z I w M j I s I D E 0 I D M w I D Q 5 L 0 F 1 d G 9 S Z W 1 v d m V k Q 2 9 s d W 1 u c z E u e 0 F t b 2 5 l c 3 R h Y 2 l v b m V z L D h 9 J n F 1 b 3 Q 7 L C Z x d W 9 0 O 1 N l Y 3 R p b 2 4 x L 3 B s Y X l l c n N f M T F f O F 8 y M D I y L C A x N C A z M C A 0 O S 9 B d X R v U m V t b 3 Z l Z E N v b H V t b n M x L n t F b i B s Y S B s a X N 0 Y S B k Z S B 0 c m F u c 2 Z l c m V u Y 2 l h c y w 5 f S Z x d W 9 0 O y w m c X V v d D t T Z W N 0 a W 9 u M S 9 w b G F 5 Z X J z X z E x X z h f M j A y M i w g M T Q g M z A g N D k v Q X V 0 b 1 J l b W 9 2 Z W R D b 2 x 1 b W 5 z M S 5 7 R W R h Z C w x M H 0 m c X V v d D s s J n F 1 b 3 Q 7 U 2 V j d G l v b j E v c G x h e W V y c 1 8 x M V 8 4 X z I w M j I s I D E 0 I D M w I D Q 5 L 0 F 1 d G 9 S Z W 1 v d m V k Q 2 9 s d W 1 u c z E u e 0 T D r W F z L D E x f S Z x d W 9 0 O y w m c X V v d D t T Z W N 0 a W 9 u M S 9 w b G F 5 Z X J z X z E x X z h f M j A y M i w g M T Q g M z A g N D k v Q X V 0 b 1 J l b W 9 2 Z W R D b 2 x 1 b W 5 z M S 5 7 V F N J L D E y f S Z x d W 9 0 O y w m c X V v d D t T Z W N 0 a W 9 u M S 9 w b G F 5 Z X J z X z E x X z h f M j A y M i w g M T Q g M z A g N D k v Q X V 0 b 1 J l b W 9 2 Z W R D b 2 x 1 b W 5 z M S 5 7 U 2 F s Y X J p b y w x M 3 0 m c X V v d D s s J n F 1 b 3 Q 7 U 2 V j d G l v b j E v c G x h e W V y c 1 8 x M V 8 4 X z I w M j I s I D E 0 I D M w I D Q 5 L 0 F 1 d G 9 S Z W 1 v d m V k Q 2 9 s d W 1 u c z E u e 1 N l b W F u Y X M g Z W 4 g Z W w g Y 2 x 1 Y i w x N H 0 m c X V v d D s s J n F 1 b 3 Q 7 U 2 V j d G l v b j E v c G x h e W V y c 1 8 x M V 8 4 X z I w M j I s I D E 0 I D M w I D Q 5 L 0 F 1 d G 9 S Z W 1 v d m V k Q 2 9 s d W 1 u c z E u e 0 V 4 c G V y a W V u Y 2 l h L D E 1 f S Z x d W 9 0 O y w m c X V v d D t T Z W N 0 a W 9 u M S 9 w b G F 5 Z X J z X z E x X z h f M j A y M i w g M T Q g M z A g N D k v Q X V 0 b 1 J l b W 9 2 Z W R D b 2 x 1 b W 5 z M S 5 7 T G l k Z X J h e m d v L D E 2 f S Z x d W 9 0 O y w m c X V v d D t T Z W N 0 a W 9 u M S 9 w b G F 5 Z X J z X z E x X z h f M j A y M i w g M T Q g M z A g N D k v Q X V 0 b 1 J l b W 9 2 Z W R D b 2 x 1 b W 5 z M S 5 7 R m l k Z W x p Z G F k L D E 3 f S Z x d W 9 0 O y w m c X V v d D t T Z W N 0 a W 9 u M S 9 w b G F 5 Z X J z X z E x X z h f M j A y M i w g M T Q g M z A g N D k v Q X V 0 b 1 J l b W 9 2 Z W R D b 2 x 1 b W 5 z M S 5 7 R m 9 y b W E s M T h 9 J n F 1 b 3 Q 7 L C Z x d W 9 0 O 1 N l Y 3 R p b 2 4 x L 3 B s Y X l l c n N f M T F f O F 8 y M D I y L C A x N C A z M C A 0 O S 9 B d X R v U m V t b 3 Z l Z E N v b H V t b n M x L n t S Z X N p c 3 R l b m N p Y S w x O X 0 m c X V v d D s s J n F 1 b 3 Q 7 U 2 V j d G l v b j E v c G x h e W V y c 1 8 x M V 8 4 X z I w M j I s I D E 0 I D M w I D Q 5 L 0 F 1 d G 9 S Z W 1 v d m V k Q 2 9 s d W 1 u c z E u e 0 Z l Y 2 h h I M O 6 b H R p b W 8 g c G F y d G l k b y w y M H 0 m c X V v d D s s J n F 1 b 3 Q 7 U 2 V j d G l v b j E v c G x h e W V y c 1 8 x M V 8 4 X z I w M j I s I D E 0 I D M w I D Q 5 L 0 F 1 d G 9 S Z W 1 v d m V k Q 2 9 s d W 1 u c z E u e 1 J l b m R p b W l l b n R v I M O 6 b H R p b W 8 g c G F y d G l k b y w y M X 0 m c X V v d D s s J n F 1 b 3 Q 7 U 2 V j d G l v b j E v c G x h e W V y c 1 8 x M V 8 4 X z I w M j I s I D E 0 I D M w I D Q 5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E x X z h f M j A y M i U y Q y U y M D E 0 J T I w M z A l M j A 0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x X z h f M j A y M i U y Q y U y M D E 0 J T I w M z A l M j A 0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x X z h f M j A y M i U y Q y U y M D E 0 J T I w M z A l M j A 0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y X z h f M j A y M i U y Q y U y M D k l M j A z M i U y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D c 6 M z I 6 N T k u N j g z M D c z N V o i I C 8 + P E V u d H J 5 I F R 5 c G U 9 I k Z p b G x D b 2 x 1 b W 5 U e X B l c y I g V m F s d W U 9 I n N C Z 0 1 H Q X d N R 0 F 3 T U d C Z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E y X z h f M j A y M i w g O S A z M i A w M S 9 B d X R v U m V t b 3 Z l Z E N v b H V t b n M x L n t O Y W N p b 2 5 h b G l k Y W Q s M H 0 m c X V v d D s s J n F 1 b 3 Q 7 U 2 V j d G l v b j E v c G x h e W V y c 1 8 x M l 8 4 X z I w M j I s I D k g M z I g M D E v Q X V 0 b 1 J l b W 9 2 Z W R D b 2 x 1 b W 5 z M S 5 7 R G 9 y c 2 F s L D F 9 J n F 1 b 3 Q 7 L C Z x d W 9 0 O 1 N l Y 3 R p b 2 4 x L 3 B s Y X l l c n N f M T J f O F 8 y M D I y L C A 5 I D M y I D A x L 0 F 1 d G 9 S Z W 1 v d m V k Q 2 9 s d W 1 u c z E u e 0 5 v b W J y Z S w y f S Z x d W 9 0 O y w m c X V v d D t T Z W N 0 a W 9 u M S 9 w b G F 5 Z X J z X z E y X z h f M j A y M i w g O S A z M i A w M S 9 B d X R v U m V t b 3 Z l Z E N v b H V t b n M x L n t J R C B k Z W w g a n V n Y W R v c i w z f S Z x d W 9 0 O y w m c X V v d D t T Z W N 0 a W 9 u M S 9 w b G F 5 Z X J z X z E y X z h f M j A y M i w g O S A z M i A w M S 9 B d X R v U m V t b 3 Z l Z E N v b H V t b n M x L n t F b n R y Z W 5 h Z G 9 y L D R 9 J n F 1 b 3 Q 7 L C Z x d W 9 0 O 1 N l Y 3 R p b 2 4 x L 3 B s Y X l l c n N f M T J f O F 8 y M D I y L C A 5 I D M y I D A x L 0 F 1 d G 9 S Z W 1 v d m V k Q 2 9 s d W 1 u c z E u e 0 V z c G V j a W F s a W R h Z C w 1 f S Z x d W 9 0 O y w m c X V v d D t T Z W N 0 a W 9 u M S 9 w b G F 5 Z X J z X z E y X z h f M j A y M i w g O S A z M i A w M S 9 B d X R v U m V t b 3 Z l Z E N v b H V t b n M x L n t C b 2 5 p Z m l j Y W N p w 7 N u I H B v c i B j b H V i I G R l I G 9 y a W d l b i w 2 f S Z x d W 9 0 O y w m c X V v d D t T Z W N 0 a W 9 u M S 9 w b G F 5 Z X J z X z E y X z h f M j A y M i w g O S A z M i A w M S 9 B d X R v U m V t b 3 Z l Z E N v b H V t b n M x L n t M Z X N p b 2 5 l c y w 3 f S Z x d W 9 0 O y w m c X V v d D t T Z W N 0 a W 9 u M S 9 w b G F 5 Z X J z X z E y X z h f M j A y M i w g O S A z M i A w M S 9 B d X R v U m V t b 3 Z l Z E N v b H V t b n M x L n t B b W 9 u Z X N 0 Y W N p b 2 5 l c y w 4 f S Z x d W 9 0 O y w m c X V v d D t T Z W N 0 a W 9 u M S 9 w b G F 5 Z X J z X z E y X z h f M j A y M i w g O S A z M i A w M S 9 B d X R v U m V t b 3 Z l Z E N v b H V t b n M x L n t F b i B s Y S B s a X N 0 Y S B k Z S B 0 c m F u c 2 Z l c m V u Y 2 l h c y w 5 f S Z x d W 9 0 O y w m c X V v d D t T Z W N 0 a W 9 u M S 9 w b G F 5 Z X J z X z E y X z h f M j A y M i w g O S A z M i A w M S 9 B d X R v U m V t b 3 Z l Z E N v b H V t b n M x L n t F Z G F k L D E w f S Z x d W 9 0 O y w m c X V v d D t T Z W N 0 a W 9 u M S 9 w b G F 5 Z X J z X z E y X z h f M j A y M i w g O S A z M i A w M S 9 B d X R v U m V t b 3 Z l Z E N v b H V t b n M x L n t E w 6 1 h c y w x M X 0 m c X V v d D s s J n F 1 b 3 Q 7 U 2 V j d G l v b j E v c G x h e W V y c 1 8 x M l 8 4 X z I w M j I s I D k g M z I g M D E v Q X V 0 b 1 J l b W 9 2 Z W R D b 2 x 1 b W 5 z M S 5 7 V F N J L D E y f S Z x d W 9 0 O y w m c X V v d D t T Z W N 0 a W 9 u M S 9 w b G F 5 Z X J z X z E y X z h f M j A y M i w g O S A z M i A w M S 9 B d X R v U m V t b 3 Z l Z E N v b H V t b n M x L n t T Y W x h c m l v L D E z f S Z x d W 9 0 O y w m c X V v d D t T Z W N 0 a W 9 u M S 9 w b G F 5 Z X J z X z E y X z h f M j A y M i w g O S A z M i A w M S 9 B d X R v U m V t b 3 Z l Z E N v b H V t b n M x L n t T Z W 1 h b m F z I G V u I G V s I G N s d W I s M T R 9 J n F 1 b 3 Q 7 L C Z x d W 9 0 O 1 N l Y 3 R p b 2 4 x L 3 B s Y X l l c n N f M T J f O F 8 y M D I y L C A 5 I D M y I D A x L 0 F 1 d G 9 S Z W 1 v d m V k Q 2 9 s d W 1 u c z E u e 0 V 4 c G V y a W V u Y 2 l h L D E 1 f S Z x d W 9 0 O y w m c X V v d D t T Z W N 0 a W 9 u M S 9 w b G F 5 Z X J z X z E y X z h f M j A y M i w g O S A z M i A w M S 9 B d X R v U m V t b 3 Z l Z E N v b H V t b n M x L n t M a W R l c m F 6 Z 2 8 s M T Z 9 J n F 1 b 3 Q 7 L C Z x d W 9 0 O 1 N l Y 3 R p b 2 4 x L 3 B s Y X l l c n N f M T J f O F 8 y M D I y L C A 5 I D M y I D A x L 0 F 1 d G 9 S Z W 1 v d m V k Q 2 9 s d W 1 u c z E u e 0 Z p Z G V s a W R h Z C w x N 3 0 m c X V v d D s s J n F 1 b 3 Q 7 U 2 V j d G l v b j E v c G x h e W V y c 1 8 x M l 8 4 X z I w M j I s I D k g M z I g M D E v Q X V 0 b 1 J l b W 9 2 Z W R D b 2 x 1 b W 5 z M S 5 7 R m 9 y b W E s M T h 9 J n F 1 b 3 Q 7 L C Z x d W 9 0 O 1 N l Y 3 R p b 2 4 x L 3 B s Y X l l c n N f M T J f O F 8 y M D I y L C A 5 I D M y I D A x L 0 F 1 d G 9 S Z W 1 v d m V k Q 2 9 s d W 1 u c z E u e 1 J l c 2 l z d G V u Y 2 l h L D E 5 f S Z x d W 9 0 O y w m c X V v d D t T Z W N 0 a W 9 u M S 9 w b G F 5 Z X J z X z E y X z h f M j A y M i w g O S A z M i A w M S 9 B d X R v U m V t b 3 Z l Z E N v b H V t b n M x L n t G Z W N o Y S D D u m x 0 a W 1 v I H B h c n R p Z G 8 s M j B 9 J n F 1 b 3 Q 7 L C Z x d W 9 0 O 1 N l Y 3 R p b 2 4 x L 3 B s Y X l l c n N f M T J f O F 8 y M D I y L C A 5 I D M y I D A x L 0 F 1 d G 9 S Z W 1 v d m V k Q 2 9 s d W 1 u c z E u e 1 J l b m R p b W l l b n R v I M O 6 b H R p b W 8 g c G F y d G l k b y w y M X 0 m c X V v d D s s J n F 1 b 3 Q 7 U 2 V j d G l v b j E v c G x h e W V y c 1 8 x M l 8 4 X z I w M j I s I D k g M z I g M D E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T J f O F 8 y M D I y L C A 5 I D M y I D A x L 0 F 1 d G 9 S Z W 1 v d m V k Q 2 9 s d W 1 u c z E u e 0 5 h Y 2 l v b m F s a W R h Z C w w f S Z x d W 9 0 O y w m c X V v d D t T Z W N 0 a W 9 u M S 9 w b G F 5 Z X J z X z E y X z h f M j A y M i w g O S A z M i A w M S 9 B d X R v U m V t b 3 Z l Z E N v b H V t b n M x L n t E b 3 J z Y W w s M X 0 m c X V v d D s s J n F 1 b 3 Q 7 U 2 V j d G l v b j E v c G x h e W V y c 1 8 x M l 8 4 X z I w M j I s I D k g M z I g M D E v Q X V 0 b 1 J l b W 9 2 Z W R D b 2 x 1 b W 5 z M S 5 7 T m 9 t Y n J l L D J 9 J n F 1 b 3 Q 7 L C Z x d W 9 0 O 1 N l Y 3 R p b 2 4 x L 3 B s Y X l l c n N f M T J f O F 8 y M D I y L C A 5 I D M y I D A x L 0 F 1 d G 9 S Z W 1 v d m V k Q 2 9 s d W 1 u c z E u e 0 l E I G R l b C B q d W d h Z G 9 y L D N 9 J n F 1 b 3 Q 7 L C Z x d W 9 0 O 1 N l Y 3 R p b 2 4 x L 3 B s Y X l l c n N f M T J f O F 8 y M D I y L C A 5 I D M y I D A x L 0 F 1 d G 9 S Z W 1 v d m V k Q 2 9 s d W 1 u c z E u e 0 V u d H J l b m F k b 3 I s N H 0 m c X V v d D s s J n F 1 b 3 Q 7 U 2 V j d G l v b j E v c G x h e W V y c 1 8 x M l 8 4 X z I w M j I s I D k g M z I g M D E v Q X V 0 b 1 J l b W 9 2 Z W R D b 2 x 1 b W 5 z M S 5 7 R X N w Z W N p Y W x p Z G F k L D V 9 J n F 1 b 3 Q 7 L C Z x d W 9 0 O 1 N l Y 3 R p b 2 4 x L 3 B s Y X l l c n N f M T J f O F 8 y M D I y L C A 5 I D M y I D A x L 0 F 1 d G 9 S Z W 1 v d m V k Q 2 9 s d W 1 u c z E u e 0 J v b m l m a W N h Y 2 n D s 2 4 g c G 9 y I G N s d W I g Z G U g b 3 J p Z 2 V u L D Z 9 J n F 1 b 3 Q 7 L C Z x d W 9 0 O 1 N l Y 3 R p b 2 4 x L 3 B s Y X l l c n N f M T J f O F 8 y M D I y L C A 5 I D M y I D A x L 0 F 1 d G 9 S Z W 1 v d m V k Q 2 9 s d W 1 u c z E u e 0 x l c 2 l v b m V z L D d 9 J n F 1 b 3 Q 7 L C Z x d W 9 0 O 1 N l Y 3 R p b 2 4 x L 3 B s Y X l l c n N f M T J f O F 8 y M D I y L C A 5 I D M y I D A x L 0 F 1 d G 9 S Z W 1 v d m V k Q 2 9 s d W 1 u c z E u e 0 F t b 2 5 l c 3 R h Y 2 l v b m V z L D h 9 J n F 1 b 3 Q 7 L C Z x d W 9 0 O 1 N l Y 3 R p b 2 4 x L 3 B s Y X l l c n N f M T J f O F 8 y M D I y L C A 5 I D M y I D A x L 0 F 1 d G 9 S Z W 1 v d m V k Q 2 9 s d W 1 u c z E u e 0 V u I G x h I G x p c 3 R h I G R l I H R y Y W 5 z Z m V y Z W 5 j a W F z L D l 9 J n F 1 b 3 Q 7 L C Z x d W 9 0 O 1 N l Y 3 R p b 2 4 x L 3 B s Y X l l c n N f M T J f O F 8 y M D I y L C A 5 I D M y I D A x L 0 F 1 d G 9 S Z W 1 v d m V k Q 2 9 s d W 1 u c z E u e 0 V k Y W Q s M T B 9 J n F 1 b 3 Q 7 L C Z x d W 9 0 O 1 N l Y 3 R p b 2 4 x L 3 B s Y X l l c n N f M T J f O F 8 y M D I y L C A 5 I D M y I D A x L 0 F 1 d G 9 S Z W 1 v d m V k Q 2 9 s d W 1 u c z E u e 0 T D r W F z L D E x f S Z x d W 9 0 O y w m c X V v d D t T Z W N 0 a W 9 u M S 9 w b G F 5 Z X J z X z E y X z h f M j A y M i w g O S A z M i A w M S 9 B d X R v U m V t b 3 Z l Z E N v b H V t b n M x L n t U U 0 k s M T J 9 J n F 1 b 3 Q 7 L C Z x d W 9 0 O 1 N l Y 3 R p b 2 4 x L 3 B s Y X l l c n N f M T J f O F 8 y M D I y L C A 5 I D M y I D A x L 0 F 1 d G 9 S Z W 1 v d m V k Q 2 9 s d W 1 u c z E u e 1 N h b G F y a W 8 s M T N 9 J n F 1 b 3 Q 7 L C Z x d W 9 0 O 1 N l Y 3 R p b 2 4 x L 3 B s Y X l l c n N f M T J f O F 8 y M D I y L C A 5 I D M y I D A x L 0 F 1 d G 9 S Z W 1 v d m V k Q 2 9 s d W 1 u c z E u e 1 N l b W F u Y X M g Z W 4 g Z W w g Y 2 x 1 Y i w x N H 0 m c X V v d D s s J n F 1 b 3 Q 7 U 2 V j d G l v b j E v c G x h e W V y c 1 8 x M l 8 4 X z I w M j I s I D k g M z I g M D E v Q X V 0 b 1 J l b W 9 2 Z W R D b 2 x 1 b W 5 z M S 5 7 R X h w Z X J p Z W 5 j a W E s M T V 9 J n F 1 b 3 Q 7 L C Z x d W 9 0 O 1 N l Y 3 R p b 2 4 x L 3 B s Y X l l c n N f M T J f O F 8 y M D I y L C A 5 I D M y I D A x L 0 F 1 d G 9 S Z W 1 v d m V k Q 2 9 s d W 1 u c z E u e 0 x p Z G V y Y X p n b y w x N n 0 m c X V v d D s s J n F 1 b 3 Q 7 U 2 V j d G l v b j E v c G x h e W V y c 1 8 x M l 8 4 X z I w M j I s I D k g M z I g M D E v Q X V 0 b 1 J l b W 9 2 Z W R D b 2 x 1 b W 5 z M S 5 7 R m l k Z W x p Z G F k L D E 3 f S Z x d W 9 0 O y w m c X V v d D t T Z W N 0 a W 9 u M S 9 w b G F 5 Z X J z X z E y X z h f M j A y M i w g O S A z M i A w M S 9 B d X R v U m V t b 3 Z l Z E N v b H V t b n M x L n t G b 3 J t Y S w x O H 0 m c X V v d D s s J n F 1 b 3 Q 7 U 2 V j d G l v b j E v c G x h e W V y c 1 8 x M l 8 4 X z I w M j I s I D k g M z I g M D E v Q X V 0 b 1 J l b W 9 2 Z W R D b 2 x 1 b W 5 z M S 5 7 U m V z a X N 0 Z W 5 j a W E s M T l 9 J n F 1 b 3 Q 7 L C Z x d W 9 0 O 1 N l Y 3 R p b 2 4 x L 3 B s Y X l l c n N f M T J f O F 8 y M D I y L C A 5 I D M y I D A x L 0 F 1 d G 9 S Z W 1 v d m V k Q 2 9 s d W 1 u c z E u e 0 Z l Y 2 h h I M O 6 b H R p b W 8 g c G F y d G l k b y w y M H 0 m c X V v d D s s J n F 1 b 3 Q 7 U 2 V j d G l v b j E v c G x h e W V y c 1 8 x M l 8 4 X z I w M j I s I D k g M z I g M D E v Q X V 0 b 1 J l b W 9 2 Z W R D b 2 x 1 b W 5 z M S 5 7 U m V u Z G l t a W V u d G 8 g w 7 p s d G l t b y B w Y X J 0 a W R v L D I x f S Z x d W 9 0 O y w m c X V v d D t T Z W N 0 a W 9 u M S 9 w b G F 5 Z X J z X z E y X z h f M j A y M i w g O S A z M i A w M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l 8 4 X z I w M j I l M k M l M j A 5 J T I w M z I l M j A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E y X z h f M j A y M i U y Q y U y M D k l M j A z M i U y M D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T J f O F 8 y M D I y J T J D J T I w O S U y M D M y J T I w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A 5 J T I w N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l Q x N D o x M D o x N S 4 x M j M 5 O D Q 5 W i I g L z 4 8 R W 5 0 c n k g V H l w Z T 0 i R m l s b E N v b H V t b l R 5 c G V z I i B W Y W x 1 Z T 0 i c 0 J n T U d B d 0 1 H Q X d N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J f O V 8 y M D I y L C A x N i A w O S A 0 O C 9 B d X R v U m V t b 3 Z l Z E N v b H V t b n M x L n t O Y W N p b 2 5 h b G l k Y W Q s M H 0 m c X V v d D s s J n F 1 b 3 Q 7 U 2 V j d G l v b j E v c G x h e W V y c 1 8 x M l 8 5 X z I w M j I s I D E 2 I D A 5 I D Q 4 L 0 F 1 d G 9 S Z W 1 v d m V k Q 2 9 s d W 1 u c z E u e 0 R v c n N h b C w x f S Z x d W 9 0 O y w m c X V v d D t T Z W N 0 a W 9 u M S 9 w b G F 5 Z X J z X z E y X z l f M j A y M i w g M T Y g M D k g N D g v Q X V 0 b 1 J l b W 9 2 Z W R D b 2 x 1 b W 5 z M S 5 7 T m 9 t Y n J l L D J 9 J n F 1 b 3 Q 7 L C Z x d W 9 0 O 1 N l Y 3 R p b 2 4 x L 3 B s Y X l l c n N f M T J f O V 8 y M D I y L C A x N i A w O S A 0 O C 9 B d X R v U m V t b 3 Z l Z E N v b H V t b n M x L n t J R C B k Z W w g a n V n Y W R v c i w z f S Z x d W 9 0 O y w m c X V v d D t T Z W N 0 a W 9 u M S 9 w b G F 5 Z X J z X z E y X z l f M j A y M i w g M T Y g M D k g N D g v Q X V 0 b 1 J l b W 9 2 Z W R D b 2 x 1 b W 5 z M S 5 7 R W 5 0 c m V u Y W R v c i w 0 f S Z x d W 9 0 O y w m c X V v d D t T Z W N 0 a W 9 u M S 9 w b G F 5 Z X J z X z E y X z l f M j A y M i w g M T Y g M D k g N D g v Q X V 0 b 1 J l b W 9 2 Z W R D b 2 x 1 b W 5 z M S 5 7 R X N w Z W N p Y W x p Z G F k L D V 9 J n F 1 b 3 Q 7 L C Z x d W 9 0 O 1 N l Y 3 R p b 2 4 x L 3 B s Y X l l c n N f M T J f O V 8 y M D I y L C A x N i A w O S A 0 O C 9 B d X R v U m V t b 3 Z l Z E N v b H V t b n M x L n t C b 2 5 p Z m l j Y W N p w 7 N u I H B v c i B j b H V i I G R l I G 9 y a W d l b i w 2 f S Z x d W 9 0 O y w m c X V v d D t T Z W N 0 a W 9 u M S 9 w b G F 5 Z X J z X z E y X z l f M j A y M i w g M T Y g M D k g N D g v Q X V 0 b 1 J l b W 9 2 Z W R D b 2 x 1 b W 5 z M S 5 7 T G V z a W 9 u Z X M s N 3 0 m c X V v d D s s J n F 1 b 3 Q 7 U 2 V j d G l v b j E v c G x h e W V y c 1 8 x M l 8 5 X z I w M j I s I D E 2 I D A 5 I D Q 4 L 0 F 1 d G 9 S Z W 1 v d m V k Q 2 9 s d W 1 u c z E u e 0 F t b 2 5 l c 3 R h Y 2 l v b m V z L D h 9 J n F 1 b 3 Q 7 L C Z x d W 9 0 O 1 N l Y 3 R p b 2 4 x L 3 B s Y X l l c n N f M T J f O V 8 y M D I y L C A x N i A w O S A 0 O C 9 B d X R v U m V t b 3 Z l Z E N v b H V t b n M x L n t F b i B s Y S B s a X N 0 Y S B k Z S B 0 c m F u c 2 Z l c m V u Y 2 l h c y w 5 f S Z x d W 9 0 O y w m c X V v d D t T Z W N 0 a W 9 u M S 9 w b G F 5 Z X J z X z E y X z l f M j A y M i w g M T Y g M D k g N D g v Q X V 0 b 1 J l b W 9 2 Z W R D b 2 x 1 b W 5 z M S 5 7 R W R h Z C w x M H 0 m c X V v d D s s J n F 1 b 3 Q 7 U 2 V j d G l v b j E v c G x h e W V y c 1 8 x M l 8 5 X z I w M j I s I D E 2 I D A 5 I D Q 4 L 0 F 1 d G 9 S Z W 1 v d m V k Q 2 9 s d W 1 u c z E u e 0 T D r W F z L D E x f S Z x d W 9 0 O y w m c X V v d D t T Z W N 0 a W 9 u M S 9 w b G F 5 Z X J z X z E y X z l f M j A y M i w g M T Y g M D k g N D g v Q X V 0 b 1 J l b W 9 2 Z W R D b 2 x 1 b W 5 z M S 5 7 V F N J L D E y f S Z x d W 9 0 O y w m c X V v d D t T Z W N 0 a W 9 u M S 9 w b G F 5 Z X J z X z E y X z l f M j A y M i w g M T Y g M D k g N D g v Q X V 0 b 1 J l b W 9 2 Z W R D b 2 x 1 b W 5 z M S 5 7 U 2 F s Y X J p b y w x M 3 0 m c X V v d D s s J n F 1 b 3 Q 7 U 2 V j d G l v b j E v c G x h e W V y c 1 8 x M l 8 5 X z I w M j I s I D E 2 I D A 5 I D Q 4 L 0 F 1 d G 9 S Z W 1 v d m V k Q 2 9 s d W 1 u c z E u e 1 N l b W F u Y X M g Z W 4 g Z W w g Y 2 x 1 Y i w x N H 0 m c X V v d D s s J n F 1 b 3 Q 7 U 2 V j d G l v b j E v c G x h e W V y c 1 8 x M l 8 5 X z I w M j I s I D E 2 I D A 5 I D Q 4 L 0 F 1 d G 9 S Z W 1 v d m V k Q 2 9 s d W 1 u c z E u e 0 V 4 c G V y a W V u Y 2 l h L D E 1 f S Z x d W 9 0 O y w m c X V v d D t T Z W N 0 a W 9 u M S 9 w b G F 5 Z X J z X z E y X z l f M j A y M i w g M T Y g M D k g N D g v Q X V 0 b 1 J l b W 9 2 Z W R D b 2 x 1 b W 5 z M S 5 7 T G l k Z X J h e m d v L D E 2 f S Z x d W 9 0 O y w m c X V v d D t T Z W N 0 a W 9 u M S 9 w b G F 5 Z X J z X z E y X z l f M j A y M i w g M T Y g M D k g N D g v Q X V 0 b 1 J l b W 9 2 Z W R D b 2 x 1 b W 5 z M S 5 7 R m l k Z W x p Z G F k L D E 3 f S Z x d W 9 0 O y w m c X V v d D t T Z W N 0 a W 9 u M S 9 w b G F 5 Z X J z X z E y X z l f M j A y M i w g M T Y g M D k g N D g v Q X V 0 b 1 J l b W 9 2 Z W R D b 2 x 1 b W 5 z M S 5 7 R m 9 y b W E s M T h 9 J n F 1 b 3 Q 7 L C Z x d W 9 0 O 1 N l Y 3 R p b 2 4 x L 3 B s Y X l l c n N f M T J f O V 8 y M D I y L C A x N i A w O S A 0 O C 9 B d X R v U m V t b 3 Z l Z E N v b H V t b n M x L n t S Z X N p c 3 R l b m N p Y S w x O X 0 m c X V v d D s s J n F 1 b 3 Q 7 U 2 V j d G l v b j E v c G x h e W V y c 1 8 x M l 8 5 X z I w M j I s I D E 2 I D A 5 I D Q 4 L 0 F 1 d G 9 S Z W 1 v d m V k Q 2 9 s d W 1 u c z E u e 0 Z l Y 2 h h I M O 6 b H R p b W 8 g c G F y d G l k b y w y M H 0 m c X V v d D s s J n F 1 b 3 Q 7 U 2 V j d G l v b j E v c G x h e W V y c 1 8 x M l 8 5 X z I w M j I s I D E 2 I D A 5 I D Q 4 L 0 F 1 d G 9 S Z W 1 v d m V k Q 2 9 s d W 1 u c z E u e 1 J l b m R p b W l l b n R v I M O 6 b H R p b W 8 g c G F y d G l k b y w y M X 0 m c X V v d D s s J n F 1 b 3 Q 7 U 2 V j d G l v b j E v c G x h e W V y c 1 8 x M l 8 5 X z I w M j I s I D E 2 I D A 5 I D Q 4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y X z l f M j A y M i w g M T Y g M D k g N D g v Q X V 0 b 1 J l b W 9 2 Z W R D b 2 x 1 b W 5 z M S 5 7 T m F j a W 9 u Y W x p Z G F k L D B 9 J n F 1 b 3 Q 7 L C Z x d W 9 0 O 1 N l Y 3 R p b 2 4 x L 3 B s Y X l l c n N f M T J f O V 8 y M D I y L C A x N i A w O S A 0 O C 9 B d X R v U m V t b 3 Z l Z E N v b H V t b n M x L n t E b 3 J z Y W w s M X 0 m c X V v d D s s J n F 1 b 3 Q 7 U 2 V j d G l v b j E v c G x h e W V y c 1 8 x M l 8 5 X z I w M j I s I D E 2 I D A 5 I D Q 4 L 0 F 1 d G 9 S Z W 1 v d m V k Q 2 9 s d W 1 u c z E u e 0 5 v b W J y Z S w y f S Z x d W 9 0 O y w m c X V v d D t T Z W N 0 a W 9 u M S 9 w b G F 5 Z X J z X z E y X z l f M j A y M i w g M T Y g M D k g N D g v Q X V 0 b 1 J l b W 9 2 Z W R D b 2 x 1 b W 5 z M S 5 7 S U Q g Z G V s I G p 1 Z 2 F k b 3 I s M 3 0 m c X V v d D s s J n F 1 b 3 Q 7 U 2 V j d G l v b j E v c G x h e W V y c 1 8 x M l 8 5 X z I w M j I s I D E 2 I D A 5 I D Q 4 L 0 F 1 d G 9 S Z W 1 v d m V k Q 2 9 s d W 1 u c z E u e 0 V u d H J l b m F k b 3 I s N H 0 m c X V v d D s s J n F 1 b 3 Q 7 U 2 V j d G l v b j E v c G x h e W V y c 1 8 x M l 8 5 X z I w M j I s I D E 2 I D A 5 I D Q 4 L 0 F 1 d G 9 S Z W 1 v d m V k Q 2 9 s d W 1 u c z E u e 0 V z c G V j a W F s a W R h Z C w 1 f S Z x d W 9 0 O y w m c X V v d D t T Z W N 0 a W 9 u M S 9 w b G F 5 Z X J z X z E y X z l f M j A y M i w g M T Y g M D k g N D g v Q X V 0 b 1 J l b W 9 2 Z W R D b 2 x 1 b W 5 z M S 5 7 Q m 9 u a W Z p Y 2 F j a c O z b i B w b 3 I g Y 2 x 1 Y i B k Z S B v c m l n Z W 4 s N n 0 m c X V v d D s s J n F 1 b 3 Q 7 U 2 V j d G l v b j E v c G x h e W V y c 1 8 x M l 8 5 X z I w M j I s I D E 2 I D A 5 I D Q 4 L 0 F 1 d G 9 S Z W 1 v d m V k Q 2 9 s d W 1 u c z E u e 0 x l c 2 l v b m V z L D d 9 J n F 1 b 3 Q 7 L C Z x d W 9 0 O 1 N l Y 3 R p b 2 4 x L 3 B s Y X l l c n N f M T J f O V 8 y M D I y L C A x N i A w O S A 0 O C 9 B d X R v U m V t b 3 Z l Z E N v b H V t b n M x L n t B b W 9 u Z X N 0 Y W N p b 2 5 l c y w 4 f S Z x d W 9 0 O y w m c X V v d D t T Z W N 0 a W 9 u M S 9 w b G F 5 Z X J z X z E y X z l f M j A y M i w g M T Y g M D k g N D g v Q X V 0 b 1 J l b W 9 2 Z W R D b 2 x 1 b W 5 z M S 5 7 R W 4 g b G E g b G l z d G E g Z G U g d H J h b n N m Z X J l b m N p Y X M s O X 0 m c X V v d D s s J n F 1 b 3 Q 7 U 2 V j d G l v b j E v c G x h e W V y c 1 8 x M l 8 5 X z I w M j I s I D E 2 I D A 5 I D Q 4 L 0 F 1 d G 9 S Z W 1 v d m V k Q 2 9 s d W 1 u c z E u e 0 V k Y W Q s M T B 9 J n F 1 b 3 Q 7 L C Z x d W 9 0 O 1 N l Y 3 R p b 2 4 x L 3 B s Y X l l c n N f M T J f O V 8 y M D I y L C A x N i A w O S A 0 O C 9 B d X R v U m V t b 3 Z l Z E N v b H V t b n M x L n t E w 6 1 h c y w x M X 0 m c X V v d D s s J n F 1 b 3 Q 7 U 2 V j d G l v b j E v c G x h e W V y c 1 8 x M l 8 5 X z I w M j I s I D E 2 I D A 5 I D Q 4 L 0 F 1 d G 9 S Z W 1 v d m V k Q 2 9 s d W 1 u c z E u e 1 R T S S w x M n 0 m c X V v d D s s J n F 1 b 3 Q 7 U 2 V j d G l v b j E v c G x h e W V y c 1 8 x M l 8 5 X z I w M j I s I D E 2 I D A 5 I D Q 4 L 0 F 1 d G 9 S Z W 1 v d m V k Q 2 9 s d W 1 u c z E u e 1 N h b G F y a W 8 s M T N 9 J n F 1 b 3 Q 7 L C Z x d W 9 0 O 1 N l Y 3 R p b 2 4 x L 3 B s Y X l l c n N f M T J f O V 8 y M D I y L C A x N i A w O S A 0 O C 9 B d X R v U m V t b 3 Z l Z E N v b H V t b n M x L n t T Z W 1 h b m F z I G V u I G V s I G N s d W I s M T R 9 J n F 1 b 3 Q 7 L C Z x d W 9 0 O 1 N l Y 3 R p b 2 4 x L 3 B s Y X l l c n N f M T J f O V 8 y M D I y L C A x N i A w O S A 0 O C 9 B d X R v U m V t b 3 Z l Z E N v b H V t b n M x L n t F e H B l c m l l b m N p Y S w x N X 0 m c X V v d D s s J n F 1 b 3 Q 7 U 2 V j d G l v b j E v c G x h e W V y c 1 8 x M l 8 5 X z I w M j I s I D E 2 I D A 5 I D Q 4 L 0 F 1 d G 9 S Z W 1 v d m V k Q 2 9 s d W 1 u c z E u e 0 x p Z G V y Y X p n b y w x N n 0 m c X V v d D s s J n F 1 b 3 Q 7 U 2 V j d G l v b j E v c G x h e W V y c 1 8 x M l 8 5 X z I w M j I s I D E 2 I D A 5 I D Q 4 L 0 F 1 d G 9 S Z W 1 v d m V k Q 2 9 s d W 1 u c z E u e 0 Z p Z G V s a W R h Z C w x N 3 0 m c X V v d D s s J n F 1 b 3 Q 7 U 2 V j d G l v b j E v c G x h e W V y c 1 8 x M l 8 5 X z I w M j I s I D E 2 I D A 5 I D Q 4 L 0 F 1 d G 9 S Z W 1 v d m V k Q 2 9 s d W 1 u c z E u e 0 Z v c m 1 h L D E 4 f S Z x d W 9 0 O y w m c X V v d D t T Z W N 0 a W 9 u M S 9 w b G F 5 Z X J z X z E y X z l f M j A y M i w g M T Y g M D k g N D g v Q X V 0 b 1 J l b W 9 2 Z W R D b 2 x 1 b W 5 z M S 5 7 U m V z a X N 0 Z W 5 j a W E s M T l 9 J n F 1 b 3 Q 7 L C Z x d W 9 0 O 1 N l Y 3 R p b 2 4 x L 3 B s Y X l l c n N f M T J f O V 8 y M D I y L C A x N i A w O S A 0 O C 9 B d X R v U m V t b 3 Z l Z E N v b H V t b n M x L n t G Z W N o Y S D D u m x 0 a W 1 v I H B h c n R p Z G 8 s M j B 9 J n F 1 b 3 Q 7 L C Z x d W 9 0 O 1 N l Y 3 R p b 2 4 x L 3 B s Y X l l c n N f M T J f O V 8 y M D I y L C A x N i A w O S A 0 O C 9 B d X R v U m V t b 3 Z l Z E N v b H V t b n M x L n t S Z W 5 k a W 1 p Z W 5 0 b y D D u m x 0 a W 1 v I H B h c n R p Z G 8 s M j F 9 J n F 1 b 3 Q 7 L C Z x d W 9 0 O 1 N l Y 3 R p b 2 4 x L 3 B s Y X l l c n N f M T J f O V 8 y M D I y L C A x N i A w O S A 0 O C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l 8 5 X z I w M j I l M k M l M j A x N i U y M D A 5 J T I w N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A 5 J T I w N D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A 5 J T I w N D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x J T I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l Q x N D o x M T o 0 M i 4 5 N j Y 1 O T g 5 W i I g L z 4 8 R W 5 0 c n k g V H l w Z T 0 i R m l s b E N v b H V t b l R 5 c G V z I i B W Y W x 1 Z T 0 i c 0 J n T U d B d 0 1 H Q X d Z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J f O V 8 y M D I y L C A x N i A x M S A y O S 9 B d X R v U m V t b 3 Z l Z E N v b H V t b n M x L n t O Y W N p b 2 5 h b G l k Y W Q s M H 0 m c X V v d D s s J n F 1 b 3 Q 7 U 2 V j d G l v b j E v c G x h e W V y c 1 8 x M l 8 5 X z I w M j I s I D E 2 I D E x I D I 5 L 0 F 1 d G 9 S Z W 1 v d m V k Q 2 9 s d W 1 u c z E u e 0 R v c n N h b C w x f S Z x d W 9 0 O y w m c X V v d D t T Z W N 0 a W 9 u M S 9 w b G F 5 Z X J z X z E y X z l f M j A y M i w g M T Y g M T E g M j k v Q X V 0 b 1 J l b W 9 2 Z W R D b 2 x 1 b W 5 z M S 5 7 T m 9 t Y n J l L D J 9 J n F 1 b 3 Q 7 L C Z x d W 9 0 O 1 N l Y 3 R p b 2 4 x L 3 B s Y X l l c n N f M T J f O V 8 y M D I y L C A x N i A x M S A y O S 9 B d X R v U m V t b 3 Z l Z E N v b H V t b n M x L n t J R C B k Z W w g a n V n Y W R v c i w z f S Z x d W 9 0 O y w m c X V v d D t T Z W N 0 a W 9 u M S 9 w b G F 5 Z X J z X z E y X z l f M j A y M i w g M T Y g M T E g M j k v Q X V 0 b 1 J l b W 9 2 Z W R D b 2 x 1 b W 5 z M S 5 7 R W 5 0 c m V u Y W R v c i w 0 f S Z x d W 9 0 O y w m c X V v d D t T Z W N 0 a W 9 u M S 9 w b G F 5 Z X J z X z E y X z l f M j A y M i w g M T Y g M T E g M j k v Q X V 0 b 1 J l b W 9 2 Z W R D b 2 x 1 b W 5 z M S 5 7 R X N w Z W N p Y W x p Z G F k L D V 9 J n F 1 b 3 Q 7 L C Z x d W 9 0 O 1 N l Y 3 R p b 2 4 x L 3 B s Y X l l c n N f M T J f O V 8 y M D I y L C A x N i A x M S A y O S 9 B d X R v U m V t b 3 Z l Z E N v b H V t b n M x L n t C b 2 5 p Z m l j Y W N p w 7 N u I H B v c i B j b H V i I G R l I G 9 y a W d l b i w 2 f S Z x d W 9 0 O y w m c X V v d D t T Z W N 0 a W 9 u M S 9 w b G F 5 Z X J z X z E y X z l f M j A y M i w g M T Y g M T E g M j k v Q X V 0 b 1 J l b W 9 2 Z W R D b 2 x 1 b W 5 z M S 5 7 T G V z a W 9 u Z X M s N 3 0 m c X V v d D s s J n F 1 b 3 Q 7 U 2 V j d G l v b j E v c G x h e W V y c 1 8 x M l 8 5 X z I w M j I s I D E 2 I D E x I D I 5 L 0 F 1 d G 9 S Z W 1 v d m V k Q 2 9 s d W 1 u c z E u e 0 F t b 2 5 l c 3 R h Y 2 l v b m V z L D h 9 J n F 1 b 3 Q 7 L C Z x d W 9 0 O 1 N l Y 3 R p b 2 4 x L 3 B s Y X l l c n N f M T J f O V 8 y M D I y L C A x N i A x M S A y O S 9 B d X R v U m V t b 3 Z l Z E N v b H V t b n M x L n t F b i B s Y S B s a X N 0 Y S B k Z S B 0 c m F u c 2 Z l c m V u Y 2 l h c y w 5 f S Z x d W 9 0 O y w m c X V v d D t T Z W N 0 a W 9 u M S 9 w b G F 5 Z X J z X z E y X z l f M j A y M i w g M T Y g M T E g M j k v Q X V 0 b 1 J l b W 9 2 Z W R D b 2 x 1 b W 5 z M S 5 7 R W R h Z C w x M H 0 m c X V v d D s s J n F 1 b 3 Q 7 U 2 V j d G l v b j E v c G x h e W V y c 1 8 x M l 8 5 X z I w M j I s I D E 2 I D E x I D I 5 L 0 F 1 d G 9 S Z W 1 v d m V k Q 2 9 s d W 1 u c z E u e 0 T D r W F z L D E x f S Z x d W 9 0 O y w m c X V v d D t T Z W N 0 a W 9 u M S 9 w b G F 5 Z X J z X z E y X z l f M j A y M i w g M T Y g M T E g M j k v Q X V 0 b 1 J l b W 9 2 Z W R D b 2 x 1 b W 5 z M S 5 7 V F N J L D E y f S Z x d W 9 0 O y w m c X V v d D t T Z W N 0 a W 9 u M S 9 w b G F 5 Z X J z X z E y X z l f M j A y M i w g M T Y g M T E g M j k v Q X V 0 b 1 J l b W 9 2 Z W R D b 2 x 1 b W 5 z M S 5 7 U 2 F s Y X J p b y w x M 3 0 m c X V v d D s s J n F 1 b 3 Q 7 U 2 V j d G l v b j E v c G x h e W V y c 1 8 x M l 8 5 X z I w M j I s I D E 2 I D E x I D I 5 L 0 F 1 d G 9 S Z W 1 v d m V k Q 2 9 s d W 1 u c z E u e 1 N l b W F u Y X M g Z W 4 g Z W w g Y 2 x 1 Y i w x N H 0 m c X V v d D s s J n F 1 b 3 Q 7 U 2 V j d G l v b j E v c G x h e W V y c 1 8 x M l 8 5 X z I w M j I s I D E 2 I D E x I D I 5 L 0 F 1 d G 9 S Z W 1 v d m V k Q 2 9 s d W 1 u c z E u e 0 V 4 c G V y a W V u Y 2 l h L D E 1 f S Z x d W 9 0 O y w m c X V v d D t T Z W N 0 a W 9 u M S 9 w b G F 5 Z X J z X z E y X z l f M j A y M i w g M T Y g M T E g M j k v Q X V 0 b 1 J l b W 9 2 Z W R D b 2 x 1 b W 5 z M S 5 7 T G l k Z X J h e m d v L D E 2 f S Z x d W 9 0 O y w m c X V v d D t T Z W N 0 a W 9 u M S 9 w b G F 5 Z X J z X z E y X z l f M j A y M i w g M T Y g M T E g M j k v Q X V 0 b 1 J l b W 9 2 Z W R D b 2 x 1 b W 5 z M S 5 7 R m l k Z W x p Z G F k L D E 3 f S Z x d W 9 0 O y w m c X V v d D t T Z W N 0 a W 9 u M S 9 w b G F 5 Z X J z X z E y X z l f M j A y M i w g M T Y g M T E g M j k v Q X V 0 b 1 J l b W 9 2 Z W R D b 2 x 1 b W 5 z M S 5 7 R m 9 y b W E s M T h 9 J n F 1 b 3 Q 7 L C Z x d W 9 0 O 1 N l Y 3 R p b 2 4 x L 3 B s Y X l l c n N f M T J f O V 8 y M D I y L C A x N i A x M S A y O S 9 B d X R v U m V t b 3 Z l Z E N v b H V t b n M x L n t S Z X N p c 3 R l b m N p Y S w x O X 0 m c X V v d D s s J n F 1 b 3 Q 7 U 2 V j d G l v b j E v c G x h e W V y c 1 8 x M l 8 5 X z I w M j I s I D E 2 I D E x I D I 5 L 0 F 1 d G 9 S Z W 1 v d m V k Q 2 9 s d W 1 u c z E u e 0 Z l Y 2 h h I M O 6 b H R p b W 8 g c G F y d G l k b y w y M H 0 m c X V v d D s s J n F 1 b 3 Q 7 U 2 V j d G l v b j E v c G x h e W V y c 1 8 x M l 8 5 X z I w M j I s I D E 2 I D E x I D I 5 L 0 F 1 d G 9 S Z W 1 v d m V k Q 2 9 s d W 1 u c z E u e 1 J l b m R p b W l l b n R v I M O 6 b H R p b W 8 g c G F y d G l k b y w y M X 0 m c X V v d D s s J n F 1 b 3 Q 7 U 2 V j d G l v b j E v c G x h e W V y c 1 8 x M l 8 5 X z I w M j I s I D E 2 I D E x I D I 5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y X z l f M j A y M i w g M T Y g M T E g M j k v Q X V 0 b 1 J l b W 9 2 Z W R D b 2 x 1 b W 5 z M S 5 7 T m F j a W 9 u Y W x p Z G F k L D B 9 J n F 1 b 3 Q 7 L C Z x d W 9 0 O 1 N l Y 3 R p b 2 4 x L 3 B s Y X l l c n N f M T J f O V 8 y M D I y L C A x N i A x M S A y O S 9 B d X R v U m V t b 3 Z l Z E N v b H V t b n M x L n t E b 3 J z Y W w s M X 0 m c X V v d D s s J n F 1 b 3 Q 7 U 2 V j d G l v b j E v c G x h e W V y c 1 8 x M l 8 5 X z I w M j I s I D E 2 I D E x I D I 5 L 0 F 1 d G 9 S Z W 1 v d m V k Q 2 9 s d W 1 u c z E u e 0 5 v b W J y Z S w y f S Z x d W 9 0 O y w m c X V v d D t T Z W N 0 a W 9 u M S 9 w b G F 5 Z X J z X z E y X z l f M j A y M i w g M T Y g M T E g M j k v Q X V 0 b 1 J l b W 9 2 Z W R D b 2 x 1 b W 5 z M S 5 7 S U Q g Z G V s I G p 1 Z 2 F k b 3 I s M 3 0 m c X V v d D s s J n F 1 b 3 Q 7 U 2 V j d G l v b j E v c G x h e W V y c 1 8 x M l 8 5 X z I w M j I s I D E 2 I D E x I D I 5 L 0 F 1 d G 9 S Z W 1 v d m V k Q 2 9 s d W 1 u c z E u e 0 V u d H J l b m F k b 3 I s N H 0 m c X V v d D s s J n F 1 b 3 Q 7 U 2 V j d G l v b j E v c G x h e W V y c 1 8 x M l 8 5 X z I w M j I s I D E 2 I D E x I D I 5 L 0 F 1 d G 9 S Z W 1 v d m V k Q 2 9 s d W 1 u c z E u e 0 V z c G V j a W F s a W R h Z C w 1 f S Z x d W 9 0 O y w m c X V v d D t T Z W N 0 a W 9 u M S 9 w b G F 5 Z X J z X z E y X z l f M j A y M i w g M T Y g M T E g M j k v Q X V 0 b 1 J l b W 9 2 Z W R D b 2 x 1 b W 5 z M S 5 7 Q m 9 u a W Z p Y 2 F j a c O z b i B w b 3 I g Y 2 x 1 Y i B k Z S B v c m l n Z W 4 s N n 0 m c X V v d D s s J n F 1 b 3 Q 7 U 2 V j d G l v b j E v c G x h e W V y c 1 8 x M l 8 5 X z I w M j I s I D E 2 I D E x I D I 5 L 0 F 1 d G 9 S Z W 1 v d m V k Q 2 9 s d W 1 u c z E u e 0 x l c 2 l v b m V z L D d 9 J n F 1 b 3 Q 7 L C Z x d W 9 0 O 1 N l Y 3 R p b 2 4 x L 3 B s Y X l l c n N f M T J f O V 8 y M D I y L C A x N i A x M S A y O S 9 B d X R v U m V t b 3 Z l Z E N v b H V t b n M x L n t B b W 9 u Z X N 0 Y W N p b 2 5 l c y w 4 f S Z x d W 9 0 O y w m c X V v d D t T Z W N 0 a W 9 u M S 9 w b G F 5 Z X J z X z E y X z l f M j A y M i w g M T Y g M T E g M j k v Q X V 0 b 1 J l b W 9 2 Z W R D b 2 x 1 b W 5 z M S 5 7 R W 4 g b G E g b G l z d G E g Z G U g d H J h b n N m Z X J l b m N p Y X M s O X 0 m c X V v d D s s J n F 1 b 3 Q 7 U 2 V j d G l v b j E v c G x h e W V y c 1 8 x M l 8 5 X z I w M j I s I D E 2 I D E x I D I 5 L 0 F 1 d G 9 S Z W 1 v d m V k Q 2 9 s d W 1 u c z E u e 0 V k Y W Q s M T B 9 J n F 1 b 3 Q 7 L C Z x d W 9 0 O 1 N l Y 3 R p b 2 4 x L 3 B s Y X l l c n N f M T J f O V 8 y M D I y L C A x N i A x M S A y O S 9 B d X R v U m V t b 3 Z l Z E N v b H V t b n M x L n t E w 6 1 h c y w x M X 0 m c X V v d D s s J n F 1 b 3 Q 7 U 2 V j d G l v b j E v c G x h e W V y c 1 8 x M l 8 5 X z I w M j I s I D E 2 I D E x I D I 5 L 0 F 1 d G 9 S Z W 1 v d m V k Q 2 9 s d W 1 u c z E u e 1 R T S S w x M n 0 m c X V v d D s s J n F 1 b 3 Q 7 U 2 V j d G l v b j E v c G x h e W V y c 1 8 x M l 8 5 X z I w M j I s I D E 2 I D E x I D I 5 L 0 F 1 d G 9 S Z W 1 v d m V k Q 2 9 s d W 1 u c z E u e 1 N h b G F y a W 8 s M T N 9 J n F 1 b 3 Q 7 L C Z x d W 9 0 O 1 N l Y 3 R p b 2 4 x L 3 B s Y X l l c n N f M T J f O V 8 y M D I y L C A x N i A x M S A y O S 9 B d X R v U m V t b 3 Z l Z E N v b H V t b n M x L n t T Z W 1 h b m F z I G V u I G V s I G N s d W I s M T R 9 J n F 1 b 3 Q 7 L C Z x d W 9 0 O 1 N l Y 3 R p b 2 4 x L 3 B s Y X l l c n N f M T J f O V 8 y M D I y L C A x N i A x M S A y O S 9 B d X R v U m V t b 3 Z l Z E N v b H V t b n M x L n t F e H B l c m l l b m N p Y S w x N X 0 m c X V v d D s s J n F 1 b 3 Q 7 U 2 V j d G l v b j E v c G x h e W V y c 1 8 x M l 8 5 X z I w M j I s I D E 2 I D E x I D I 5 L 0 F 1 d G 9 S Z W 1 v d m V k Q 2 9 s d W 1 u c z E u e 0 x p Z G V y Y X p n b y w x N n 0 m c X V v d D s s J n F 1 b 3 Q 7 U 2 V j d G l v b j E v c G x h e W V y c 1 8 x M l 8 5 X z I w M j I s I D E 2 I D E x I D I 5 L 0 F 1 d G 9 S Z W 1 v d m V k Q 2 9 s d W 1 u c z E u e 0 Z p Z G V s a W R h Z C w x N 3 0 m c X V v d D s s J n F 1 b 3 Q 7 U 2 V j d G l v b j E v c G x h e W V y c 1 8 x M l 8 5 X z I w M j I s I D E 2 I D E x I D I 5 L 0 F 1 d G 9 S Z W 1 v d m V k Q 2 9 s d W 1 u c z E u e 0 Z v c m 1 h L D E 4 f S Z x d W 9 0 O y w m c X V v d D t T Z W N 0 a W 9 u M S 9 w b G F 5 Z X J z X z E y X z l f M j A y M i w g M T Y g M T E g M j k v Q X V 0 b 1 J l b W 9 2 Z W R D b 2 x 1 b W 5 z M S 5 7 U m V z a X N 0 Z W 5 j a W E s M T l 9 J n F 1 b 3 Q 7 L C Z x d W 9 0 O 1 N l Y 3 R p b 2 4 x L 3 B s Y X l l c n N f M T J f O V 8 y M D I y L C A x N i A x M S A y O S 9 B d X R v U m V t b 3 Z l Z E N v b H V t b n M x L n t G Z W N o Y S D D u m x 0 a W 1 v I H B h c n R p Z G 8 s M j B 9 J n F 1 b 3 Q 7 L C Z x d W 9 0 O 1 N l Y 3 R p b 2 4 x L 3 B s Y X l l c n N f M T J f O V 8 y M D I y L C A x N i A x M S A y O S 9 B d X R v U m V t b 3 Z l Z E N v b H V t b n M x L n t S Z W 5 k a W 1 p Z W 5 0 b y D D u m x 0 a W 1 v I H B h c n R p Z G 8 s M j F 9 J n F 1 b 3 Q 7 L C Z x d W 9 0 O 1 N l Y 3 R p b 2 4 x L 3 B s Y X l l c n N f M T J f O V 8 y M D I y L C A x N i A x M S A y O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l 8 5 X z I w M j I l M k M l M j A x N i U y M D E x J T I w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x J T I w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x J T I w M j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y J T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l Q x N D o x M j o y O C 4 x N D A 4 N D k 0 W i I g L z 4 8 R W 5 0 c n k g V H l w Z T 0 i R m l s b E N v b H V t b l R 5 c G V z I i B W Y W x 1 Z T 0 i c 0 J n T U d B d 0 1 H Q X d Z R E F 3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J f O V 8 y M D I y L C A x N i A x M i A x M y 9 B d X R v U m V t b 3 Z l Z E N v b H V t b n M x L n t O Y W N p b 2 5 h b G l k Y W Q s M H 0 m c X V v d D s s J n F 1 b 3 Q 7 U 2 V j d G l v b j E v c G x h e W V y c 1 8 x M l 8 5 X z I w M j I s I D E 2 I D E y I D E z L 0 F 1 d G 9 S Z W 1 v d m V k Q 2 9 s d W 1 u c z E u e 0 R v c n N h b C w x f S Z x d W 9 0 O y w m c X V v d D t T Z W N 0 a W 9 u M S 9 w b G F 5 Z X J z X z E y X z l f M j A y M i w g M T Y g M T I g M T M v Q X V 0 b 1 J l b W 9 2 Z W R D b 2 x 1 b W 5 z M S 5 7 T m 9 t Y n J l L D J 9 J n F 1 b 3 Q 7 L C Z x d W 9 0 O 1 N l Y 3 R p b 2 4 x L 3 B s Y X l l c n N f M T J f O V 8 y M D I y L C A x N i A x M i A x M y 9 B d X R v U m V t b 3 Z l Z E N v b H V t b n M x L n t J R C B k Z W w g a n V n Y W R v c i w z f S Z x d W 9 0 O y w m c X V v d D t T Z W N 0 a W 9 u M S 9 w b G F 5 Z X J z X z E y X z l f M j A y M i w g M T Y g M T I g M T M v Q X V 0 b 1 J l b W 9 2 Z W R D b 2 x 1 b W 5 z M S 5 7 R W 5 0 c m V u Y W R v c i w 0 f S Z x d W 9 0 O y w m c X V v d D t T Z W N 0 a W 9 u M S 9 w b G F 5 Z X J z X z E y X z l f M j A y M i w g M T Y g M T I g M T M v Q X V 0 b 1 J l b W 9 2 Z W R D b 2 x 1 b W 5 z M S 5 7 R X N w Z W N p Y W x p Z G F k L D V 9 J n F 1 b 3 Q 7 L C Z x d W 9 0 O 1 N l Y 3 R p b 2 4 x L 3 B s Y X l l c n N f M T J f O V 8 y M D I y L C A x N i A x M i A x M y 9 B d X R v U m V t b 3 Z l Z E N v b H V t b n M x L n t C b 2 5 p Z m l j Y W N p w 7 N u I H B v c i B j b H V i I G R l I G 9 y a W d l b i w 2 f S Z x d W 9 0 O y w m c X V v d D t T Z W N 0 a W 9 u M S 9 w b G F 5 Z X J z X z E y X z l f M j A y M i w g M T Y g M T I g M T M v Q X V 0 b 1 J l b W 9 2 Z W R D b 2 x 1 b W 5 z M S 5 7 T G V z a W 9 u Z X M s N 3 0 m c X V v d D s s J n F 1 b 3 Q 7 U 2 V j d G l v b j E v c G x h e W V y c 1 8 x M l 8 5 X z I w M j I s I D E 2 I D E y I D E z L 0 F 1 d G 9 S Z W 1 v d m V k Q 2 9 s d W 1 u c z E u e 0 F t b 2 5 l c 3 R h Y 2 l v b m V z L D h 9 J n F 1 b 3 Q 7 L C Z x d W 9 0 O 1 N l Y 3 R p b 2 4 x L 3 B s Y X l l c n N f M T J f O V 8 y M D I y L C A x N i A x M i A x M y 9 B d X R v U m V t b 3 Z l Z E N v b H V t b n M x L n t F b i B s Y S B s a X N 0 Y S B k Z S B 0 c m F u c 2 Z l c m V u Y 2 l h c y w 5 f S Z x d W 9 0 O y w m c X V v d D t T Z W N 0 a W 9 u M S 9 w b G F 5 Z X J z X z E y X z l f M j A y M i w g M T Y g M T I g M T M v Q X V 0 b 1 J l b W 9 2 Z W R D b 2 x 1 b W 5 z M S 5 7 R W R h Z C w x M H 0 m c X V v d D s s J n F 1 b 3 Q 7 U 2 V j d G l v b j E v c G x h e W V y c 1 8 x M l 8 5 X z I w M j I s I D E 2 I D E y I D E z L 0 F 1 d G 9 S Z W 1 v d m V k Q 2 9 s d W 1 u c z E u e 0 T D r W F z L D E x f S Z x d W 9 0 O y w m c X V v d D t T Z W N 0 a W 9 u M S 9 w b G F 5 Z X J z X z E y X z l f M j A y M i w g M T Y g M T I g M T M v Q X V 0 b 1 J l b W 9 2 Z W R D b 2 x 1 b W 5 z M S 5 7 V F N J L D E y f S Z x d W 9 0 O y w m c X V v d D t T Z W N 0 a W 9 u M S 9 w b G F 5 Z X J z X z E y X z l f M j A y M i w g M T Y g M T I g M T M v Q X V 0 b 1 J l b W 9 2 Z W R D b 2 x 1 b W 5 z M S 5 7 U 2 F s Y X J p b y w x M 3 0 m c X V v d D s s J n F 1 b 3 Q 7 U 2 V j d G l v b j E v c G x h e W V y c 1 8 x M l 8 5 X z I w M j I s I D E 2 I D E y I D E z L 0 F 1 d G 9 S Z W 1 v d m V k Q 2 9 s d W 1 u c z E u e 1 N l b W F u Y X M g Z W 4 g Z W w g Y 2 x 1 Y i w x N H 0 m c X V v d D s s J n F 1 b 3 Q 7 U 2 V j d G l v b j E v c G x h e W V y c 1 8 x M l 8 5 X z I w M j I s I D E 2 I D E y I D E z L 0 F 1 d G 9 S Z W 1 v d m V k Q 2 9 s d W 1 u c z E u e 0 V 4 c G V y a W V u Y 2 l h L D E 1 f S Z x d W 9 0 O y w m c X V v d D t T Z W N 0 a W 9 u M S 9 w b G F 5 Z X J z X z E y X z l f M j A y M i w g M T Y g M T I g M T M v Q X V 0 b 1 J l b W 9 2 Z W R D b 2 x 1 b W 5 z M S 5 7 T G l k Z X J h e m d v L D E 2 f S Z x d W 9 0 O y w m c X V v d D t T Z W N 0 a W 9 u M S 9 w b G F 5 Z X J z X z E y X z l f M j A y M i w g M T Y g M T I g M T M v Q X V 0 b 1 J l b W 9 2 Z W R D b 2 x 1 b W 5 z M S 5 7 R m l k Z W x p Z G F k L D E 3 f S Z x d W 9 0 O y w m c X V v d D t T Z W N 0 a W 9 u M S 9 w b G F 5 Z X J z X z E y X z l f M j A y M i w g M T Y g M T I g M T M v Q X V 0 b 1 J l b W 9 2 Z W R D b 2 x 1 b W 5 z M S 5 7 R m 9 y b W E s M T h 9 J n F 1 b 3 Q 7 L C Z x d W 9 0 O 1 N l Y 3 R p b 2 4 x L 3 B s Y X l l c n N f M T J f O V 8 y M D I y L C A x N i A x M i A x M y 9 B d X R v U m V t b 3 Z l Z E N v b H V t b n M x L n t S Z X N p c 3 R l b m N p Y S w x O X 0 m c X V v d D s s J n F 1 b 3 Q 7 U 2 V j d G l v b j E v c G x h e W V y c 1 8 x M l 8 5 X z I w M j I s I D E 2 I D E y I D E z L 0 F 1 d G 9 S Z W 1 v d m V k Q 2 9 s d W 1 u c z E u e 0 Z l Y 2 h h I M O 6 b H R p b W 8 g c G F y d G l k b y w y M H 0 m c X V v d D s s J n F 1 b 3 Q 7 U 2 V j d G l v b j E v c G x h e W V y c 1 8 x M l 8 5 X z I w M j I s I D E 2 I D E y I D E z L 0 F 1 d G 9 S Z W 1 v d m V k Q 2 9 s d W 1 u c z E u e 1 J l b m R p b W l l b n R v I M O 6 b H R p b W 8 g c G F y d G l k b y w y M X 0 m c X V v d D s s J n F 1 b 3 Q 7 U 2 V j d G l v b j E v c G x h e W V y c 1 8 x M l 8 5 X z I w M j I s I D E 2 I D E y I D E z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y X z l f M j A y M i w g M T Y g M T I g M T M v Q X V 0 b 1 J l b W 9 2 Z W R D b 2 x 1 b W 5 z M S 5 7 T m F j a W 9 u Y W x p Z G F k L D B 9 J n F 1 b 3 Q 7 L C Z x d W 9 0 O 1 N l Y 3 R p b 2 4 x L 3 B s Y X l l c n N f M T J f O V 8 y M D I y L C A x N i A x M i A x M y 9 B d X R v U m V t b 3 Z l Z E N v b H V t b n M x L n t E b 3 J z Y W w s M X 0 m c X V v d D s s J n F 1 b 3 Q 7 U 2 V j d G l v b j E v c G x h e W V y c 1 8 x M l 8 5 X z I w M j I s I D E 2 I D E y I D E z L 0 F 1 d G 9 S Z W 1 v d m V k Q 2 9 s d W 1 u c z E u e 0 5 v b W J y Z S w y f S Z x d W 9 0 O y w m c X V v d D t T Z W N 0 a W 9 u M S 9 w b G F 5 Z X J z X z E y X z l f M j A y M i w g M T Y g M T I g M T M v Q X V 0 b 1 J l b W 9 2 Z W R D b 2 x 1 b W 5 z M S 5 7 S U Q g Z G V s I G p 1 Z 2 F k b 3 I s M 3 0 m c X V v d D s s J n F 1 b 3 Q 7 U 2 V j d G l v b j E v c G x h e W V y c 1 8 x M l 8 5 X z I w M j I s I D E 2 I D E y I D E z L 0 F 1 d G 9 S Z W 1 v d m V k Q 2 9 s d W 1 u c z E u e 0 V u d H J l b m F k b 3 I s N H 0 m c X V v d D s s J n F 1 b 3 Q 7 U 2 V j d G l v b j E v c G x h e W V y c 1 8 x M l 8 5 X z I w M j I s I D E 2 I D E y I D E z L 0 F 1 d G 9 S Z W 1 v d m V k Q 2 9 s d W 1 u c z E u e 0 V z c G V j a W F s a W R h Z C w 1 f S Z x d W 9 0 O y w m c X V v d D t T Z W N 0 a W 9 u M S 9 w b G F 5 Z X J z X z E y X z l f M j A y M i w g M T Y g M T I g M T M v Q X V 0 b 1 J l b W 9 2 Z W R D b 2 x 1 b W 5 z M S 5 7 Q m 9 u a W Z p Y 2 F j a c O z b i B w b 3 I g Y 2 x 1 Y i B k Z S B v c m l n Z W 4 s N n 0 m c X V v d D s s J n F 1 b 3 Q 7 U 2 V j d G l v b j E v c G x h e W V y c 1 8 x M l 8 5 X z I w M j I s I D E 2 I D E y I D E z L 0 F 1 d G 9 S Z W 1 v d m V k Q 2 9 s d W 1 u c z E u e 0 x l c 2 l v b m V z L D d 9 J n F 1 b 3 Q 7 L C Z x d W 9 0 O 1 N l Y 3 R p b 2 4 x L 3 B s Y X l l c n N f M T J f O V 8 y M D I y L C A x N i A x M i A x M y 9 B d X R v U m V t b 3 Z l Z E N v b H V t b n M x L n t B b W 9 u Z X N 0 Y W N p b 2 5 l c y w 4 f S Z x d W 9 0 O y w m c X V v d D t T Z W N 0 a W 9 u M S 9 w b G F 5 Z X J z X z E y X z l f M j A y M i w g M T Y g M T I g M T M v Q X V 0 b 1 J l b W 9 2 Z W R D b 2 x 1 b W 5 z M S 5 7 R W 4 g b G E g b G l z d G E g Z G U g d H J h b n N m Z X J l b m N p Y X M s O X 0 m c X V v d D s s J n F 1 b 3 Q 7 U 2 V j d G l v b j E v c G x h e W V y c 1 8 x M l 8 5 X z I w M j I s I D E 2 I D E y I D E z L 0 F 1 d G 9 S Z W 1 v d m V k Q 2 9 s d W 1 u c z E u e 0 V k Y W Q s M T B 9 J n F 1 b 3 Q 7 L C Z x d W 9 0 O 1 N l Y 3 R p b 2 4 x L 3 B s Y X l l c n N f M T J f O V 8 y M D I y L C A x N i A x M i A x M y 9 B d X R v U m V t b 3 Z l Z E N v b H V t b n M x L n t E w 6 1 h c y w x M X 0 m c X V v d D s s J n F 1 b 3 Q 7 U 2 V j d G l v b j E v c G x h e W V y c 1 8 x M l 8 5 X z I w M j I s I D E 2 I D E y I D E z L 0 F 1 d G 9 S Z W 1 v d m V k Q 2 9 s d W 1 u c z E u e 1 R T S S w x M n 0 m c X V v d D s s J n F 1 b 3 Q 7 U 2 V j d G l v b j E v c G x h e W V y c 1 8 x M l 8 5 X z I w M j I s I D E 2 I D E y I D E z L 0 F 1 d G 9 S Z W 1 v d m V k Q 2 9 s d W 1 u c z E u e 1 N h b G F y a W 8 s M T N 9 J n F 1 b 3 Q 7 L C Z x d W 9 0 O 1 N l Y 3 R p b 2 4 x L 3 B s Y X l l c n N f M T J f O V 8 y M D I y L C A x N i A x M i A x M y 9 B d X R v U m V t b 3 Z l Z E N v b H V t b n M x L n t T Z W 1 h b m F z I G V u I G V s I G N s d W I s M T R 9 J n F 1 b 3 Q 7 L C Z x d W 9 0 O 1 N l Y 3 R p b 2 4 x L 3 B s Y X l l c n N f M T J f O V 8 y M D I y L C A x N i A x M i A x M y 9 B d X R v U m V t b 3 Z l Z E N v b H V t b n M x L n t F e H B l c m l l b m N p Y S w x N X 0 m c X V v d D s s J n F 1 b 3 Q 7 U 2 V j d G l v b j E v c G x h e W V y c 1 8 x M l 8 5 X z I w M j I s I D E 2 I D E y I D E z L 0 F 1 d G 9 S Z W 1 v d m V k Q 2 9 s d W 1 u c z E u e 0 x p Z G V y Y X p n b y w x N n 0 m c X V v d D s s J n F 1 b 3 Q 7 U 2 V j d G l v b j E v c G x h e W V y c 1 8 x M l 8 5 X z I w M j I s I D E 2 I D E y I D E z L 0 F 1 d G 9 S Z W 1 v d m V k Q 2 9 s d W 1 u c z E u e 0 Z p Z G V s a W R h Z C w x N 3 0 m c X V v d D s s J n F 1 b 3 Q 7 U 2 V j d G l v b j E v c G x h e W V y c 1 8 x M l 8 5 X z I w M j I s I D E 2 I D E y I D E z L 0 F 1 d G 9 S Z W 1 v d m V k Q 2 9 s d W 1 u c z E u e 0 Z v c m 1 h L D E 4 f S Z x d W 9 0 O y w m c X V v d D t T Z W N 0 a W 9 u M S 9 w b G F 5 Z X J z X z E y X z l f M j A y M i w g M T Y g M T I g M T M v Q X V 0 b 1 J l b W 9 2 Z W R D b 2 x 1 b W 5 z M S 5 7 U m V z a X N 0 Z W 5 j a W E s M T l 9 J n F 1 b 3 Q 7 L C Z x d W 9 0 O 1 N l Y 3 R p b 2 4 x L 3 B s Y X l l c n N f M T J f O V 8 y M D I y L C A x N i A x M i A x M y 9 B d X R v U m V t b 3 Z l Z E N v b H V t b n M x L n t G Z W N o Y S D D u m x 0 a W 1 v I H B h c n R p Z G 8 s M j B 9 J n F 1 b 3 Q 7 L C Z x d W 9 0 O 1 N l Y 3 R p b 2 4 x L 3 B s Y X l l c n N f M T J f O V 8 y M D I y L C A x N i A x M i A x M y 9 B d X R v U m V t b 3 Z l Z E N v b H V t b n M x L n t S Z W 5 k a W 1 p Z W 5 0 b y D D u m x 0 a W 1 v I H B h c n R p Z G 8 s M j F 9 J n F 1 b 3 Q 7 L C Z x d W 9 0 O 1 N l Y 3 R p b 2 4 x L 3 B s Y X l l c n N f M T J f O V 8 y M D I y L C A x N i A x M i A x M y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M l 8 5 X z I w M j I l M k M l M j A x N i U y M D E y J T I w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y J T I w M T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M l 8 5 X z I w M j I l M k M l M j A x N i U y M D E y J T I w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N l 8 5 X z I w M j I l M k M l M j A x M S U y M D M 2 J T I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l Q w O T o z N j o z N i 4 2 N z U 5 N T U 1 W i I g L z 4 8 R W 5 0 c n k g V H l w Z T 0 i R m l s b E N v b H V t b l R 5 c G V z I i B W Y W x 1 Z T 0 i c 0 J n T U d B d 0 1 H Q X d Z R E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T Z f O V 8 y M D I y L C A x M S A z N i A w M S 9 B d X R v U m V t b 3 Z l Z E N v b H V t b n M x L n t O Y W N p b 2 5 h b G l k Y W Q s M H 0 m c X V v d D s s J n F 1 b 3 Q 7 U 2 V j d G l v b j E v c G x h e W V y c 1 8 x N l 8 5 X z I w M j I s I D E x I D M 2 I D A x L 0 F 1 d G 9 S Z W 1 v d m V k Q 2 9 s d W 1 u c z E u e 0 R v c n N h b C w x f S Z x d W 9 0 O y w m c X V v d D t T Z W N 0 a W 9 u M S 9 w b G F 5 Z X J z X z E 2 X z l f M j A y M i w g M T E g M z Y g M D E v Q X V 0 b 1 J l b W 9 2 Z W R D b 2 x 1 b W 5 z M S 5 7 T m 9 t Y n J l L D J 9 J n F 1 b 3 Q 7 L C Z x d W 9 0 O 1 N l Y 3 R p b 2 4 x L 3 B s Y X l l c n N f M T Z f O V 8 y M D I y L C A x M S A z N i A w M S 9 B d X R v U m V t b 3 Z l Z E N v b H V t b n M x L n t J R C B k Z W w g a n V n Y W R v c i w z f S Z x d W 9 0 O y w m c X V v d D t T Z W N 0 a W 9 u M S 9 w b G F 5 Z X J z X z E 2 X z l f M j A y M i w g M T E g M z Y g M D E v Q X V 0 b 1 J l b W 9 2 Z W R D b 2 x 1 b W 5 z M S 5 7 R W 5 0 c m V u Y W R v c i w 0 f S Z x d W 9 0 O y w m c X V v d D t T Z W N 0 a W 9 u M S 9 w b G F 5 Z X J z X z E 2 X z l f M j A y M i w g M T E g M z Y g M D E v Q X V 0 b 1 J l b W 9 2 Z W R D b 2 x 1 b W 5 z M S 5 7 R X N w Z W N p Y W x p Z G F k L D V 9 J n F 1 b 3 Q 7 L C Z x d W 9 0 O 1 N l Y 3 R p b 2 4 x L 3 B s Y X l l c n N f M T Z f O V 8 y M D I y L C A x M S A z N i A w M S 9 B d X R v U m V t b 3 Z l Z E N v b H V t b n M x L n t C b 2 5 p Z m l j Y W N p w 7 N u I H B v c i B j b H V i I G R l I G 9 y a W d l b i w 2 f S Z x d W 9 0 O y w m c X V v d D t T Z W N 0 a W 9 u M S 9 w b G F 5 Z X J z X z E 2 X z l f M j A y M i w g M T E g M z Y g M D E v Q X V 0 b 1 J l b W 9 2 Z W R D b 2 x 1 b W 5 z M S 5 7 T G V z a W 9 u Z X M s N 3 0 m c X V v d D s s J n F 1 b 3 Q 7 U 2 V j d G l v b j E v c G x h e W V y c 1 8 x N l 8 5 X z I w M j I s I D E x I D M 2 I D A x L 0 F 1 d G 9 S Z W 1 v d m V k Q 2 9 s d W 1 u c z E u e 0 F t b 2 5 l c 3 R h Y 2 l v b m V z L D h 9 J n F 1 b 3 Q 7 L C Z x d W 9 0 O 1 N l Y 3 R p b 2 4 x L 3 B s Y X l l c n N f M T Z f O V 8 y M D I y L C A x M S A z N i A w M S 9 B d X R v U m V t b 3 Z l Z E N v b H V t b n M x L n t F b i B s Y S B s a X N 0 Y S B k Z S B 0 c m F u c 2 Z l c m V u Y 2 l h c y w 5 f S Z x d W 9 0 O y w m c X V v d D t T Z W N 0 a W 9 u M S 9 w b G F 5 Z X J z X z E 2 X z l f M j A y M i w g M T E g M z Y g M D E v Q X V 0 b 1 J l b W 9 2 Z W R D b 2 x 1 b W 5 z M S 5 7 R W R h Z C w x M H 0 m c X V v d D s s J n F 1 b 3 Q 7 U 2 V j d G l v b j E v c G x h e W V y c 1 8 x N l 8 5 X z I w M j I s I D E x I D M 2 I D A x L 0 F 1 d G 9 S Z W 1 v d m V k Q 2 9 s d W 1 u c z E u e 0 T D r W F z L D E x f S Z x d W 9 0 O y w m c X V v d D t T Z W N 0 a W 9 u M S 9 w b G F 5 Z X J z X z E 2 X z l f M j A y M i w g M T E g M z Y g M D E v Q X V 0 b 1 J l b W 9 2 Z W R D b 2 x 1 b W 5 z M S 5 7 V F N J L D E y f S Z x d W 9 0 O y w m c X V v d D t T Z W N 0 a W 9 u M S 9 w b G F 5 Z X J z X z E 2 X z l f M j A y M i w g M T E g M z Y g M D E v Q X V 0 b 1 J l b W 9 2 Z W R D b 2 x 1 b W 5 z M S 5 7 U 2 F s Y X J p b y w x M 3 0 m c X V v d D s s J n F 1 b 3 Q 7 U 2 V j d G l v b j E v c G x h e W V y c 1 8 x N l 8 5 X z I w M j I s I D E x I D M 2 I D A x L 0 F 1 d G 9 S Z W 1 v d m V k Q 2 9 s d W 1 u c z E u e 1 N l b W F u Y X M g Z W 4 g Z W w g Y 2 x 1 Y i w x N H 0 m c X V v d D s s J n F 1 b 3 Q 7 U 2 V j d G l v b j E v c G x h e W V y c 1 8 x N l 8 5 X z I w M j I s I D E x I D M 2 I D A x L 0 F 1 d G 9 S Z W 1 v d m V k Q 2 9 s d W 1 u c z E u e 0 V 4 c G V y a W V u Y 2 l h L D E 1 f S Z x d W 9 0 O y w m c X V v d D t T Z W N 0 a W 9 u M S 9 w b G F 5 Z X J z X z E 2 X z l f M j A y M i w g M T E g M z Y g M D E v Q X V 0 b 1 J l b W 9 2 Z W R D b 2 x 1 b W 5 z M S 5 7 T G l k Z X J h e m d v L D E 2 f S Z x d W 9 0 O y w m c X V v d D t T Z W N 0 a W 9 u M S 9 w b G F 5 Z X J z X z E 2 X z l f M j A y M i w g M T E g M z Y g M D E v Q X V 0 b 1 J l b W 9 2 Z W R D b 2 x 1 b W 5 z M S 5 7 R m l k Z W x p Z G F k L D E 3 f S Z x d W 9 0 O y w m c X V v d D t T Z W N 0 a W 9 u M S 9 w b G F 5 Z X J z X z E 2 X z l f M j A y M i w g M T E g M z Y g M D E v Q X V 0 b 1 J l b W 9 2 Z W R D b 2 x 1 b W 5 z M S 5 7 R m 9 y b W E s M T h 9 J n F 1 b 3 Q 7 L C Z x d W 9 0 O 1 N l Y 3 R p b 2 4 x L 3 B s Y X l l c n N f M T Z f O V 8 y M D I y L C A x M S A z N i A w M S 9 B d X R v U m V t b 3 Z l Z E N v b H V t b n M x L n t S Z X N p c 3 R l b m N p Y S w x O X 0 m c X V v d D s s J n F 1 b 3 Q 7 U 2 V j d G l v b j E v c G x h e W V y c 1 8 x N l 8 5 X z I w M j I s I D E x I D M 2 I D A x L 0 F 1 d G 9 S Z W 1 v d m V k Q 2 9 s d W 1 u c z E u e 0 Z l Y 2 h h I M O 6 b H R p b W 8 g c G F y d G l k b y w y M H 0 m c X V v d D s s J n F 1 b 3 Q 7 U 2 V j d G l v b j E v c G x h e W V y c 1 8 x N l 8 5 X z I w M j I s I D E x I D M 2 I D A x L 0 F 1 d G 9 S Z W 1 v d m V k Q 2 9 s d W 1 u c z E u e 1 J l b m R p b W l l b n R v I M O 6 b H R p b W 8 g c G F y d G l k b y w y M X 0 m c X V v d D s s J n F 1 b 3 Q 7 U 2 V j d G l v b j E v c G x h e W V y c 1 8 x N l 8 5 X z I w M j I s I D E x I D M 2 I D A x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E 2 X z l f M j A y M i w g M T E g M z Y g M D E v Q X V 0 b 1 J l b W 9 2 Z W R D b 2 x 1 b W 5 z M S 5 7 T m F j a W 9 u Y W x p Z G F k L D B 9 J n F 1 b 3 Q 7 L C Z x d W 9 0 O 1 N l Y 3 R p b 2 4 x L 3 B s Y X l l c n N f M T Z f O V 8 y M D I y L C A x M S A z N i A w M S 9 B d X R v U m V t b 3 Z l Z E N v b H V t b n M x L n t E b 3 J z Y W w s M X 0 m c X V v d D s s J n F 1 b 3 Q 7 U 2 V j d G l v b j E v c G x h e W V y c 1 8 x N l 8 5 X z I w M j I s I D E x I D M 2 I D A x L 0 F 1 d G 9 S Z W 1 v d m V k Q 2 9 s d W 1 u c z E u e 0 5 v b W J y Z S w y f S Z x d W 9 0 O y w m c X V v d D t T Z W N 0 a W 9 u M S 9 w b G F 5 Z X J z X z E 2 X z l f M j A y M i w g M T E g M z Y g M D E v Q X V 0 b 1 J l b W 9 2 Z W R D b 2 x 1 b W 5 z M S 5 7 S U Q g Z G V s I G p 1 Z 2 F k b 3 I s M 3 0 m c X V v d D s s J n F 1 b 3 Q 7 U 2 V j d G l v b j E v c G x h e W V y c 1 8 x N l 8 5 X z I w M j I s I D E x I D M 2 I D A x L 0 F 1 d G 9 S Z W 1 v d m V k Q 2 9 s d W 1 u c z E u e 0 V u d H J l b m F k b 3 I s N H 0 m c X V v d D s s J n F 1 b 3 Q 7 U 2 V j d G l v b j E v c G x h e W V y c 1 8 x N l 8 5 X z I w M j I s I D E x I D M 2 I D A x L 0 F 1 d G 9 S Z W 1 v d m V k Q 2 9 s d W 1 u c z E u e 0 V z c G V j a W F s a W R h Z C w 1 f S Z x d W 9 0 O y w m c X V v d D t T Z W N 0 a W 9 u M S 9 w b G F 5 Z X J z X z E 2 X z l f M j A y M i w g M T E g M z Y g M D E v Q X V 0 b 1 J l b W 9 2 Z W R D b 2 x 1 b W 5 z M S 5 7 Q m 9 u a W Z p Y 2 F j a c O z b i B w b 3 I g Y 2 x 1 Y i B k Z S B v c m l n Z W 4 s N n 0 m c X V v d D s s J n F 1 b 3 Q 7 U 2 V j d G l v b j E v c G x h e W V y c 1 8 x N l 8 5 X z I w M j I s I D E x I D M 2 I D A x L 0 F 1 d G 9 S Z W 1 v d m V k Q 2 9 s d W 1 u c z E u e 0 x l c 2 l v b m V z L D d 9 J n F 1 b 3 Q 7 L C Z x d W 9 0 O 1 N l Y 3 R p b 2 4 x L 3 B s Y X l l c n N f M T Z f O V 8 y M D I y L C A x M S A z N i A w M S 9 B d X R v U m V t b 3 Z l Z E N v b H V t b n M x L n t B b W 9 u Z X N 0 Y W N p b 2 5 l c y w 4 f S Z x d W 9 0 O y w m c X V v d D t T Z W N 0 a W 9 u M S 9 w b G F 5 Z X J z X z E 2 X z l f M j A y M i w g M T E g M z Y g M D E v Q X V 0 b 1 J l b W 9 2 Z W R D b 2 x 1 b W 5 z M S 5 7 R W 4 g b G E g b G l z d G E g Z G U g d H J h b n N m Z X J l b m N p Y X M s O X 0 m c X V v d D s s J n F 1 b 3 Q 7 U 2 V j d G l v b j E v c G x h e W V y c 1 8 x N l 8 5 X z I w M j I s I D E x I D M 2 I D A x L 0 F 1 d G 9 S Z W 1 v d m V k Q 2 9 s d W 1 u c z E u e 0 V k Y W Q s M T B 9 J n F 1 b 3 Q 7 L C Z x d W 9 0 O 1 N l Y 3 R p b 2 4 x L 3 B s Y X l l c n N f M T Z f O V 8 y M D I y L C A x M S A z N i A w M S 9 B d X R v U m V t b 3 Z l Z E N v b H V t b n M x L n t E w 6 1 h c y w x M X 0 m c X V v d D s s J n F 1 b 3 Q 7 U 2 V j d G l v b j E v c G x h e W V y c 1 8 x N l 8 5 X z I w M j I s I D E x I D M 2 I D A x L 0 F 1 d G 9 S Z W 1 v d m V k Q 2 9 s d W 1 u c z E u e 1 R T S S w x M n 0 m c X V v d D s s J n F 1 b 3 Q 7 U 2 V j d G l v b j E v c G x h e W V y c 1 8 x N l 8 5 X z I w M j I s I D E x I D M 2 I D A x L 0 F 1 d G 9 S Z W 1 v d m V k Q 2 9 s d W 1 u c z E u e 1 N h b G F y a W 8 s M T N 9 J n F 1 b 3 Q 7 L C Z x d W 9 0 O 1 N l Y 3 R p b 2 4 x L 3 B s Y X l l c n N f M T Z f O V 8 y M D I y L C A x M S A z N i A w M S 9 B d X R v U m V t b 3 Z l Z E N v b H V t b n M x L n t T Z W 1 h b m F z I G V u I G V s I G N s d W I s M T R 9 J n F 1 b 3 Q 7 L C Z x d W 9 0 O 1 N l Y 3 R p b 2 4 x L 3 B s Y X l l c n N f M T Z f O V 8 y M D I y L C A x M S A z N i A w M S 9 B d X R v U m V t b 3 Z l Z E N v b H V t b n M x L n t F e H B l c m l l b m N p Y S w x N X 0 m c X V v d D s s J n F 1 b 3 Q 7 U 2 V j d G l v b j E v c G x h e W V y c 1 8 x N l 8 5 X z I w M j I s I D E x I D M 2 I D A x L 0 F 1 d G 9 S Z W 1 v d m V k Q 2 9 s d W 1 u c z E u e 0 x p Z G V y Y X p n b y w x N n 0 m c X V v d D s s J n F 1 b 3 Q 7 U 2 V j d G l v b j E v c G x h e W V y c 1 8 x N l 8 5 X z I w M j I s I D E x I D M 2 I D A x L 0 F 1 d G 9 S Z W 1 v d m V k Q 2 9 s d W 1 u c z E u e 0 Z p Z G V s a W R h Z C w x N 3 0 m c X V v d D s s J n F 1 b 3 Q 7 U 2 V j d G l v b j E v c G x h e W V y c 1 8 x N l 8 5 X z I w M j I s I D E x I D M 2 I D A x L 0 F 1 d G 9 S Z W 1 v d m V k Q 2 9 s d W 1 u c z E u e 0 Z v c m 1 h L D E 4 f S Z x d W 9 0 O y w m c X V v d D t T Z W N 0 a W 9 u M S 9 w b G F 5 Z X J z X z E 2 X z l f M j A y M i w g M T E g M z Y g M D E v Q X V 0 b 1 J l b W 9 2 Z W R D b 2 x 1 b W 5 z M S 5 7 U m V z a X N 0 Z W 5 j a W E s M T l 9 J n F 1 b 3 Q 7 L C Z x d W 9 0 O 1 N l Y 3 R p b 2 4 x L 3 B s Y X l l c n N f M T Z f O V 8 y M D I y L C A x M S A z N i A w M S 9 B d X R v U m V t b 3 Z l Z E N v b H V t b n M x L n t G Z W N o Y S D D u m x 0 a W 1 v I H B h c n R p Z G 8 s M j B 9 J n F 1 b 3 Q 7 L C Z x d W 9 0 O 1 N l Y 3 R p b 2 4 x L 3 B s Y X l l c n N f M T Z f O V 8 y M D I y L C A x M S A z N i A w M S 9 B d X R v U m V t b 3 Z l Z E N v b H V t b n M x L n t S Z W 5 k a W 1 p Z W 5 0 b y D D u m x 0 a W 1 v I H B h c n R p Z G 8 s M j F 9 J n F 1 b 3 Q 7 L C Z x d W 9 0 O 1 N l Y 3 R p b 2 4 x L 3 B s Y X l l c n N f M T Z f O V 8 y M D I y L C A x M S A z N i A w M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N l 8 5 X z I w M j I l M k M l M j A x M S U y M D M 2 J T I w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N l 8 5 X z I w M j I l M k M l M j A x M S U y M D M 2 J T I w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N l 8 5 X z I w M j I l M k M l M j A x M S U y M D M 2 J T I w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M V 8 5 X z I w M j I l M k M l M j A x N C U y M D M z J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V Q x M j o z M z o y N i 4 3 M T A 2 N D Y y W i I g L z 4 8 R W 5 0 c n k g V H l w Z T 0 i R m l s b E N v b H V t b l R 5 c G V z I i B W Y W x 1 Z T 0 i c 0 J n T U d B d 0 1 H Q X d Z R E F 3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j F f O V 8 y M D I y L C A x N C A z M y A w M C 9 B d X R v U m V t b 3 Z l Z E N v b H V t b n M x L n t O Y W N p b 2 5 h b G l k Y W Q s M H 0 m c X V v d D s s J n F 1 b 3 Q 7 U 2 V j d G l v b j E v c G x h e W V y c 1 8 y M V 8 5 X z I w M j I s I D E 0 I D M z I D A w L 0 F 1 d G 9 S Z W 1 v d m V k Q 2 9 s d W 1 u c z E u e 0 R v c n N h b C w x f S Z x d W 9 0 O y w m c X V v d D t T Z W N 0 a W 9 u M S 9 w b G F 5 Z X J z X z I x X z l f M j A y M i w g M T Q g M z M g M D A v Q X V 0 b 1 J l b W 9 2 Z W R D b 2 x 1 b W 5 z M S 5 7 T m 9 t Y n J l L D J 9 J n F 1 b 3 Q 7 L C Z x d W 9 0 O 1 N l Y 3 R p b 2 4 x L 3 B s Y X l l c n N f M j F f O V 8 y M D I y L C A x N C A z M y A w M C 9 B d X R v U m V t b 3 Z l Z E N v b H V t b n M x L n t J R C B k Z W w g a n V n Y W R v c i w z f S Z x d W 9 0 O y w m c X V v d D t T Z W N 0 a W 9 u M S 9 w b G F 5 Z X J z X z I x X z l f M j A y M i w g M T Q g M z M g M D A v Q X V 0 b 1 J l b W 9 2 Z W R D b 2 x 1 b W 5 z M S 5 7 R W 5 0 c m V u Y W R v c i w 0 f S Z x d W 9 0 O y w m c X V v d D t T Z W N 0 a W 9 u M S 9 w b G F 5 Z X J z X z I x X z l f M j A y M i w g M T Q g M z M g M D A v Q X V 0 b 1 J l b W 9 2 Z W R D b 2 x 1 b W 5 z M S 5 7 R X N w Z W N p Y W x p Z G F k L D V 9 J n F 1 b 3 Q 7 L C Z x d W 9 0 O 1 N l Y 3 R p b 2 4 x L 3 B s Y X l l c n N f M j F f O V 8 y M D I y L C A x N C A z M y A w M C 9 B d X R v U m V t b 3 Z l Z E N v b H V t b n M x L n t C b 2 5 p Z m l j Y W N p w 7 N u I H B v c i B j b H V i I G R l I G 9 y a W d l b i w 2 f S Z x d W 9 0 O y w m c X V v d D t T Z W N 0 a W 9 u M S 9 w b G F 5 Z X J z X z I x X z l f M j A y M i w g M T Q g M z M g M D A v Q X V 0 b 1 J l b W 9 2 Z W R D b 2 x 1 b W 5 z M S 5 7 T G V z a W 9 u Z X M s N 3 0 m c X V v d D s s J n F 1 b 3 Q 7 U 2 V j d G l v b j E v c G x h e W V y c 1 8 y M V 8 5 X z I w M j I s I D E 0 I D M z I D A w L 0 F 1 d G 9 S Z W 1 v d m V k Q 2 9 s d W 1 u c z E u e 0 F t b 2 5 l c 3 R h Y 2 l v b m V z L D h 9 J n F 1 b 3 Q 7 L C Z x d W 9 0 O 1 N l Y 3 R p b 2 4 x L 3 B s Y X l l c n N f M j F f O V 8 y M D I y L C A x N C A z M y A w M C 9 B d X R v U m V t b 3 Z l Z E N v b H V t b n M x L n t F b i B s Y S B s a X N 0 Y S B k Z S B 0 c m F u c 2 Z l c m V u Y 2 l h c y w 5 f S Z x d W 9 0 O y w m c X V v d D t T Z W N 0 a W 9 u M S 9 w b G F 5 Z X J z X z I x X z l f M j A y M i w g M T Q g M z M g M D A v Q X V 0 b 1 J l b W 9 2 Z W R D b 2 x 1 b W 5 z M S 5 7 R W R h Z C w x M H 0 m c X V v d D s s J n F 1 b 3 Q 7 U 2 V j d G l v b j E v c G x h e W V y c 1 8 y M V 8 5 X z I w M j I s I D E 0 I D M z I D A w L 0 F 1 d G 9 S Z W 1 v d m V k Q 2 9 s d W 1 u c z E u e 0 T D r W F z L D E x f S Z x d W 9 0 O y w m c X V v d D t T Z W N 0 a W 9 u M S 9 w b G F 5 Z X J z X z I x X z l f M j A y M i w g M T Q g M z M g M D A v Q X V 0 b 1 J l b W 9 2 Z W R D b 2 x 1 b W 5 z M S 5 7 V F N J L D E y f S Z x d W 9 0 O y w m c X V v d D t T Z W N 0 a W 9 u M S 9 w b G F 5 Z X J z X z I x X z l f M j A y M i w g M T Q g M z M g M D A v Q X V 0 b 1 J l b W 9 2 Z W R D b 2 x 1 b W 5 z M S 5 7 U 2 F s Y X J p b y w x M 3 0 m c X V v d D s s J n F 1 b 3 Q 7 U 2 V j d G l v b j E v c G x h e W V y c 1 8 y M V 8 5 X z I w M j I s I D E 0 I D M z I D A w L 0 F 1 d G 9 S Z W 1 v d m V k Q 2 9 s d W 1 u c z E u e 1 N l b W F u Y X M g Z W 4 g Z W w g Y 2 x 1 Y i w x N H 0 m c X V v d D s s J n F 1 b 3 Q 7 U 2 V j d G l v b j E v c G x h e W V y c 1 8 y M V 8 5 X z I w M j I s I D E 0 I D M z I D A w L 0 F 1 d G 9 S Z W 1 v d m V k Q 2 9 s d W 1 u c z E u e 0 V 4 c G V y a W V u Y 2 l h L D E 1 f S Z x d W 9 0 O y w m c X V v d D t T Z W N 0 a W 9 u M S 9 w b G F 5 Z X J z X z I x X z l f M j A y M i w g M T Q g M z M g M D A v Q X V 0 b 1 J l b W 9 2 Z W R D b 2 x 1 b W 5 z M S 5 7 T G l k Z X J h e m d v L D E 2 f S Z x d W 9 0 O y w m c X V v d D t T Z W N 0 a W 9 u M S 9 w b G F 5 Z X J z X z I x X z l f M j A y M i w g M T Q g M z M g M D A v Q X V 0 b 1 J l b W 9 2 Z W R D b 2 x 1 b W 5 z M S 5 7 R m l k Z W x p Z G F k L D E 3 f S Z x d W 9 0 O y w m c X V v d D t T Z W N 0 a W 9 u M S 9 w b G F 5 Z X J z X z I x X z l f M j A y M i w g M T Q g M z M g M D A v Q X V 0 b 1 J l b W 9 2 Z W R D b 2 x 1 b W 5 z M S 5 7 R m 9 y b W E s M T h 9 J n F 1 b 3 Q 7 L C Z x d W 9 0 O 1 N l Y 3 R p b 2 4 x L 3 B s Y X l l c n N f M j F f O V 8 y M D I y L C A x N C A z M y A w M C 9 B d X R v U m V t b 3 Z l Z E N v b H V t b n M x L n t S Z X N p c 3 R l b m N p Y S w x O X 0 m c X V v d D s s J n F 1 b 3 Q 7 U 2 V j d G l v b j E v c G x h e W V y c 1 8 y M V 8 5 X z I w M j I s I D E 0 I D M z I D A w L 0 F 1 d G 9 S Z W 1 v d m V k Q 2 9 s d W 1 u c z E u e 0 Z l Y 2 h h I M O 6 b H R p b W 8 g c G F y d G l k b y w y M H 0 m c X V v d D s s J n F 1 b 3 Q 7 U 2 V j d G l v b j E v c G x h e W V y c 1 8 y M V 8 5 X z I w M j I s I D E 0 I D M z I D A w L 0 F 1 d G 9 S Z W 1 v d m V k Q 2 9 s d W 1 u c z E u e 1 J l b m R p b W l l b n R v I M O 6 b H R p b W 8 g c G F y d G l k b y w y M X 0 m c X V v d D s s J n F 1 b 3 Q 7 U 2 V j d G l v b j E v c G x h e W V y c 1 8 y M V 8 5 X z I w M j I s I D E 0 I D M z I D A w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I x X z l f M j A y M i w g M T Q g M z M g M D A v Q X V 0 b 1 J l b W 9 2 Z W R D b 2 x 1 b W 5 z M S 5 7 T m F j a W 9 u Y W x p Z G F k L D B 9 J n F 1 b 3 Q 7 L C Z x d W 9 0 O 1 N l Y 3 R p b 2 4 x L 3 B s Y X l l c n N f M j F f O V 8 y M D I y L C A x N C A z M y A w M C 9 B d X R v U m V t b 3 Z l Z E N v b H V t b n M x L n t E b 3 J z Y W w s M X 0 m c X V v d D s s J n F 1 b 3 Q 7 U 2 V j d G l v b j E v c G x h e W V y c 1 8 y M V 8 5 X z I w M j I s I D E 0 I D M z I D A w L 0 F 1 d G 9 S Z W 1 v d m V k Q 2 9 s d W 1 u c z E u e 0 5 v b W J y Z S w y f S Z x d W 9 0 O y w m c X V v d D t T Z W N 0 a W 9 u M S 9 w b G F 5 Z X J z X z I x X z l f M j A y M i w g M T Q g M z M g M D A v Q X V 0 b 1 J l b W 9 2 Z W R D b 2 x 1 b W 5 z M S 5 7 S U Q g Z G V s I G p 1 Z 2 F k b 3 I s M 3 0 m c X V v d D s s J n F 1 b 3 Q 7 U 2 V j d G l v b j E v c G x h e W V y c 1 8 y M V 8 5 X z I w M j I s I D E 0 I D M z I D A w L 0 F 1 d G 9 S Z W 1 v d m V k Q 2 9 s d W 1 u c z E u e 0 V u d H J l b m F k b 3 I s N H 0 m c X V v d D s s J n F 1 b 3 Q 7 U 2 V j d G l v b j E v c G x h e W V y c 1 8 y M V 8 5 X z I w M j I s I D E 0 I D M z I D A w L 0 F 1 d G 9 S Z W 1 v d m V k Q 2 9 s d W 1 u c z E u e 0 V z c G V j a W F s a W R h Z C w 1 f S Z x d W 9 0 O y w m c X V v d D t T Z W N 0 a W 9 u M S 9 w b G F 5 Z X J z X z I x X z l f M j A y M i w g M T Q g M z M g M D A v Q X V 0 b 1 J l b W 9 2 Z W R D b 2 x 1 b W 5 z M S 5 7 Q m 9 u a W Z p Y 2 F j a c O z b i B w b 3 I g Y 2 x 1 Y i B k Z S B v c m l n Z W 4 s N n 0 m c X V v d D s s J n F 1 b 3 Q 7 U 2 V j d G l v b j E v c G x h e W V y c 1 8 y M V 8 5 X z I w M j I s I D E 0 I D M z I D A w L 0 F 1 d G 9 S Z W 1 v d m V k Q 2 9 s d W 1 u c z E u e 0 x l c 2 l v b m V z L D d 9 J n F 1 b 3 Q 7 L C Z x d W 9 0 O 1 N l Y 3 R p b 2 4 x L 3 B s Y X l l c n N f M j F f O V 8 y M D I y L C A x N C A z M y A w M C 9 B d X R v U m V t b 3 Z l Z E N v b H V t b n M x L n t B b W 9 u Z X N 0 Y W N p b 2 5 l c y w 4 f S Z x d W 9 0 O y w m c X V v d D t T Z W N 0 a W 9 u M S 9 w b G F 5 Z X J z X z I x X z l f M j A y M i w g M T Q g M z M g M D A v Q X V 0 b 1 J l b W 9 2 Z W R D b 2 x 1 b W 5 z M S 5 7 R W 4 g b G E g b G l z d G E g Z G U g d H J h b n N m Z X J l b m N p Y X M s O X 0 m c X V v d D s s J n F 1 b 3 Q 7 U 2 V j d G l v b j E v c G x h e W V y c 1 8 y M V 8 5 X z I w M j I s I D E 0 I D M z I D A w L 0 F 1 d G 9 S Z W 1 v d m V k Q 2 9 s d W 1 u c z E u e 0 V k Y W Q s M T B 9 J n F 1 b 3 Q 7 L C Z x d W 9 0 O 1 N l Y 3 R p b 2 4 x L 3 B s Y X l l c n N f M j F f O V 8 y M D I y L C A x N C A z M y A w M C 9 B d X R v U m V t b 3 Z l Z E N v b H V t b n M x L n t E w 6 1 h c y w x M X 0 m c X V v d D s s J n F 1 b 3 Q 7 U 2 V j d G l v b j E v c G x h e W V y c 1 8 y M V 8 5 X z I w M j I s I D E 0 I D M z I D A w L 0 F 1 d G 9 S Z W 1 v d m V k Q 2 9 s d W 1 u c z E u e 1 R T S S w x M n 0 m c X V v d D s s J n F 1 b 3 Q 7 U 2 V j d G l v b j E v c G x h e W V y c 1 8 y M V 8 5 X z I w M j I s I D E 0 I D M z I D A w L 0 F 1 d G 9 S Z W 1 v d m V k Q 2 9 s d W 1 u c z E u e 1 N h b G F y a W 8 s M T N 9 J n F 1 b 3 Q 7 L C Z x d W 9 0 O 1 N l Y 3 R p b 2 4 x L 3 B s Y X l l c n N f M j F f O V 8 y M D I y L C A x N C A z M y A w M C 9 B d X R v U m V t b 3 Z l Z E N v b H V t b n M x L n t T Z W 1 h b m F z I G V u I G V s I G N s d W I s M T R 9 J n F 1 b 3 Q 7 L C Z x d W 9 0 O 1 N l Y 3 R p b 2 4 x L 3 B s Y X l l c n N f M j F f O V 8 y M D I y L C A x N C A z M y A w M C 9 B d X R v U m V t b 3 Z l Z E N v b H V t b n M x L n t F e H B l c m l l b m N p Y S w x N X 0 m c X V v d D s s J n F 1 b 3 Q 7 U 2 V j d G l v b j E v c G x h e W V y c 1 8 y M V 8 5 X z I w M j I s I D E 0 I D M z I D A w L 0 F 1 d G 9 S Z W 1 v d m V k Q 2 9 s d W 1 u c z E u e 0 x p Z G V y Y X p n b y w x N n 0 m c X V v d D s s J n F 1 b 3 Q 7 U 2 V j d G l v b j E v c G x h e W V y c 1 8 y M V 8 5 X z I w M j I s I D E 0 I D M z I D A w L 0 F 1 d G 9 S Z W 1 v d m V k Q 2 9 s d W 1 u c z E u e 0 Z p Z G V s a W R h Z C w x N 3 0 m c X V v d D s s J n F 1 b 3 Q 7 U 2 V j d G l v b j E v c G x h e W V y c 1 8 y M V 8 5 X z I w M j I s I D E 0 I D M z I D A w L 0 F 1 d G 9 S Z W 1 v d m V k Q 2 9 s d W 1 u c z E u e 0 Z v c m 1 h L D E 4 f S Z x d W 9 0 O y w m c X V v d D t T Z W N 0 a W 9 u M S 9 w b G F 5 Z X J z X z I x X z l f M j A y M i w g M T Q g M z M g M D A v Q X V 0 b 1 J l b W 9 2 Z W R D b 2 x 1 b W 5 z M S 5 7 U m V z a X N 0 Z W 5 j a W E s M T l 9 J n F 1 b 3 Q 7 L C Z x d W 9 0 O 1 N l Y 3 R p b 2 4 x L 3 B s Y X l l c n N f M j F f O V 8 y M D I y L C A x N C A z M y A w M C 9 B d X R v U m V t b 3 Z l Z E N v b H V t b n M x L n t G Z W N o Y S D D u m x 0 a W 1 v I H B h c n R p Z G 8 s M j B 9 J n F 1 b 3 Q 7 L C Z x d W 9 0 O 1 N l Y 3 R p b 2 4 x L 3 B s Y X l l c n N f M j F f O V 8 y M D I y L C A x N C A z M y A w M C 9 B d X R v U m V t b 3 Z l Z E N v b H V t b n M x L n t S Z W 5 k a W 1 p Z W 5 0 b y D D u m x 0 a W 1 v I H B h c n R p Z G 8 s M j F 9 J n F 1 b 3 Q 7 L C Z x d W 9 0 O 1 N l Y 3 R p b 2 4 x L 3 B s Y X l l c n N f M j F f O V 8 y M D I y L C A x N C A z M y A w M C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y M V 8 5 X z I w M j I l M k M l M j A x N C U y M D M z J T I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M V 8 5 X z I w M j I l M k M l M j A x N C U y M D M z J T I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M V 8 5 X z I w M j I l M k M l M j A x N C U y M D M z J T I w M D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0 f q c F X R 6 B M i C c B L P M L q Z A A A A A A A g A A A A A A A 2 Y A A M A A A A A Q A A A A R + B l E + W G y n V S K Y v 1 L N B n K Q A A A A A E g A A A o A A A A B A A A A B N C M 8 q y M j p T k C n x C D E m l S i U A A A A G G N F e J k J N p 0 z L o N C j f Z P u E 8 s f N b U w e g a y P 7 z 9 r l k R u S E Z i d N M 4 e c I F x 1 i U 4 Z x S Z i w f j m d j f 5 e 5 m e E y f M D r P X 6 0 j / C c f O a X A + J D k D e 9 1 f Y d 6 F A A A A E z W M O 7 r 2 8 6 b D 7 R s 3 J 5 3 b y n b + l / E < / D a t a M a s h u p > 
</file>

<file path=customXml/itemProps1.xml><?xml version="1.0" encoding="utf-8"?>
<ds:datastoreItem xmlns:ds="http://schemas.openxmlformats.org/officeDocument/2006/customXml" ds:itemID="{A054A3B2-D9BF-4D82-9045-10281C79F0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SIMULADOR_v5</vt:lpstr>
      <vt:lpstr>J1-Pamboli-VADER</vt:lpstr>
      <vt:lpstr>J2-VADER-Spartak</vt:lpstr>
      <vt:lpstr>C2-Racing-VADER</vt:lpstr>
      <vt:lpstr>J3-Hasabit-VADER</vt:lpstr>
      <vt:lpstr>J8-Animas-VADER</vt:lpstr>
      <vt:lpstr>J12-VADER-Hasabit</vt:lpstr>
      <vt:lpstr>Analisis Partidos</vt:lpstr>
      <vt:lpstr>RIVALES</vt:lpstr>
      <vt:lpstr>Paso que arraso</vt:lpstr>
      <vt:lpstr>Spartak de Santiago</vt:lpstr>
      <vt:lpstr>Pamboli</vt:lpstr>
      <vt:lpstr>Club Atlético Gaditano</vt:lpstr>
      <vt:lpstr>Habasit</vt:lpstr>
      <vt:lpstr>Las Animas</vt:lpstr>
      <vt:lpstr>La Barrilla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dcterms:created xsi:type="dcterms:W3CDTF">2015-06-05T18:19:34Z</dcterms:created>
  <dcterms:modified xsi:type="dcterms:W3CDTF">2022-10-13T09:48:25Z</dcterms:modified>
</cp:coreProperties>
</file>