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2504780A-EE6B-465E-AF5C-43362FBB0805}" xr6:coauthVersionLast="33" xr6:coauthVersionMax="33" xr10:uidLastSave="{00000000-0000-0000-0000-000000000000}"/>
  <bookViews>
    <workbookView xWindow="1680" yWindow="300" windowWidth="14880" windowHeight="7815" activeTab="1" xr2:uid="{00000000-000D-0000-FFFF-FFFF00000000}"/>
  </bookViews>
  <sheets>
    <sheet name="Hall_of_Fame" sheetId="49" r:id="rId1"/>
    <sheet name="Plantilla" sheetId="32" r:id="rId2"/>
    <sheet name="Juveniles" sheetId="116" r:id="rId3"/>
    <sheet name="Economia" sheetId="117" r:id="rId4"/>
    <sheet name="Evaluacion" sheetId="94" r:id="rId5"/>
    <sheet name="Calculadora_Tactica" sheetId="83" r:id="rId6"/>
    <sheet name="Capitan" sheetId="76" r:id="rId7"/>
    <sheet name="Entrenador" sheetId="85" r:id="rId8"/>
    <sheet name="Planning" sheetId="11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Q6" i="117" l="1"/>
  <c r="W20" i="116"/>
  <c r="BI14" i="32" l="1"/>
  <c r="BI15" i="32"/>
  <c r="BI16" i="32"/>
  <c r="BI21" i="32"/>
  <c r="BI18" i="32"/>
  <c r="BI17" i="32"/>
  <c r="BI13" i="32"/>
  <c r="Z13" i="32" l="1"/>
  <c r="Z21" i="32"/>
  <c r="Z14" i="32"/>
  <c r="Z18" i="32"/>
  <c r="Z16" i="32"/>
  <c r="AS19" i="32"/>
  <c r="BI19" i="32" s="1"/>
  <c r="Z19" i="32"/>
  <c r="AS20" i="32"/>
  <c r="BI20" i="32" s="1"/>
  <c r="Z20" i="32"/>
  <c r="AS22" i="32"/>
  <c r="BI22" i="32" s="1"/>
  <c r="Z22" i="32"/>
  <c r="P11" i="117" l="1"/>
  <c r="AJ26" i="86" l="1"/>
  <c r="AK27" i="86"/>
  <c r="AJ28" i="86"/>
  <c r="AK24"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S7" i="117" l="1"/>
  <c r="T7" i="117" s="1"/>
  <c r="U7" i="117" s="1"/>
  <c r="V7" i="117" s="1"/>
  <c r="W7" i="117" s="1"/>
  <c r="X7" i="117" s="1"/>
  <c r="Y7" i="117" s="1"/>
  <c r="Z7" i="117" s="1"/>
  <c r="AA7" i="117" s="1"/>
  <c r="AB7" i="117" s="1"/>
  <c r="AC7" i="117" s="1"/>
  <c r="AD7" i="117" s="1"/>
  <c r="W21" i="116" l="1"/>
  <c r="W22" i="116"/>
  <c r="W23" i="116"/>
  <c r="W24" i="116"/>
  <c r="W25" i="116"/>
  <c r="W26" i="116"/>
  <c r="W27" i="116"/>
  <c r="W28" i="116"/>
  <c r="W3" i="116"/>
  <c r="W8" i="116"/>
  <c r="W19" i="116"/>
  <c r="W13" i="116"/>
  <c r="W14" i="116"/>
  <c r="W15" i="116"/>
  <c r="W12" i="116"/>
  <c r="W7" i="116"/>
  <c r="E19" i="117" l="1"/>
  <c r="E18" i="117"/>
  <c r="O20" i="117"/>
  <c r="P19" i="32"/>
  <c r="U22" i="32" l="1"/>
  <c r="U19" i="32" l="1"/>
  <c r="O6" i="117" l="1"/>
  <c r="S15" i="117" l="1"/>
  <c r="T15" i="117" s="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T10" i="117"/>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S22" i="117"/>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O2" i="83"/>
  <c r="Y2" i="83" s="1"/>
  <c r="M3" i="83"/>
  <c r="O3" i="83"/>
  <c r="P3" i="83"/>
  <c r="Z3" i="83" s="1"/>
  <c r="Y3" i="83"/>
  <c r="M4" i="83"/>
  <c r="W2" i="83" s="1"/>
  <c r="O4" i="83"/>
  <c r="Y4" i="83"/>
  <c r="M5" i="83"/>
  <c r="W3" i="83" s="1"/>
  <c r="O5" i="83"/>
  <c r="Y5" i="83" s="1"/>
  <c r="P5" i="83"/>
  <c r="Z5" i="83" s="1"/>
  <c r="M6" i="83"/>
  <c r="W4" i="83" s="1"/>
  <c r="O6" i="83"/>
  <c r="Y6" i="83" s="1"/>
  <c r="M7" i="83"/>
  <c r="O7" i="83"/>
  <c r="Y7" i="83" s="1"/>
  <c r="M8" i="83"/>
  <c r="O8" i="83"/>
  <c r="Y8" i="83" s="1"/>
  <c r="P8" i="83"/>
  <c r="Z8" i="83"/>
  <c r="M9" i="83"/>
  <c r="O9" i="83"/>
  <c r="P9" i="83"/>
  <c r="Z10" i="83" s="1"/>
  <c r="Y9" i="83"/>
  <c r="M10" i="83"/>
  <c r="W10" i="83" s="1"/>
  <c r="O10" i="83"/>
  <c r="Y11" i="83" s="1"/>
  <c r="Y10" i="83"/>
  <c r="M11" i="83"/>
  <c r="W11" i="83" s="1"/>
  <c r="O11" i="83"/>
  <c r="P11" i="83"/>
  <c r="M12" i="83"/>
  <c r="W7" i="83" s="1"/>
  <c r="O12" i="83"/>
  <c r="P12" i="83"/>
  <c r="M13" i="83"/>
  <c r="W5" i="83" s="1"/>
  <c r="O13" i="83"/>
  <c r="P13" i="83"/>
  <c r="M14" i="83"/>
  <c r="W9" i="83" s="1"/>
  <c r="O14" i="83"/>
  <c r="P14" i="83"/>
  <c r="M15" i="83"/>
  <c r="O15" i="83"/>
  <c r="P15" i="83"/>
  <c r="M16" i="83"/>
  <c r="O16" i="83"/>
  <c r="P16" i="83"/>
  <c r="M17" i="83"/>
  <c r="W6" i="83" s="1"/>
  <c r="O17" i="83"/>
  <c r="P17" i="83"/>
  <c r="M18" i="83"/>
  <c r="O18" i="83"/>
  <c r="P18" i="83"/>
  <c r="M19" i="83"/>
  <c r="O19" i="83"/>
  <c r="P19" i="83"/>
  <c r="M20" i="83"/>
  <c r="O20" i="83"/>
  <c r="P20" i="83"/>
  <c r="M21" i="83"/>
  <c r="O21" i="83"/>
  <c r="P21" i="83"/>
  <c r="M22" i="83"/>
  <c r="O22" i="83"/>
  <c r="P22" i="83"/>
  <c r="M23" i="83"/>
  <c r="O23" i="83"/>
  <c r="P23" i="83"/>
  <c r="M24" i="83"/>
  <c r="O24" i="83"/>
  <c r="M25" i="83"/>
  <c r="O25" i="83"/>
  <c r="P25" i="83"/>
  <c r="C22" i="116" l="1"/>
  <c r="C8" i="116"/>
  <c r="C20" i="116"/>
  <c r="E20" i="116"/>
  <c r="W8" i="83"/>
  <c r="Y12" i="83"/>
  <c r="C21" i="116"/>
  <c r="C19" i="116"/>
  <c r="C7"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3" i="116"/>
  <c r="E28" i="116"/>
  <c r="E27" i="116"/>
  <c r="E26" i="116"/>
  <c r="E22" i="116"/>
  <c r="E25" i="116"/>
  <c r="E24" i="116"/>
  <c r="E21" i="116"/>
  <c r="E23" i="116"/>
  <c r="E8" i="116"/>
  <c r="E13" i="116"/>
  <c r="E19" i="116"/>
  <c r="E14" i="116"/>
  <c r="E15" i="116"/>
  <c r="E12" i="116"/>
  <c r="E7" i="116"/>
  <c r="C3" i="116"/>
  <c r="C28" i="116"/>
  <c r="C27" i="116"/>
  <c r="C26" i="116"/>
  <c r="C25" i="116"/>
  <c r="C24" i="116"/>
  <c r="C23" i="116"/>
  <c r="C15" i="116"/>
  <c r="C14" i="116"/>
  <c r="C13" i="116"/>
  <c r="C12" i="116"/>
  <c r="Z9" i="83"/>
  <c r="P25" i="117" l="1"/>
  <c r="Q25" i="117"/>
  <c r="E13" i="117"/>
  <c r="E27" i="117"/>
  <c r="E12" i="117"/>
  <c r="E26" i="117"/>
  <c r="O25" i="117"/>
  <c r="Q14" i="117"/>
  <c r="S18" i="117"/>
  <c r="R25" i="117"/>
  <c r="P14" i="117"/>
  <c r="Q3" i="117"/>
  <c r="M11" i="117"/>
  <c r="E30" i="117" s="1"/>
  <c r="M16" i="117"/>
  <c r="H28" i="117" s="1"/>
  <c r="M19" i="117"/>
  <c r="H19" i="117"/>
  <c r="H18" i="117" s="1"/>
  <c r="M24" i="117"/>
  <c r="M21" i="117"/>
  <c r="O5" i="117"/>
  <c r="R3" i="117" l="1"/>
  <c r="S3" i="117" s="1"/>
  <c r="T3" i="117" s="1"/>
  <c r="U3" i="117" s="1"/>
  <c r="V3" i="117" s="1"/>
  <c r="W3" i="117" s="1"/>
  <c r="X3" i="117" s="1"/>
  <c r="Y3" i="117" s="1"/>
  <c r="Z3" i="117" s="1"/>
  <c r="AA3" i="117" s="1"/>
  <c r="AB3" i="117" s="1"/>
  <c r="AC3" i="117" s="1"/>
  <c r="AD3" i="117" s="1"/>
  <c r="E10" i="117"/>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L28" i="115"/>
  <c r="I29" i="115"/>
  <c r="X29" i="115" s="1"/>
  <c r="L29" i="115"/>
  <c r="I30" i="115"/>
  <c r="X30" i="115" s="1"/>
  <c r="L30" i="115"/>
  <c r="I31" i="115"/>
  <c r="X31" i="115" s="1"/>
  <c r="L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J28" i="115" s="1"/>
  <c r="Y28"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AB13" i="115" s="1"/>
  <c r="M30" i="115" s="1"/>
  <c r="G14" i="115"/>
  <c r="V14" i="115" s="1"/>
  <c r="G31" i="115" s="1"/>
  <c r="V31" i="115" s="1"/>
  <c r="H14" i="115"/>
  <c r="W14" i="115" s="1"/>
  <c r="H31" i="115" s="1"/>
  <c r="W31" i="115" s="1"/>
  <c r="J14" i="115"/>
  <c r="Y14" i="115" s="1"/>
  <c r="J31" i="115" s="1"/>
  <c r="Y31" i="115" s="1"/>
  <c r="K14" i="115"/>
  <c r="Z14" i="115" s="1"/>
  <c r="K31" i="115" s="1"/>
  <c r="Z31" i="115" s="1"/>
  <c r="L14" i="115"/>
  <c r="M14" i="115"/>
  <c r="AB14" i="115" s="1"/>
  <c r="M31"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AC2" i="115"/>
  <c r="N2" i="115"/>
  <c r="O2" i="115" l="1"/>
  <c r="AD2" i="115"/>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R9" i="86" s="1"/>
  <c r="I9" i="86"/>
  <c r="J9" i="86"/>
  <c r="T9" i="86" s="1"/>
  <c r="L9" i="86"/>
  <c r="V9" i="86" s="1"/>
  <c r="M9" i="86"/>
  <c r="W9" i="86" s="1"/>
  <c r="N9" i="86"/>
  <c r="X9" i="86" s="1"/>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AI11" i="86" s="1"/>
  <c r="AI26" i="86" s="1"/>
  <c r="D13" i="86"/>
  <c r="P13" i="86" s="1"/>
  <c r="G13" i="86"/>
  <c r="H13" i="86"/>
  <c r="R13" i="86" s="1"/>
  <c r="I13" i="86"/>
  <c r="S13" i="86" s="1"/>
  <c r="Z13" i="86" s="1"/>
  <c r="J13" i="86"/>
  <c r="T13" i="86" s="1"/>
  <c r="L13" i="86"/>
  <c r="M13" i="86"/>
  <c r="W13" i="86" s="1"/>
  <c r="N13" i="86"/>
  <c r="X13" i="86" s="1"/>
  <c r="O13" i="86"/>
  <c r="Y13" i="86" s="1"/>
  <c r="A14" i="86"/>
  <c r="C14" i="86"/>
  <c r="AI12" i="86" s="1"/>
  <c r="AI27" i="86" s="1"/>
  <c r="D14" i="86"/>
  <c r="P14" i="86" s="1"/>
  <c r="G14" i="86"/>
  <c r="H14" i="86"/>
  <c r="I14" i="86"/>
  <c r="S14" i="86" s="1"/>
  <c r="Z14" i="86" s="1"/>
  <c r="J14" i="86"/>
  <c r="T14" i="86" s="1"/>
  <c r="K14" i="86"/>
  <c r="U14" i="86" s="1"/>
  <c r="L14" i="86"/>
  <c r="M14" i="86"/>
  <c r="W14" i="86" s="1"/>
  <c r="N14" i="86"/>
  <c r="X14" i="86" s="1"/>
  <c r="O14" i="86"/>
  <c r="Y14" i="86" s="1"/>
  <c r="R14" i="86"/>
  <c r="A15" i="86"/>
  <c r="C15" i="86"/>
  <c r="AI9" i="86" s="1"/>
  <c r="AI24" i="86" s="1"/>
  <c r="D15" i="86"/>
  <c r="P15" i="86" s="1"/>
  <c r="G15" i="86"/>
  <c r="H15" i="86"/>
  <c r="R15" i="86" s="1"/>
  <c r="I15" i="86"/>
  <c r="S15" i="86" s="1"/>
  <c r="Z15" i="86" s="1"/>
  <c r="J15" i="86"/>
  <c r="T15" i="86" s="1"/>
  <c r="AA15" i="86" s="1"/>
  <c r="K15" i="86"/>
  <c r="U15" i="86" s="1"/>
  <c r="L15" i="86"/>
  <c r="M15" i="86"/>
  <c r="N15" i="86"/>
  <c r="X15" i="86" s="1"/>
  <c r="O15" i="86"/>
  <c r="Y15" i="86" s="1"/>
  <c r="A16" i="86"/>
  <c r="C16" i="86"/>
  <c r="AI13" i="86" s="1"/>
  <c r="AI28" i="86" s="1"/>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AI10" i="86" s="1"/>
  <c r="AI25" i="86" s="1"/>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R24" i="86" s="1"/>
  <c r="I24" i="86"/>
  <c r="S24" i="86" s="1"/>
  <c r="L24" i="86"/>
  <c r="V24" i="86" s="1"/>
  <c r="N24" i="86"/>
  <c r="O24" i="86"/>
  <c r="Y24" i="86" s="1"/>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P15" i="94"/>
  <c r="M49" i="94" s="1"/>
  <c r="Q49" i="94" s="1"/>
  <c r="Q15" i="94"/>
  <c r="N49" i="94" s="1"/>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N17" i="94"/>
  <c r="K51" i="94" s="1"/>
  <c r="O17" i="94"/>
  <c r="L51" i="94" s="1"/>
  <c r="P17" i="94"/>
  <c r="M51" i="94" s="1"/>
  <c r="Q17" i="94"/>
  <c r="N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G5" i="76" s="1"/>
  <c r="D5" i="76"/>
  <c r="E5" i="76" s="1"/>
  <c r="F5" i="76" s="1"/>
  <c r="A6" i="76"/>
  <c r="O7" i="76" s="1"/>
  <c r="B6" i="76"/>
  <c r="C6" i="76"/>
  <c r="G6" i="76" s="1"/>
  <c r="R7" i="76" s="1"/>
  <c r="D6" i="76"/>
  <c r="E6" i="76" s="1"/>
  <c r="A7" i="76"/>
  <c r="B7" i="76"/>
  <c r="C7" i="76"/>
  <c r="G7" i="76" s="1"/>
  <c r="D7" i="76"/>
  <c r="E7" i="76" s="1"/>
  <c r="F7" i="76" s="1"/>
  <c r="A8" i="76"/>
  <c r="B8" i="76"/>
  <c r="C8" i="76"/>
  <c r="G8" i="76" s="1"/>
  <c r="H8" i="76" s="1"/>
  <c r="D8" i="76"/>
  <c r="E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G19" i="76" s="1"/>
  <c r="H19" i="76" s="1"/>
  <c r="D19" i="76"/>
  <c r="E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S46" i="94" l="1"/>
  <c r="S51" i="94"/>
  <c r="U15" i="94"/>
  <c r="T23" i="94"/>
  <c r="O49" i="94"/>
  <c r="F6" i="76"/>
  <c r="Q7" i="76" s="1"/>
  <c r="P7" i="76"/>
  <c r="AL13" i="86"/>
  <c r="AL28" i="86" s="1"/>
  <c r="AK13" i="86"/>
  <c r="AK28" i="86" s="1"/>
  <c r="S54" i="94"/>
  <c r="R51" i="94"/>
  <c r="AJ9" i="86"/>
  <c r="AJ24" i="86" s="1"/>
  <c r="AL9" i="86"/>
  <c r="AL24" i="86" s="1"/>
  <c r="X25" i="86"/>
  <c r="AE25" i="86" s="1"/>
  <c r="S26" i="86"/>
  <c r="Z26" i="86" s="1"/>
  <c r="X8" i="86"/>
  <c r="AE8" i="86" s="1"/>
  <c r="AE24" i="86"/>
  <c r="X24" i="86"/>
  <c r="S9" i="86"/>
  <c r="Z9" i="86" s="1"/>
  <c r="W7" i="86"/>
  <c r="AD7" i="86" s="1"/>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O58" i="94" s="1"/>
  <c r="AL58" i="94" s="1"/>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D38" i="94"/>
  <c r="CF38" i="94" s="1"/>
  <c r="AY38" i="94"/>
  <c r="CE38" i="94"/>
  <c r="AR38" i="94"/>
  <c r="Q38" i="94"/>
  <c r="AK26" i="94"/>
  <c r="J60" i="94"/>
  <c r="AY59" i="94"/>
  <c r="AR59" i="94"/>
  <c r="CE59" i="94"/>
  <c r="AK57" i="94"/>
  <c r="S57" i="94"/>
  <c r="R21" i="94"/>
  <c r="L55" i="94"/>
  <c r="O55" i="94" s="1"/>
  <c r="O53" i="94"/>
  <c r="O51" i="94"/>
  <c r="U14" i="94"/>
  <c r="I48" i="94"/>
  <c r="R48" i="94" s="1"/>
  <c r="P43" i="94"/>
  <c r="AR43" i="94"/>
  <c r="CE43" i="94"/>
  <c r="Q43" i="94"/>
  <c r="AY43" i="94"/>
  <c r="BH6" i="94"/>
  <c r="K40" i="94"/>
  <c r="CA40" i="94" s="1"/>
  <c r="CC40" i="94" s="1"/>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Y39" i="94"/>
  <c r="CE39" i="94"/>
  <c r="AP38" i="94"/>
  <c r="AW38" i="94"/>
  <c r="BW38" i="94"/>
  <c r="AG38" i="94"/>
  <c r="BC38" i="94"/>
  <c r="BZ38" i="94"/>
  <c r="BR38" i="94"/>
  <c r="AD38" i="94"/>
  <c r="BM38" i="94"/>
  <c r="Z38" i="94"/>
  <c r="CG38" i="94"/>
  <c r="BH38" i="94"/>
  <c r="AD39" i="94"/>
  <c r="CG39" i="94"/>
  <c r="AW39" i="94"/>
  <c r="BM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O39" i="94"/>
  <c r="BJ39" i="94"/>
  <c r="BT39" i="94"/>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S39" i="94"/>
  <c r="BD39" i="94"/>
  <c r="T38" i="94"/>
  <c r="V38" i="94" s="1"/>
  <c r="U38" i="94"/>
  <c r="V14" i="94"/>
  <c r="R12" i="94"/>
  <c r="AI8" i="94"/>
  <c r="T15" i="94"/>
  <c r="T17" i="94"/>
  <c r="BV26" i="94"/>
  <c r="CD26" i="94"/>
  <c r="AF24" i="94"/>
  <c r="V9" i="94"/>
  <c r="W9" i="94" s="1"/>
  <c r="AO6" i="94"/>
  <c r="AB6" i="94"/>
  <c r="AH26" i="94"/>
  <c r="BS10" i="94"/>
  <c r="Y4" i="94"/>
  <c r="H26" i="94"/>
  <c r="H7" i="94"/>
  <c r="R6" i="94"/>
  <c r="AP6" i="94" s="1"/>
  <c r="W4" i="94"/>
  <c r="V23" i="94"/>
  <c r="CI8" i="94"/>
  <c r="AD11" i="94"/>
  <c r="V17" i="94"/>
  <c r="F19" i="76"/>
  <c r="J19" i="76" s="1"/>
  <c r="I19" i="76"/>
  <c r="I24" i="76"/>
  <c r="H24" i="76"/>
  <c r="J24" i="76" s="1"/>
  <c r="F15" i="76"/>
  <c r="J15" i="76" s="1"/>
  <c r="I15" i="76"/>
  <c r="I9" i="76"/>
  <c r="H9" i="76"/>
  <c r="J9" i="76" s="1"/>
  <c r="I20" i="76"/>
  <c r="H20" i="76"/>
  <c r="J20" i="76" s="1"/>
  <c r="F11" i="76"/>
  <c r="J11" i="76" s="1"/>
  <c r="I11" i="76"/>
  <c r="F23" i="76"/>
  <c r="J23" i="76" s="1"/>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I5" i="76"/>
  <c r="CA24" i="94"/>
  <c r="S22" i="94"/>
  <c r="V10" i="94"/>
  <c r="W10" i="94" s="1"/>
  <c r="BE5" i="94"/>
  <c r="BL26" i="94"/>
  <c r="U20" i="94"/>
  <c r="T4" i="94"/>
  <c r="V4" i="94"/>
  <c r="V17" i="86"/>
  <c r="AC17" i="86" s="1"/>
  <c r="W24" i="94"/>
  <c r="AA24" i="94"/>
  <c r="AC24" i="94" s="1"/>
  <c r="BR5" i="94"/>
  <c r="AL5" i="94"/>
  <c r="BB26" i="94"/>
  <c r="BD26" i="94" s="1"/>
  <c r="G25" i="94"/>
  <c r="V24" i="94"/>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M9" i="86" s="1"/>
  <c r="AM24" i="86" s="1"/>
  <c r="AA20" i="86"/>
  <c r="AA19" i="86"/>
  <c r="AA21" i="86"/>
  <c r="AA18" i="86"/>
  <c r="AA14" i="86"/>
  <c r="AA13" i="86"/>
  <c r="Z21" i="86"/>
  <c r="AF20" i="86"/>
  <c r="Z16" i="86"/>
  <c r="AF14" i="86"/>
  <c r="Z22" i="86"/>
  <c r="AD25" i="86"/>
  <c r="AE21" i="86"/>
  <c r="AC19" i="86"/>
  <c r="AE26" i="86"/>
  <c r="AC25" i="86"/>
  <c r="AC24" i="86"/>
  <c r="AF22" i="86"/>
  <c r="AD21" i="86"/>
  <c r="AD16" i="86"/>
  <c r="AB14" i="86"/>
  <c r="AM12" i="86" s="1"/>
  <c r="AM27" i="86" s="1"/>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W15" i="94" s="1"/>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21" i="32"/>
  <c r="AW21" i="32"/>
  <c r="AX21" i="32"/>
  <c r="AY21" i="32"/>
  <c r="AZ21" i="32"/>
  <c r="BA21" i="32"/>
  <c r="BB21" i="32"/>
  <c r="BC21" i="32"/>
  <c r="BD21" i="32"/>
  <c r="BE21" i="32"/>
  <c r="BF21" i="32"/>
  <c r="AV18" i="32"/>
  <c r="AW18" i="32"/>
  <c r="AX18" i="32"/>
  <c r="AY18" i="32"/>
  <c r="AZ18" i="32"/>
  <c r="BA18" i="32"/>
  <c r="BB18" i="32"/>
  <c r="BC18" i="32"/>
  <c r="BD18" i="32"/>
  <c r="BE18" i="32"/>
  <c r="BF18" i="32"/>
  <c r="AQ14" i="32"/>
  <c r="W14" i="32"/>
  <c r="R14" i="32"/>
  <c r="S14" i="32"/>
  <c r="P14" i="32"/>
  <c r="N14" i="32"/>
  <c r="J14" i="32"/>
  <c r="N12" i="83" s="1"/>
  <c r="K14" i="32"/>
  <c r="L14" i="32"/>
  <c r="BN39" i="94" l="1"/>
  <c r="CB39" i="94"/>
  <c r="BH39" i="94"/>
  <c r="BR39" i="94"/>
  <c r="AR39" i="94"/>
  <c r="AH39" i="94"/>
  <c r="AL39" i="94"/>
  <c r="BW39" i="94"/>
  <c r="BX39" i="94"/>
  <c r="BE39" i="94"/>
  <c r="AG39" i="94"/>
  <c r="CA39" i="94"/>
  <c r="CC39" i="94" s="1"/>
  <c r="AX39" i="94"/>
  <c r="AZ39" i="94" s="1"/>
  <c r="AP39" i="94"/>
  <c r="BO39" i="94"/>
  <c r="AQ39" i="94"/>
  <c r="AS39" i="94" s="1"/>
  <c r="Z39" i="94"/>
  <c r="BI39" i="94"/>
  <c r="BY39" i="94"/>
  <c r="BC39" i="94"/>
  <c r="BZ39" i="94"/>
  <c r="CD39" i="94"/>
  <c r="CF39" i="94" s="1"/>
  <c r="T58" i="94"/>
  <c r="V58" i="94" s="1"/>
  <c r="U58" i="94"/>
  <c r="J6" i="76"/>
  <c r="S7" i="76"/>
  <c r="AL11" i="86"/>
  <c r="AL26" i="86" s="1"/>
  <c r="AK11" i="86"/>
  <c r="AK26" i="86" s="1"/>
  <c r="AL12" i="86"/>
  <c r="AL27" i="86" s="1"/>
  <c r="AJ12" i="86"/>
  <c r="AJ27" i="86" s="1"/>
  <c r="T39" i="94"/>
  <c r="V39" i="94" s="1"/>
  <c r="AJ39" i="94"/>
  <c r="AJ10" i="86"/>
  <c r="AJ25" i="86" s="1"/>
  <c r="AL10" i="86"/>
  <c r="AL25" i="86" s="1"/>
  <c r="X39" i="94"/>
  <c r="CE42" i="94"/>
  <c r="BK39" i="94"/>
  <c r="AY42" i="94"/>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N13" i="83" s="1"/>
  <c r="K15" i="32"/>
  <c r="L15" i="32"/>
  <c r="BF13" i="94" l="1"/>
  <c r="F47" i="94"/>
  <c r="I15" i="115"/>
  <c r="K18" i="86"/>
  <c r="M17" i="94"/>
  <c r="J51" i="94" s="1"/>
  <c r="K19" i="86"/>
  <c r="U19" i="86" s="1"/>
  <c r="AB19" i="86" s="1"/>
  <c r="M18" i="94"/>
  <c r="J52" i="94" s="1"/>
  <c r="I10" i="115"/>
  <c r="K13" i="86"/>
  <c r="U13" i="86" s="1"/>
  <c r="AB13" i="86" s="1"/>
  <c r="AM11" i="86" s="1"/>
  <c r="AM26"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AM13" i="86" s="1"/>
  <c r="AM28"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17" i="32"/>
  <c r="AX17" i="32"/>
  <c r="BF17" i="32"/>
  <c r="AY17" i="32"/>
  <c r="AV17" i="32"/>
  <c r="BD17" i="32"/>
  <c r="AW17" i="32"/>
  <c r="BE17" i="32"/>
  <c r="AZ17" i="32"/>
  <c r="BA17" i="32"/>
  <c r="BB17"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21" i="32"/>
  <c r="AQ21" i="32"/>
  <c r="W21" i="32"/>
  <c r="R21" i="32"/>
  <c r="S21" i="32"/>
  <c r="P21" i="32"/>
  <c r="N21" i="32"/>
  <c r="J21" i="32"/>
  <c r="N15" i="83" s="1"/>
  <c r="K21" i="32"/>
  <c r="L21"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AM10" i="86" s="1"/>
  <c r="AM25"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21" i="32"/>
  <c r="AJ21" i="32"/>
  <c r="R15" i="83" s="1"/>
  <c r="AI21" i="32"/>
  <c r="Q15" i="83" s="1"/>
  <c r="AN21" i="32"/>
  <c r="AL21" i="32"/>
  <c r="T15" i="83" s="1"/>
  <c r="AM21" i="32"/>
  <c r="AK21" i="32"/>
  <c r="S15" i="83" s="1"/>
  <c r="AH21" i="32"/>
  <c r="AG21"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N14" i="83" s="1"/>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N16" i="83" s="1"/>
  <c r="K18" i="32"/>
  <c r="L18" i="32"/>
  <c r="AQ22" i="32"/>
  <c r="W22" i="32"/>
  <c r="R22" i="32"/>
  <c r="S22" i="32"/>
  <c r="P22" i="32"/>
  <c r="N22" i="32"/>
  <c r="J22" i="32"/>
  <c r="N20" i="83" s="1"/>
  <c r="K22" i="32"/>
  <c r="L22" i="32"/>
  <c r="U17" i="32"/>
  <c r="AQ17" i="32"/>
  <c r="W17" i="32"/>
  <c r="R17" i="32"/>
  <c r="S17" i="32"/>
  <c r="P17" i="32"/>
  <c r="N17" i="32"/>
  <c r="J17" i="32"/>
  <c r="N19" i="83" s="1"/>
  <c r="K17" i="32"/>
  <c r="L17" i="32"/>
  <c r="AQ19" i="32"/>
  <c r="AQ20" i="32"/>
  <c r="U20" i="32"/>
  <c r="W20" i="32"/>
  <c r="R20" i="32"/>
  <c r="S20" i="32"/>
  <c r="P20" i="32"/>
  <c r="N20" i="32"/>
  <c r="J20" i="32"/>
  <c r="N18" i="83" s="1"/>
  <c r="K20" i="32"/>
  <c r="L20" i="32"/>
  <c r="I17" i="94" l="1"/>
  <c r="I19" i="94"/>
  <c r="I20" i="94"/>
  <c r="I21" i="94"/>
  <c r="B16" i="83"/>
  <c r="C16" i="83"/>
  <c r="C18" i="83"/>
  <c r="B18" i="83"/>
  <c r="C19" i="83"/>
  <c r="B19" i="83"/>
  <c r="B20" i="83"/>
  <c r="C20" i="83"/>
  <c r="AF17"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17" i="32"/>
  <c r="AL17" i="32"/>
  <c r="T19" i="83" s="1"/>
  <c r="AM17" i="32"/>
  <c r="AK17" i="32"/>
  <c r="S19" i="83" s="1"/>
  <c r="AJ17" i="32"/>
  <c r="R19" i="83" s="1"/>
  <c r="AI17" i="32"/>
  <c r="Q19" i="83" s="1"/>
  <c r="AH17" i="32"/>
  <c r="AG17"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N11" i="83" s="1"/>
  <c r="K13" i="32"/>
  <c r="L13"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L37"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P2" i="83" s="1"/>
  <c r="Z2" i="83" s="1"/>
  <c r="AD26" i="32" l="1"/>
  <c r="P24" i="83" s="1"/>
  <c r="AD12" i="32"/>
  <c r="P10" i="83" s="1"/>
  <c r="Z11" i="83" s="1"/>
  <c r="AD9" i="32"/>
  <c r="P7" i="83" s="1"/>
  <c r="Z7" i="83" s="1"/>
  <c r="AD6" i="32"/>
  <c r="P4" i="83" s="1"/>
  <c r="Z4" i="83" s="1"/>
  <c r="Q8" i="94" l="1"/>
  <c r="N42" i="94" s="1"/>
  <c r="O9" i="86"/>
  <c r="Y9" i="86" s="1"/>
  <c r="Q5" i="94"/>
  <c r="N39" i="94" s="1"/>
  <c r="O6" i="86"/>
  <c r="O12" i="86"/>
  <c r="Y12" i="86" s="1"/>
  <c r="Q11" i="94"/>
  <c r="N45" i="94" s="1"/>
  <c r="O26" i="86"/>
  <c r="Q25" i="94"/>
  <c r="N59" i="94" s="1"/>
  <c r="AD8" i="32"/>
  <c r="P6" i="83" s="1"/>
  <c r="Z6" i="83" s="1"/>
  <c r="Z12" i="83" s="1"/>
  <c r="AA12" i="83" s="1"/>
  <c r="Y6" i="86" l="1"/>
  <c r="AF6" i="86" s="1"/>
  <c r="Y26" i="86"/>
  <c r="AF26" i="86" s="1"/>
  <c r="AK39" i="94"/>
  <c r="S39" i="94"/>
  <c r="R39" i="94"/>
  <c r="P39" i="94"/>
  <c r="Q39" i="94"/>
  <c r="Q45" i="94"/>
  <c r="S45" i="94"/>
  <c r="AK45" i="94"/>
  <c r="P45" i="94"/>
  <c r="S59" i="94"/>
  <c r="AK59" i="94"/>
  <c r="P59" i="94"/>
  <c r="Q59" i="94"/>
  <c r="P42" i="94"/>
  <c r="AK42" i="94"/>
  <c r="S42" i="94"/>
  <c r="R42" i="94"/>
  <c r="Q42" i="94"/>
  <c r="V25" i="94"/>
  <c r="AO25" i="94"/>
  <c r="T25" i="94"/>
  <c r="S25" i="94"/>
  <c r="W25" i="94"/>
  <c r="V5" i="94"/>
  <c r="W5" i="94" s="1"/>
  <c r="U5" i="94"/>
  <c r="S5" i="94"/>
  <c r="AO5" i="94"/>
  <c r="T5" i="94"/>
  <c r="AO11" i="94"/>
  <c r="V11" i="94"/>
  <c r="S11" i="94"/>
  <c r="T11" i="94"/>
  <c r="W11" i="94"/>
  <c r="AF9" i="86"/>
  <c r="AD2" i="32"/>
  <c r="O8" i="86"/>
  <c r="Y8" i="86" s="1"/>
  <c r="Q7" i="94"/>
  <c r="N41" i="94" s="1"/>
  <c r="AF12" i="86"/>
  <c r="V8" i="94"/>
  <c r="W8" i="94" s="1"/>
  <c r="S8" i="94"/>
  <c r="U8" i="94"/>
  <c r="T8" i="94"/>
  <c r="AO8" i="94"/>
  <c r="Z23" i="32"/>
  <c r="Z24"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7" i="32"/>
  <c r="AA10" i="32"/>
  <c r="AA8"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2" i="32"/>
  <c r="T8" i="86" l="1"/>
  <c r="AA8" i="86" s="1"/>
  <c r="T11" i="86"/>
  <c r="AA11" i="86" s="1"/>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O11" i="49"/>
  <c r="W16" i="3" l="1"/>
  <c r="V21" i="3"/>
  <c r="V18" i="3"/>
  <c r="V20" i="3"/>
  <c r="V19" i="3"/>
  <c r="X16" i="3" l="1"/>
  <c r="W19" i="3"/>
  <c r="W21" i="3"/>
  <c r="W18" i="3"/>
  <c r="W20" i="3"/>
  <c r="AB8"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N3" i="83" s="1"/>
  <c r="X3" i="83" s="1"/>
  <c r="J6" i="32"/>
  <c r="N4" i="83" s="1"/>
  <c r="X4" i="83" s="1"/>
  <c r="J7" i="32"/>
  <c r="N5" i="83" s="1"/>
  <c r="X5" i="83" s="1"/>
  <c r="J8" i="32"/>
  <c r="N6" i="83" s="1"/>
  <c r="X6" i="83" s="1"/>
  <c r="J9" i="32"/>
  <c r="N7" i="83" s="1"/>
  <c r="X7" i="83" s="1"/>
  <c r="J23" i="32"/>
  <c r="N21" i="83" s="1"/>
  <c r="J24" i="32"/>
  <c r="N22" i="83" s="1"/>
  <c r="J10" i="32"/>
  <c r="N8" i="83" s="1"/>
  <c r="X8" i="83" s="1"/>
  <c r="J11" i="32"/>
  <c r="N9" i="83" s="1"/>
  <c r="J25" i="32"/>
  <c r="N23" i="83" s="1"/>
  <c r="J12" i="32"/>
  <c r="N10" i="83" s="1"/>
  <c r="X11" i="83" s="1"/>
  <c r="J26" i="32"/>
  <c r="N24" i="83" s="1"/>
  <c r="J27" i="32"/>
  <c r="N25" i="83" s="1"/>
  <c r="J4" i="32"/>
  <c r="N2" i="83" s="1"/>
  <c r="X2" i="83" s="1"/>
  <c r="X10" i="83" l="1"/>
  <c r="X9" i="83"/>
  <c r="C3" i="83"/>
  <c r="B3" i="83"/>
  <c r="B6" i="83"/>
  <c r="C6" i="83"/>
  <c r="D6" i="83" s="1"/>
  <c r="C9" i="83"/>
  <c r="B9" i="83"/>
  <c r="C21" i="83"/>
  <c r="B21" i="83"/>
  <c r="B7" i="83"/>
  <c r="C7" i="83"/>
  <c r="C5" i="83"/>
  <c r="B5" i="83"/>
  <c r="C8" i="83"/>
  <c r="B8" i="83"/>
  <c r="B22" i="83"/>
  <c r="C22" i="83"/>
  <c r="C25" i="83"/>
  <c r="B25" i="83"/>
  <c r="C24" i="83"/>
  <c r="B24" i="83"/>
  <c r="B10" i="83"/>
  <c r="C10" i="83"/>
  <c r="B23" i="83"/>
  <c r="C23" i="83"/>
  <c r="B4" i="83"/>
  <c r="C4" i="83"/>
  <c r="B2" i="83"/>
  <c r="C2" i="83"/>
  <c r="AG12" i="32"/>
  <c r="AH12" i="32"/>
  <c r="AF12" i="32"/>
  <c r="AL12" i="32"/>
  <c r="T10" i="83" s="1"/>
  <c r="AH8" i="32"/>
  <c r="AF8" i="32"/>
  <c r="AG8" i="32"/>
  <c r="AL8" i="32"/>
  <c r="T6" i="83" s="1"/>
  <c r="AK27" i="32"/>
  <c r="S25" i="83" s="1"/>
  <c r="AG27" i="32"/>
  <c r="AL27" i="32"/>
  <c r="T25" i="83" s="1"/>
  <c r="AJ27" i="32"/>
  <c r="R25" i="83" s="1"/>
  <c r="AI27" i="32"/>
  <c r="Q25" i="83" s="1"/>
  <c r="AH27" i="32"/>
  <c r="AF27" i="32"/>
  <c r="AK26" i="32"/>
  <c r="S24" i="83" s="1"/>
  <c r="AG26" i="32"/>
  <c r="AJ26" i="32"/>
  <c r="R24" i="83" s="1"/>
  <c r="AH26" i="32"/>
  <c r="AI26" i="32"/>
  <c r="Q24" i="83" s="1"/>
  <c r="AL26" i="32"/>
  <c r="T24" i="83" s="1"/>
  <c r="AF26" i="32"/>
  <c r="AH10" i="32"/>
  <c r="AF10" i="32"/>
  <c r="AL10" i="32"/>
  <c r="T8" i="83" s="1"/>
  <c r="AJ10" i="32"/>
  <c r="R8" i="83" s="1"/>
  <c r="AI10" i="32"/>
  <c r="Q8" i="83" s="1"/>
  <c r="AG10" i="32"/>
  <c r="AK10" i="32"/>
  <c r="S8" i="83" s="1"/>
  <c r="AF5" i="32"/>
  <c r="AH5" i="32"/>
  <c r="AG5" i="32"/>
  <c r="AH25" i="32"/>
  <c r="AF25" i="32"/>
  <c r="AK25" i="32"/>
  <c r="S23" i="83" s="1"/>
  <c r="AL25" i="32"/>
  <c r="T23" i="83" s="1"/>
  <c r="AJ25" i="32"/>
  <c r="R23" i="83" s="1"/>
  <c r="AI25" i="32"/>
  <c r="Q23" i="83" s="1"/>
  <c r="AG25" i="32"/>
  <c r="AI23" i="32"/>
  <c r="Q21" i="83" s="1"/>
  <c r="AK23" i="32"/>
  <c r="S21" i="83" s="1"/>
  <c r="AG23" i="32"/>
  <c r="AJ23" i="32"/>
  <c r="R21" i="83" s="1"/>
  <c r="AF23" i="32"/>
  <c r="AL23" i="32"/>
  <c r="T21" i="83" s="1"/>
  <c r="AH23" i="32"/>
  <c r="AL24" i="32"/>
  <c r="T22" i="83" s="1"/>
  <c r="AK24" i="32"/>
  <c r="S22" i="83" s="1"/>
  <c r="AJ24" i="32"/>
  <c r="R22" i="83" s="1"/>
  <c r="AH24" i="32"/>
  <c r="AF24" i="32"/>
  <c r="AI24" i="32"/>
  <c r="Q22" i="83" s="1"/>
  <c r="AG24" i="32"/>
  <c r="AK9" i="32"/>
  <c r="S7" i="83" s="1"/>
  <c r="AG9" i="32"/>
  <c r="AF9" i="32"/>
  <c r="AJ9" i="32"/>
  <c r="R7" i="83" s="1"/>
  <c r="AH9" i="32"/>
  <c r="AI9" i="32"/>
  <c r="Q7" i="83" s="1"/>
  <c r="AL9" i="32"/>
  <c r="T7" i="83" s="1"/>
  <c r="AL11" i="32"/>
  <c r="T9" i="83" s="1"/>
  <c r="AJ11" i="32"/>
  <c r="R9" i="83" s="1"/>
  <c r="AI11" i="32"/>
  <c r="Q9" i="83" s="1"/>
  <c r="AG11" i="32"/>
  <c r="AK11" i="32"/>
  <c r="S9" i="83" s="1"/>
  <c r="AH11" i="32"/>
  <c r="AF11" i="32"/>
  <c r="AJ7" i="32"/>
  <c r="R5" i="83" s="1"/>
  <c r="AG7" i="32"/>
  <c r="AF7" i="32"/>
  <c r="AK7" i="32"/>
  <c r="S5" i="83" s="1"/>
  <c r="AH7" i="32"/>
  <c r="AL7" i="32"/>
  <c r="T5" i="83" s="1"/>
  <c r="AI7" i="32"/>
  <c r="Q5" i="83" s="1"/>
  <c r="AH6" i="32"/>
  <c r="AF6" i="32"/>
  <c r="AI6" i="32"/>
  <c r="Q4" i="83" s="1"/>
  <c r="AG6" i="32"/>
  <c r="AL6" i="32"/>
  <c r="T4" i="83" s="1"/>
  <c r="AK6" i="32"/>
  <c r="S4" i="83" s="1"/>
  <c r="AJ6" i="32"/>
  <c r="R4" i="83" s="1"/>
  <c r="AF4" i="32"/>
  <c r="AI4" i="32"/>
  <c r="Q2" i="83" s="1"/>
  <c r="AG4" i="32"/>
  <c r="AH4" i="32"/>
  <c r="AL4" i="32"/>
  <c r="T2" i="83" s="1"/>
  <c r="AK4" i="32"/>
  <c r="S2" i="83" s="1"/>
  <c r="AJ4" i="32"/>
  <c r="R2" i="83" s="1"/>
  <c r="D23" i="83" l="1"/>
  <c r="D22" i="83"/>
  <c r="D9" i="83"/>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Q3" i="83" s="1"/>
  <c r="AJ5" i="32"/>
  <c r="R3" i="83" s="1"/>
  <c r="AK5" i="32"/>
  <c r="S3" i="83" s="1"/>
  <c r="K20" i="111"/>
  <c r="K20" i="110"/>
  <c r="K20" i="107"/>
  <c r="K23" i="107"/>
  <c r="K23" i="110"/>
  <c r="K23" i="111"/>
  <c r="Z10" i="110"/>
  <c r="Y10" i="110"/>
  <c r="Z9" i="107"/>
  <c r="Y9" i="107"/>
  <c r="Z10" i="108"/>
  <c r="AA10" i="108" s="1"/>
  <c r="Y10" i="108"/>
  <c r="AK8" i="32" l="1"/>
  <c r="S6" i="83" s="1"/>
  <c r="AI8" i="32"/>
  <c r="Q6" i="83" s="1"/>
  <c r="AJ8" i="32"/>
  <c r="R6" i="83" s="1"/>
  <c r="AI12" i="32"/>
  <c r="Q10" i="83" s="1"/>
  <c r="AK12" i="32"/>
  <c r="S10" i="83" s="1"/>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 i="32" l="1"/>
  <c r="U28" i="32"/>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CD37" i="94"/>
  <c r="CF37" i="94" s="1"/>
  <c r="AY37" i="94"/>
  <c r="P37" i="94"/>
  <c r="AR37" i="94"/>
  <c r="CE37" i="94"/>
  <c r="O37" i="94"/>
  <c r="AL37" i="94" s="1"/>
  <c r="BT37" i="94"/>
  <c r="BE37" i="94"/>
  <c r="BY37" i="94"/>
  <c r="CB37" i="94"/>
  <c r="BO37" i="94"/>
  <c r="BJ37" i="94"/>
  <c r="AX37" i="94"/>
  <c r="AZ37" i="94" s="1"/>
  <c r="AQ37" i="94"/>
  <c r="AS37" i="94" s="1"/>
  <c r="J2" i="106"/>
  <c r="N37" i="94"/>
  <c r="Q37" i="94" s="1"/>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7" i="32"/>
  <c r="N8" i="32"/>
  <c r="N9" i="32"/>
  <c r="N23" i="32"/>
  <c r="N24" i="32"/>
  <c r="N10" i="32"/>
  <c r="N11" i="32"/>
  <c r="N25" i="32"/>
  <c r="N12" i="32"/>
  <c r="N26" i="32"/>
  <c r="N27"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3" i="49"/>
  <c r="O10" i="49" l="1"/>
  <c r="O14" i="49"/>
  <c r="O26" i="49"/>
  <c r="O16" i="49"/>
  <c r="O15" i="49"/>
  <c r="O18" i="49"/>
  <c r="O7" i="49"/>
  <c r="O12" i="49"/>
  <c r="O9" i="49"/>
  <c r="O6"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5" i="32" l="1"/>
  <c r="F16" i="32"/>
  <c r="F22" i="32"/>
  <c r="E22" i="86" s="1"/>
  <c r="F26" i="32"/>
  <c r="E26" i="86" s="1"/>
  <c r="F9" i="32"/>
  <c r="F19" i="32"/>
  <c r="E19" i="86" s="1"/>
  <c r="F20" i="32"/>
  <c r="E20" i="86" s="1"/>
  <c r="F7" i="32"/>
  <c r="F4" i="32"/>
  <c r="F12" i="32"/>
  <c r="F27" i="32"/>
  <c r="F14" i="32"/>
  <c r="F21" i="32"/>
  <c r="F5" i="32"/>
  <c r="F6" i="32"/>
  <c r="F18" i="32"/>
  <c r="F17" i="32"/>
  <c r="E21" i="86" s="1"/>
  <c r="F13" i="32"/>
  <c r="F10" i="32"/>
  <c r="F25" i="32"/>
  <c r="E25" i="86" s="1"/>
  <c r="F24" i="32"/>
  <c r="E24" i="86" s="1"/>
  <c r="F23" i="32"/>
  <c r="E23" i="86" s="1"/>
  <c r="F8"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21" i="32"/>
  <c r="C17"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 ref="M4" authorId="0" shapeId="0" xr:uid="{A77BFD4D-4A1A-48E2-BEDE-E97B11E63AF6}">
      <text>
        <r>
          <rPr>
            <b/>
            <sz val="9"/>
            <color indexed="81"/>
            <rFont val="Tahoma"/>
            <family val="2"/>
          </rPr>
          <t>3,9</t>
        </r>
      </text>
    </comment>
    <comment ref="M6" authorId="0" shapeId="0" xr:uid="{C524B9DB-5D6B-413B-B5A8-BA56F0BC7CE7}">
      <text>
        <r>
          <rPr>
            <sz val="9"/>
            <color indexed="81"/>
            <rFont val="Tahoma"/>
            <family val="2"/>
          </rPr>
          <t>3,5</t>
        </r>
      </text>
    </comment>
    <comment ref="M8" authorId="0" shapeId="0" xr:uid="{968108F7-2AD2-4513-9EDC-A0F7785DF86F}">
      <text>
        <r>
          <rPr>
            <b/>
            <sz val="9"/>
            <color indexed="81"/>
            <rFont val="Tahoma"/>
            <family val="2"/>
          </rPr>
          <t>4,8</t>
        </r>
      </text>
    </comment>
    <comment ref="M10" authorId="0" shapeId="0" xr:uid="{6BAC49B2-DE33-4576-A832-C952011C6112}">
      <text>
        <r>
          <rPr>
            <b/>
            <sz val="9"/>
            <color indexed="81"/>
            <rFont val="Tahoma"/>
            <family val="2"/>
          </rPr>
          <t>3,9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<sst xmlns="http://schemas.openxmlformats.org/spreadsheetml/2006/main" count="2063" uniqueCount="685">
  <si>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</si>
  <si>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</si>
  <si>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</si>
  <si>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</si>
  <si>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</si>
  <si>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</si>
  <si>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</si>
  <si>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</si>
  <si>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</si>
  <si>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</si>
  <si>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</si>
  <si>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</si>
  <si>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</si>
  <si>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</si>
  <si>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</si>
  <si>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</si>
  <si>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</si>
  <si>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</si>
  <si>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</si>
  <si>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</si>
  <si>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</si>
  <si>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</si>
  <si>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</si>
  <si>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</si>
  <si>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</si>
  <si>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</si>
  <si>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</si>
  <si>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</si>
  <si>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</si>
  <si>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</si>
  <si>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</si>
  <si>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</si>
  <si>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</si>
  <si>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</si>
  <si>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</si>
  <si>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</si>
  <si>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</si>
  <si>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</si>
  <si>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</si>
  <si>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</si>
  <si>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</si>
  <si>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</si>
  <si>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</si>
  <si>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</si>
  <si>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</si>
  <si>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</si>
  <si>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</si>
  <si>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</si>
  <si>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</si>
  <si>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</si>
  <si>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</si>
  <si>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</si>
  <si>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</si>
  <si>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</si>
  <si>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</si>
  <si>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</si>
  <si>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</si>
  <si>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</si>
  <si>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</si>
  <si>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</si>
  <si>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</si>
  <si>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</si>
  <si>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</si>
  <si>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</si>
  <si>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</si>
  <si>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</si>
  <si>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</si>
  <si>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</si>
  <si>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</si>
  <si>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</si>
  <si>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</si>
  <si>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</si>
  <si>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</si>
  <si>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</si>
  <si>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</si>
  <si>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</si>
  <si>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</si>
  <si>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</si>
  <si>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</si>
  <si>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</si>
  <si>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</si>
  <si>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</si>
  <si>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</si>
  <si>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</si>
  <si>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</si>
  <si>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</si>
  <si>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</si>
  <si>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</si>
  <si>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</si>
  <si>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</si>
  <si>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</si>
  <si>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</si>
  <si>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</si>
  <si>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</si>
  <si>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</si>
  <si>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</si>
  <si>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</si>
  <si>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</si>
  <si>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</si>
  <si>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</si>
  <si>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</si>
  <si>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</si>
  <si>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</si>
  <si>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</si>
  <si>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</si>
  <si>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</si>
  <si>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</si>
  <si>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</si>
  <si>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</si>
  <si>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</si>
  <si>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</si>
  <si>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</si>
  <si>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</si>
  <si>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</si>
  <si>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</si>
  <si>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</si>
  <si>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</si>
  <si>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</si>
  <si>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</si>
  <si>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</si>
  <si>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</si>
  <si>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</si>
  <si>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</si>
  <si>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</si>
  <si>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</si>
  <si>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</si>
  <si>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</si>
  <si>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</si>
  <si>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</si>
  <si>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</si>
  <si>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</si>
  <si>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</si>
  <si>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</si>
  <si>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</si>
  <si>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</si>
  <si>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</si>
  <si>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</si>
  <si>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</si>
  <si>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</si>
  <si>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</si>
  <si>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</si>
  <si>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</si>
  <si>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</si>
  <si>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</si>
  <si>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</si>
  <si>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</si>
  <si>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</si>
  <si>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</si>
  <si>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</si>
  <si>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</si>
  <si>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</si>
  <si>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</si>
  <si>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</si>
  <si>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</si>
  <si>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</si>
  <si>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</si>
  <si>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</si>
  <si>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</si>
  <si>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</si>
  <si>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</si>
  <si>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</si>
  <si>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</si>
  <si>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</si>
  <si>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</si>
  <si>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</si>
  <si>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</si>
  <si>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</si>
  <si>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</si>
  <si>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</si>
  <si>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</si>
  <si>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</si>
  <si>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</si>
  <si>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</si>
  <si>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</si>
  <si>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</si>
  <si>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</si>
  <si>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</si>
  <si>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</si>
  <si>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</si>
  <si>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</si>
  <si>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</si>
  <si>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</si>
  <si>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</si>
  <si>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</si>
  <si>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</si>
  <si>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</si>
  <si>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</si>
  <si>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</si>
  <si>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</si>
  <si>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</si>
  <si>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</si>
  <si>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</si>
  <si>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</si>
  <si>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</si>
  <si>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</si>
  <si>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</si>
  <si>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</si>
  <si>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</si>
  <si>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</si>
  <si>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</si>
  <si>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</si>
  <si>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</si>
  <si>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</si>
  <si>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</si>
  <si>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</si>
  <si>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</si>
  <si>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</si>
  <si>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</si>
  <si>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</si>
  <si>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</si>
  <si>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</si>
  <si>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</si>
  <si>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</si>
  <si>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</si>
  <si>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</si>
  <si>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</si>
  <si>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</si>
  <si>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</si>
  <si>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</si>
  <si>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</si>
  <si>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</si>
  <si>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</si>
  <si>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</si>
  <si>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</si>
  <si>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</si>
  <si>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</si>
  <si>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</si>
  <si>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</si>
  <si>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</si>
  <si>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</si>
  <si>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</si>
  <si>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</si>
  <si>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</si>
  <si>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</si>
  <si>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</si>
  <si>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</si>
  <si>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</si>
  <si>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</si>
  <si>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</si>
  <si>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</si>
  <si>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</si>
  <si>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</si>
  <si>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</si>
  <si>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</si>
  <si>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</si>
  <si>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</si>
  <si>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</si>
  <si>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</si>
  <si>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</si>
  <si>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</si>
  <si>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</si>
  <si>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</si>
  <si>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</si>
  <si>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</si>
  <si>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</si>
  <si>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</si>
  <si>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</si>
  <si>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</si>
  <si>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</si>
  <si>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</si>
  <si>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</si>
  <si>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</si>
  <si>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</si>
  <si>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</si>
  <si>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</si>
  <si>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</si>
  <si>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</si>
  <si>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</si>
  <si>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</si>
  <si>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</si>
  <si>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</si>
  <si>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</si>
  <si>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</si>
  <si>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</si>
  <si>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</si>
  <si>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</si>
  <si>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</si>
  <si>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</si>
  <si>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</si>
  <si>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</si>
  <si>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</si>
  <si>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</si>
  <si>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</si>
  <si>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</si>
  <si>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</si>
  <si>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</si>
  <si>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</si>
  <si>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</si>
  <si>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</si>
  <si>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</si>
  <si>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</si>
  <si>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</si>
  <si>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</si>
  <si>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</si>
  <si>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</si>
  <si>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</si>
  <si>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</si>
  <si>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</si>
  <si>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</si>
  <si>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</si>
  <si>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</si>
  <si>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</si>
  <si>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</si>
  <si>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</si>
  <si>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</si>
  <si>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</si>
  <si>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</si>
  <si>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</si>
  <si>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</si>
  <si>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</si>
  <si>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</si>
  <si>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</si>
  <si>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</si>
  <si>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</si>
  <si>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</si>
  <si>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</si>
  <si>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</si>
  <si>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</si>
  <si>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</si>
  <si>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</si>
  <si>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</si>
  <si>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</si>
  <si>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</si>
  <si>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</si>
  <si>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</si>
  <si>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</si>
  <si>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</si>
  <si>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</si>
  <si>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</si>
  <si>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</si>
  <si>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</si>
  <si>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</si>
  <si>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</si>
  <si>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</si>
  <si>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</si>
  <si>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</si>
  <si>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</si>
  <si>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</si>
  <si>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</si>
  <si>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</si>
  <si>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</si>
  <si>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</si>
  <si>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</si>
  <si>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</si>
  <si>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</si>
  <si>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</si>
  <si>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</si>
  <si>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</si>
  <si>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</si>
  <si>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</si>
  <si>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</si>
  <si>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</si>
  <si>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</si>
  <si>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</si>
  <si>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</si>
  <si>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</si>
  <si>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</si>
  <si>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</si>
  <si>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</si>
  <si>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</si>
  <si>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</si>
  <si>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</si>
  <si>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</si>
  <si>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</si>
  <si>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</si>
  <si>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</si>
  <si>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</si>
  <si>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</si>
  <si>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</si>
  <si>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</si>
  <si>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</si>
  <si>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</si>
  <si>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</si>
  <si>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</si>
  <si>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</si>
  <si>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</si>
  <si>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</si>
  <si>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</si>
  <si>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</si>
  <si>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</si>
  <si>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</si>
  <si>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</si>
  <si>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</si>
  <si>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</si>
  <si>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</si>
  <si>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</si>
  <si>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</si>
  <si>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</si>
  <si>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</si>
  <si>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</si>
  <si>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</si>
  <si>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</si>
  <si>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</si>
  <si>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</si>
  <si>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</si>
  <si>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</si>
  <si>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</si>
  <si>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</si>
  <si>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</si>
  <si>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</si>
  <si>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</si>
  <si>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</si>
  <si>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</si>
  <si>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</si>
  <si>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</si>
  <si>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</si>
  <si>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</si>
  <si>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</si>
  <si>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</si>
  <si>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</si>
  <si>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</si>
  <si>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</si>
  <si>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</si>
  <si>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</si>
  <si>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</si>
  <si>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</si>
  <si>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</si>
  <si>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</si>
  <si>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</si>
  <si>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</si>
  <si>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</si>
  <si>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</si>
  <si>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</si>
  <si>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</si>
  <si>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</si>
  <si>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</si>
  <si>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</si>
  <si>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</si>
  <si>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</si>
  <si>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</si>
  <si>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</si>
  <si>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</si>
  <si>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</si>
  <si>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</si>
  <si>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</si>
  <si>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</si>
  <si>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</si>
  <si>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</si>
  <si>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</si>
  <si>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</si>
  <si>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</si>
  <si>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</si>
  <si>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</si>
  <si>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</si>
  <si>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</si>
  <si>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</si>
  <si>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</si>
  <si>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</si>
  <si>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</si>
  <si>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</si>
  <si>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</si>
  <si>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</si>
  <si>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</si>
  <si>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</si>
  <si>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</si>
  <si>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</si>
  <si>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</si>
  <si>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</si>
  <si>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</si>
  <si>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</si>
  <si>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</si>
  <si>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</si>
  <si>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</si>
  <si>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</si>
  <si>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</si>
  <si>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</si>
  <si>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</si>
  <si>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</si>
  <si>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</si>
  <si>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</si>
  <si>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</si>
  <si>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</si>
  <si>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</si>
  <si>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</si>
  <si>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</si>
  <si>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</si>
  <si>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</si>
  <si>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</si>
  <si>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</si>
  <si>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</si>
  <si>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</si>
  <si>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</si>
  <si>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</si>
  <si>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</si>
  <si>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</si>
  <si>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</si>
  <si>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</si>
  <si>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</si>
  <si>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</si>
  <si>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</si>
  <si>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</si>
  <si>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</si>
  <si>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</si>
  <si>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</si>
  <si>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</si>
  <si>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</si>
  <si>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</si>
  <si>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</si>
  <si>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</si>
  <si>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</si>
  <si>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</si>
  <si>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</si>
  <si>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</si>
  <si>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</si>
  <si>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</si>
  <si>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</si>
  <si>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</si>
  <si>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</si>
  <si>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</si>
  <si>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</si>
  <si>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</si>
  <si>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</si>
  <si>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</si>
  <si>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</si>
  <si>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</si>
  <si>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</si>
  <si>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</si>
  <si>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</si>
  <si>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</si>
  <si>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</si>
  <si>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</si>
  <si>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</si>
  <si>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</si>
  <si>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</si>
  <si>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</si>
  <si>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</si>
  <si>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</si>
  <si>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</si>
  <si>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</si>
  <si>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</si>
  <si>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</si>
  <si>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</si>
  <si>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</si>
  <si>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</si>
  <si>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</si>
  <si>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</si>
  <si>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</si>
  <si>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</si>
  <si>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</si>
  <si>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</si>
  <si>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</si>
  <si>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</si>
  <si>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</si>
  <si>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</si>
  <si>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</si>
  <si>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</si>
  <si>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</si>
  <si>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</si>
  <si>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</si>
  <si>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</si>
  <si>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</si>
  <si>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</si>
  <si>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</si>
  <si>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</si>
  <si>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</si>
  <si>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</si>
  <si>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</si>
  <si>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</si>
  <si>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</si>
  <si>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</si>
  <si>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</si>
  <si>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</si>
  <si>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</si>
  <si>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</si>
  <si>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</si>
  <si>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</si>
  <si>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</si>
  <si>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</si>
  <si>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</si>
  <si>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</si>
  <si>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</si>
  <si>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</si>
  <si>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</si>
  <si>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</si>
  <si>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</si>
  <si>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</si>
  <si>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</si>
  <si>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</si>
  <si>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</si>
  <si>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</si>
  <si>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</si>
  <si>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</si>
  <si>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</si>
  <si>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</si>
  <si>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</si>
  <si>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</si>
  <si>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</si>
  <si>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</si>
  <si>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</si>
  <si>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</si>
  <si>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</si>
  <si>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</si>
  <si>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</si>
  <si>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</si>
  <si>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</si>
  <si>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</si>
  <si>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</si>
  <si>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</si>
  <si>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</si>
  <si>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</si>
  <si>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</si>
  <si>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</si>
  <si>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</si>
  <si>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</si>
  <si>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</si>
  <si>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</si>
  <si>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</si>
  <si>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</si>
  <si>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</si>
  <si>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</si>
  <si>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</si>
  <si>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</si>
  <si>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</si>
  <si>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</si>
  <si>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</si>
  <si>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</si>
  <si>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</si>
  <si>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</si>
  <si>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</si>
  <si>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</si>
  <si>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</si>
  <si>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</si>
  <si>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</si>
  <si>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</si>
  <si>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</si>
  <si>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</si>
  <si>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</si>
  <si>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</si>
  <si>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</si>
  <si>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</si>
  <si>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</si>
  <si>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</si>
  <si>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</si>
  <si>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</si>
  <si>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</si>
  <si>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</si>
  <si>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</si>
  <si>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</si>
  <si>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</si>
  <si>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</si>
  <si>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</si>
  <si>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</si>
  <si>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</si>
  <si>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</si>
  <si>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</si>
  <si>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</si>
  <si>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</si>
  <si>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</si>
  <si>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</si>
  <si>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</si>
  <si>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</si>
  <si>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</si>
  <si>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</si>
  <si>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</si>
  <si>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</si>
  <si>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</si>
  <si>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</si>
  <si>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</si>
  <si>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</si>
  <si>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</si>
  <si>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</si>
  <si>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</si>
  <si>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</si>
  <si>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</si>
  <si>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</si>
  <si>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</si>
  <si>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</si>
  <si>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</si>
  <si>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</si>
  <si>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</si>
  <si>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</si>
  <si>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</si>
  <si>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</si>
  <si>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</si>
  <si>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</si>
  <si>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</si>
  <si>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</si>
  <si>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</si>
  <si>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IDEF</t>
  </si>
  <si>
    <t>EXhM</t>
  </si>
  <si>
    <t>F-N</t>
  </si>
  <si>
    <t>28(105)</t>
  </si>
  <si>
    <t>John Castonguay</t>
  </si>
  <si>
    <t>FF-2</t>
  </si>
  <si>
    <t>28(108)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</si>
</sst>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 numFmtId="179" formatCode="_-* #,##0.0\ _€_-;\-* #,##0.0\ _€_-;_-* &quot;-&quot;?\ _€_-;_-@_-"/>
  </numFmts>
  <fonts count="100"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rgb="FFFF0000"/>
      <name val="Verdana"/>
      <family val="2"/>
    </font>
    <font>
      <sz val="9"/>
      <color indexed="81"/>
      <name val="Tahoma"/>
      <family val="2"/>
    </font>
    <font>
      <b/>
      <sz val="9"/>
      <color indexed="81"/>
      <name val="Tahoma"/>
      <family val="2"/>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03">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xf numFmtId="168" fontId="97" fillId="24" borderId="1" xfId="3" applyNumberFormat="1" applyFont="1" applyFill="1" applyBorder="1" applyAlignment="1">
      <alignment horizontal="right" vertical="center"/>
    </xf>
    <xf numFmtId="179" fontId="34" fillId="0" borderId="0" xfId="4" applyNumberFormat="1" applyFont="1"/>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56">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37"/>
  <sheetViews>
    <sheetView zoomScaleNormal="100" workbookViewId="0">
      <selection activeCell="G5" sqref="G5:I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56" t="s">
        <v>186</v>
      </c>
      <c r="B1" s="656"/>
      <c r="C1" s="656"/>
      <c r="E1" s="655" t="s">
        <v>184</v>
      </c>
      <c r="F1" s="655"/>
      <c r="G1" s="655"/>
      <c r="H1" s="655"/>
    </row>
    <row r="2" spans="1:21" x14ac:dyDescent="0.25">
      <c r="A2" s="657">
        <v>43650</v>
      </c>
      <c r="B2" s="657"/>
      <c r="C2" s="657"/>
      <c r="E2" s="306" t="s">
        <v>185</v>
      </c>
      <c r="F2" s="307" t="s">
        <v>400</v>
      </c>
      <c r="G2" s="87">
        <v>43276</v>
      </c>
      <c r="H2" t="s">
        <v>401</v>
      </c>
    </row>
    <row r="3" spans="1:21" x14ac:dyDescent="0.25">
      <c r="E3" s="306" t="s">
        <v>680</v>
      </c>
      <c r="F3" s="190" t="s">
        <v>399</v>
      </c>
      <c r="G3" s="87">
        <v>43258</v>
      </c>
      <c r="H3" t="s">
        <v>402</v>
      </c>
    </row>
    <row r="4" spans="1:21" s="88" customFormat="1" ht="10.5" customHeight="1" x14ac:dyDescent="0.3"/>
    <row r="5" spans="1:21" s="88" customFormat="1" ht="18.75" x14ac:dyDescent="0.3">
      <c r="B5" s="654" t="s">
        <v>187</v>
      </c>
      <c r="C5" s="654"/>
      <c r="D5"/>
      <c r="G5" s="654" t="s">
        <v>387</v>
      </c>
      <c r="H5" s="654"/>
      <c r="I5" s="654"/>
      <c r="J5" s="103"/>
      <c r="K5" s="103"/>
      <c r="L5" s="654" t="s">
        <v>189</v>
      </c>
      <c r="M5" s="654"/>
      <c r="N5"/>
      <c r="O5" s="2" t="s">
        <v>392</v>
      </c>
      <c r="S5" s="654" t="s">
        <v>386</v>
      </c>
      <c r="T5" s="654"/>
    </row>
    <row r="6" spans="1:21" x14ac:dyDescent="0.25">
      <c r="A6" s="3">
        <v>1</v>
      </c>
      <c r="B6" s="359">
        <v>99</v>
      </c>
      <c r="C6" s="360" t="s">
        <v>345</v>
      </c>
      <c r="D6" s="360" t="s">
        <v>1</v>
      </c>
      <c r="F6" s="77">
        <v>1</v>
      </c>
      <c r="G6" s="359">
        <v>387</v>
      </c>
      <c r="H6" s="360" t="s">
        <v>210</v>
      </c>
      <c r="I6" s="361" t="s">
        <v>183</v>
      </c>
      <c r="K6" s="77">
        <v>1</v>
      </c>
      <c r="L6" s="359">
        <v>266</v>
      </c>
      <c r="M6" s="360" t="s">
        <v>190</v>
      </c>
      <c r="N6" s="360" t="s">
        <v>91</v>
      </c>
      <c r="O6" s="367">
        <f>L6/G10</f>
        <v>0.88666666666666671</v>
      </c>
      <c r="P6" s="360"/>
      <c r="R6" s="79">
        <v>1</v>
      </c>
      <c r="S6" s="362" t="s">
        <v>398</v>
      </c>
      <c r="T6" s="363" t="s">
        <v>385</v>
      </c>
      <c r="U6" s="364" t="s">
        <v>64</v>
      </c>
    </row>
    <row r="7" spans="1:21" x14ac:dyDescent="0.25">
      <c r="A7" s="3">
        <v>2</v>
      </c>
      <c r="B7" s="359">
        <v>66</v>
      </c>
      <c r="C7" s="360" t="s">
        <v>89</v>
      </c>
      <c r="D7" s="361" t="s">
        <v>1</v>
      </c>
      <c r="F7" s="77">
        <v>2</v>
      </c>
      <c r="G7" s="359">
        <v>377</v>
      </c>
      <c r="H7" s="360" t="s">
        <v>199</v>
      </c>
      <c r="I7" s="360" t="s">
        <v>198</v>
      </c>
      <c r="K7" s="77">
        <v>2</v>
      </c>
      <c r="L7" s="359">
        <v>125</v>
      </c>
      <c r="M7" s="360" t="s">
        <v>199</v>
      </c>
      <c r="N7" s="360" t="s">
        <v>198</v>
      </c>
      <c r="O7" s="367">
        <f>L7/G7</f>
        <v>0.33156498673740054</v>
      </c>
      <c r="P7" s="360"/>
      <c r="R7" s="79">
        <v>2</v>
      </c>
      <c r="S7" s="366" t="s">
        <v>389</v>
      </c>
      <c r="T7" s="360" t="s">
        <v>345</v>
      </c>
      <c r="U7" s="360" t="s">
        <v>1</v>
      </c>
    </row>
    <row r="8" spans="1:21" x14ac:dyDescent="0.25">
      <c r="A8" s="3">
        <v>3</v>
      </c>
      <c r="B8" s="362">
        <v>46</v>
      </c>
      <c r="C8" s="363" t="s">
        <v>87</v>
      </c>
      <c r="D8" s="364" t="s">
        <v>1</v>
      </c>
      <c r="F8" s="77">
        <v>3</v>
      </c>
      <c r="G8" s="359">
        <v>320</v>
      </c>
      <c r="H8" s="360" t="s">
        <v>219</v>
      </c>
      <c r="I8" s="361" t="s">
        <v>62</v>
      </c>
      <c r="K8" s="77">
        <v>3</v>
      </c>
      <c r="L8" s="359">
        <v>120</v>
      </c>
      <c r="M8" s="360" t="s">
        <v>253</v>
      </c>
      <c r="N8" s="360" t="s">
        <v>63</v>
      </c>
      <c r="O8" s="367">
        <f>L8/G13</f>
        <v>0.43321299638989169</v>
      </c>
      <c r="P8" s="360"/>
      <c r="R8" s="79">
        <v>2</v>
      </c>
      <c r="S8" s="366" t="s">
        <v>389</v>
      </c>
      <c r="T8" s="360" t="s">
        <v>199</v>
      </c>
      <c r="U8" s="360" t="s">
        <v>198</v>
      </c>
    </row>
    <row r="9" spans="1:21" s="88" customFormat="1" ht="18.75" x14ac:dyDescent="0.3">
      <c r="A9">
        <v>4</v>
      </c>
      <c r="B9" s="344">
        <v>2</v>
      </c>
      <c r="C9" s="347" t="s">
        <v>86</v>
      </c>
      <c r="D9" s="347" t="s">
        <v>1</v>
      </c>
      <c r="F9" s="271">
        <v>4</v>
      </c>
      <c r="G9" s="345">
        <v>313</v>
      </c>
      <c r="H9" s="631" t="s">
        <v>192</v>
      </c>
      <c r="I9" s="632" t="s">
        <v>62</v>
      </c>
      <c r="K9" s="308">
        <v>4</v>
      </c>
      <c r="L9" s="344">
        <v>100</v>
      </c>
      <c r="M9" s="347" t="s">
        <v>192</v>
      </c>
      <c r="N9" s="347" t="s">
        <v>62</v>
      </c>
      <c r="O9" s="349">
        <f>L9/G9</f>
        <v>0.31948881789137379</v>
      </c>
      <c r="P9" s="347"/>
      <c r="R9" s="79">
        <v>2</v>
      </c>
      <c r="S9" s="366" t="s">
        <v>389</v>
      </c>
      <c r="T9" s="360" t="s">
        <v>219</v>
      </c>
      <c r="U9" s="361" t="s">
        <v>62</v>
      </c>
    </row>
    <row r="10" spans="1:21" ht="18.75" x14ac:dyDescent="0.3">
      <c r="A10">
        <v>5</v>
      </c>
      <c r="B10" s="345">
        <v>1</v>
      </c>
      <c r="C10" s="346" t="s">
        <v>191</v>
      </c>
      <c r="D10" s="346" t="s">
        <v>2</v>
      </c>
      <c r="F10" s="271">
        <v>5</v>
      </c>
      <c r="G10" s="350">
        <v>300</v>
      </c>
      <c r="H10" s="351" t="s">
        <v>217</v>
      </c>
      <c r="I10" s="352" t="s">
        <v>91</v>
      </c>
      <c r="K10" s="308">
        <v>5</v>
      </c>
      <c r="L10" s="350">
        <v>91</v>
      </c>
      <c r="M10" s="351" t="s">
        <v>219</v>
      </c>
      <c r="N10" s="352" t="s">
        <v>62</v>
      </c>
      <c r="O10" s="357">
        <f>L10/G8</f>
        <v>0.28437499999999999</v>
      </c>
      <c r="P10" s="358"/>
      <c r="R10" s="79">
        <v>2</v>
      </c>
      <c r="S10" s="362" t="s">
        <v>389</v>
      </c>
      <c r="T10" s="363" t="s">
        <v>395</v>
      </c>
      <c r="U10" s="363" t="s">
        <v>64</v>
      </c>
    </row>
    <row r="11" spans="1:21" x14ac:dyDescent="0.25">
      <c r="A11">
        <v>5</v>
      </c>
      <c r="B11" s="344">
        <v>1</v>
      </c>
      <c r="C11" s="347" t="s">
        <v>201</v>
      </c>
      <c r="D11" s="347" t="s">
        <v>183</v>
      </c>
      <c r="F11" s="634">
        <v>6</v>
      </c>
      <c r="G11" s="350">
        <v>292</v>
      </c>
      <c r="H11" s="351" t="s">
        <v>196</v>
      </c>
      <c r="I11" s="352" t="s">
        <v>62</v>
      </c>
      <c r="K11" s="634">
        <v>6</v>
      </c>
      <c r="L11" s="344">
        <v>90</v>
      </c>
      <c r="M11" s="347" t="s">
        <v>385</v>
      </c>
      <c r="N11" s="347" t="s">
        <v>64</v>
      </c>
      <c r="O11" s="349">
        <f>L11/G21</f>
        <v>0.61643835616438358</v>
      </c>
      <c r="P11" s="347">
        <v>169</v>
      </c>
      <c r="R11" s="79">
        <v>2</v>
      </c>
      <c r="S11" s="362" t="s">
        <v>389</v>
      </c>
      <c r="T11" s="363" t="s">
        <v>403</v>
      </c>
      <c r="U11" s="364" t="s">
        <v>183</v>
      </c>
    </row>
    <row r="12" spans="1:21" x14ac:dyDescent="0.25">
      <c r="B12" s="634"/>
      <c r="F12" s="634">
        <v>7</v>
      </c>
      <c r="G12" s="350">
        <v>278</v>
      </c>
      <c r="H12" s="351" t="s">
        <v>218</v>
      </c>
      <c r="I12" s="352" t="s">
        <v>63</v>
      </c>
      <c r="K12" s="634">
        <v>7</v>
      </c>
      <c r="L12" s="354">
        <v>82</v>
      </c>
      <c r="M12" s="351" t="s">
        <v>210</v>
      </c>
      <c r="N12" s="352" t="s">
        <v>183</v>
      </c>
      <c r="O12" s="357">
        <f>L12/G6</f>
        <v>0.21188630490956073</v>
      </c>
      <c r="P12" s="351"/>
      <c r="R12" s="81">
        <v>7</v>
      </c>
      <c r="S12" s="344" t="s">
        <v>346</v>
      </c>
      <c r="T12" s="347" t="s">
        <v>382</v>
      </c>
      <c r="U12" s="347" t="s">
        <v>2</v>
      </c>
    </row>
    <row r="13" spans="1:21" ht="18.75" x14ac:dyDescent="0.3">
      <c r="A13" s="88"/>
      <c r="B13" s="635" t="s">
        <v>188</v>
      </c>
      <c r="C13" s="635"/>
      <c r="E13" s="88"/>
      <c r="F13" s="634">
        <v>8</v>
      </c>
      <c r="G13" s="353">
        <v>277</v>
      </c>
      <c r="H13" s="351" t="s">
        <v>253</v>
      </c>
      <c r="I13" s="351" t="s">
        <v>63</v>
      </c>
      <c r="J13" s="88"/>
      <c r="K13" s="634">
        <v>7</v>
      </c>
      <c r="L13" s="350">
        <v>82</v>
      </c>
      <c r="M13" s="351" t="s">
        <v>218</v>
      </c>
      <c r="N13" s="352" t="s">
        <v>63</v>
      </c>
      <c r="O13" s="357">
        <f>L13/G12</f>
        <v>0.29496402877697842</v>
      </c>
      <c r="P13" s="358"/>
      <c r="Q13" s="88"/>
      <c r="R13" s="81">
        <v>7</v>
      </c>
      <c r="S13" s="344" t="s">
        <v>346</v>
      </c>
      <c r="T13" s="347" t="s">
        <v>192</v>
      </c>
      <c r="U13" s="348" t="s">
        <v>62</v>
      </c>
    </row>
    <row r="14" spans="1:21" x14ac:dyDescent="0.25">
      <c r="A14" s="3">
        <v>1</v>
      </c>
      <c r="B14" s="365">
        <v>215</v>
      </c>
      <c r="C14" s="360" t="s">
        <v>345</v>
      </c>
      <c r="D14" s="360" t="s">
        <v>1</v>
      </c>
      <c r="F14" s="634">
        <v>9</v>
      </c>
      <c r="G14" s="350">
        <v>269</v>
      </c>
      <c r="H14" s="351" t="s">
        <v>200</v>
      </c>
      <c r="I14" s="352" t="s">
        <v>183</v>
      </c>
      <c r="K14" s="634">
        <v>9</v>
      </c>
      <c r="L14" s="350">
        <v>80</v>
      </c>
      <c r="M14" s="351" t="s">
        <v>211</v>
      </c>
      <c r="N14" s="352" t="s">
        <v>62</v>
      </c>
      <c r="O14" s="357">
        <f>L14/G15</f>
        <v>0.30303030303030304</v>
      </c>
      <c r="P14" s="351"/>
      <c r="R14" s="81">
        <v>7</v>
      </c>
      <c r="S14" s="350" t="s">
        <v>346</v>
      </c>
      <c r="T14" s="351" t="s">
        <v>210</v>
      </c>
      <c r="U14" s="352" t="s">
        <v>183</v>
      </c>
    </row>
    <row r="15" spans="1:21" x14ac:dyDescent="0.25">
      <c r="A15" s="3">
        <v>2</v>
      </c>
      <c r="B15" s="362">
        <v>88</v>
      </c>
      <c r="C15" s="363" t="s">
        <v>87</v>
      </c>
      <c r="D15" s="364" t="s">
        <v>1</v>
      </c>
      <c r="F15" s="634">
        <v>10</v>
      </c>
      <c r="G15" s="350">
        <v>264</v>
      </c>
      <c r="H15" s="351" t="s">
        <v>211</v>
      </c>
      <c r="I15" s="352" t="s">
        <v>62</v>
      </c>
      <c r="K15" s="634">
        <v>10</v>
      </c>
      <c r="L15" s="354">
        <v>67</v>
      </c>
      <c r="M15" s="351" t="s">
        <v>200</v>
      </c>
      <c r="N15" s="352" t="s">
        <v>183</v>
      </c>
      <c r="O15" s="357">
        <f>L15/G14</f>
        <v>0.24907063197026022</v>
      </c>
      <c r="P15" s="351"/>
      <c r="R15" s="81">
        <v>10</v>
      </c>
      <c r="S15" s="350" t="s">
        <v>397</v>
      </c>
      <c r="T15" s="351" t="s">
        <v>253</v>
      </c>
      <c r="U15" s="352" t="s">
        <v>63</v>
      </c>
    </row>
    <row r="16" spans="1:21" x14ac:dyDescent="0.25">
      <c r="A16" s="3">
        <v>3</v>
      </c>
      <c r="B16" s="366">
        <v>80</v>
      </c>
      <c r="C16" s="360" t="s">
        <v>210</v>
      </c>
      <c r="D16" s="361" t="s">
        <v>183</v>
      </c>
      <c r="F16" s="634">
        <v>11</v>
      </c>
      <c r="G16" s="353">
        <v>235</v>
      </c>
      <c r="H16" s="351" t="s">
        <v>345</v>
      </c>
      <c r="I16" s="351" t="s">
        <v>1</v>
      </c>
      <c r="K16" s="634">
        <v>11</v>
      </c>
      <c r="L16" s="354">
        <v>60</v>
      </c>
      <c r="M16" s="351" t="s">
        <v>196</v>
      </c>
      <c r="N16" s="351" t="s">
        <v>62</v>
      </c>
      <c r="O16" s="357">
        <f>L16/G11</f>
        <v>0.20547945205479451</v>
      </c>
      <c r="P16" s="351"/>
      <c r="R16" s="81">
        <v>10</v>
      </c>
      <c r="S16" s="350" t="s">
        <v>397</v>
      </c>
      <c r="T16" s="351" t="s">
        <v>218</v>
      </c>
      <c r="U16" s="352" t="s">
        <v>63</v>
      </c>
    </row>
    <row r="17" spans="1:21" x14ac:dyDescent="0.25">
      <c r="A17">
        <v>4</v>
      </c>
      <c r="B17" s="344">
        <v>21</v>
      </c>
      <c r="C17" s="347" t="s">
        <v>82</v>
      </c>
      <c r="D17" s="347" t="s">
        <v>63</v>
      </c>
      <c r="F17" s="634">
        <v>12</v>
      </c>
      <c r="G17" s="344">
        <v>202</v>
      </c>
      <c r="H17" s="347" t="s">
        <v>191</v>
      </c>
      <c r="I17" s="348" t="s">
        <v>183</v>
      </c>
      <c r="K17" s="634">
        <v>12</v>
      </c>
      <c r="L17" s="350">
        <v>59</v>
      </c>
      <c r="M17" s="351" t="s">
        <v>255</v>
      </c>
      <c r="N17" s="352" t="s">
        <v>91</v>
      </c>
      <c r="O17" s="357">
        <f>L17/G22</f>
        <v>0.47967479674796748</v>
      </c>
      <c r="P17" s="351"/>
      <c r="R17" s="81">
        <v>12</v>
      </c>
      <c r="S17" s="350" t="s">
        <v>365</v>
      </c>
      <c r="T17" s="351" t="s">
        <v>211</v>
      </c>
      <c r="U17" s="352" t="s">
        <v>62</v>
      </c>
    </row>
    <row r="18" spans="1:21" x14ac:dyDescent="0.25">
      <c r="A18">
        <v>5</v>
      </c>
      <c r="B18" s="344">
        <v>8</v>
      </c>
      <c r="C18" s="347" t="s">
        <v>192</v>
      </c>
      <c r="D18" s="348" t="s">
        <v>62</v>
      </c>
      <c r="F18" s="634">
        <v>13</v>
      </c>
      <c r="G18" s="354">
        <v>199</v>
      </c>
      <c r="H18" s="351" t="s">
        <v>89</v>
      </c>
      <c r="I18" s="352" t="s">
        <v>1</v>
      </c>
      <c r="K18" s="634">
        <v>13</v>
      </c>
      <c r="L18" s="344">
        <v>53</v>
      </c>
      <c r="M18" s="347" t="s">
        <v>191</v>
      </c>
      <c r="N18" s="347" t="s">
        <v>2</v>
      </c>
      <c r="O18" s="349">
        <f>L18/G17</f>
        <v>0.26237623762376239</v>
      </c>
      <c r="P18" s="347"/>
      <c r="R18" s="81">
        <v>12</v>
      </c>
      <c r="S18" s="350" t="s">
        <v>365</v>
      </c>
      <c r="T18" s="351" t="s">
        <v>196</v>
      </c>
      <c r="U18" s="352" t="s">
        <v>62</v>
      </c>
    </row>
    <row r="19" spans="1:21" x14ac:dyDescent="0.25">
      <c r="A19">
        <v>6</v>
      </c>
      <c r="B19" s="344">
        <v>6</v>
      </c>
      <c r="C19" s="347" t="s">
        <v>84</v>
      </c>
      <c r="D19" s="348" t="s">
        <v>62</v>
      </c>
      <c r="F19" s="634">
        <v>14</v>
      </c>
      <c r="G19" s="344">
        <v>172</v>
      </c>
      <c r="H19" s="347" t="s">
        <v>382</v>
      </c>
      <c r="I19" s="347" t="s">
        <v>2</v>
      </c>
      <c r="K19" s="634">
        <v>14</v>
      </c>
      <c r="L19" s="344">
        <v>33</v>
      </c>
      <c r="M19" s="347" t="s">
        <v>382</v>
      </c>
      <c r="N19" s="347" t="s">
        <v>2</v>
      </c>
      <c r="O19" s="349">
        <f>L19/G21</f>
        <v>0.22602739726027396</v>
      </c>
      <c r="P19" s="347">
        <v>79</v>
      </c>
      <c r="R19" s="81">
        <v>12</v>
      </c>
      <c r="S19" s="350" t="s">
        <v>365</v>
      </c>
      <c r="T19" s="351" t="s">
        <v>217</v>
      </c>
      <c r="U19" s="352" t="s">
        <v>91</v>
      </c>
    </row>
    <row r="20" spans="1:21" x14ac:dyDescent="0.25">
      <c r="A20">
        <v>7</v>
      </c>
      <c r="B20" s="344">
        <v>5</v>
      </c>
      <c r="C20" s="347" t="s">
        <v>83</v>
      </c>
      <c r="D20" s="348" t="s">
        <v>62</v>
      </c>
      <c r="F20" s="634">
        <v>15</v>
      </c>
      <c r="G20" s="344">
        <v>146</v>
      </c>
      <c r="H20" s="347" t="s">
        <v>87</v>
      </c>
      <c r="I20" s="348" t="s">
        <v>1</v>
      </c>
      <c r="K20" s="634">
        <v>15</v>
      </c>
      <c r="L20" s="344">
        <v>32</v>
      </c>
      <c r="M20" s="347" t="s">
        <v>395</v>
      </c>
      <c r="N20" s="347" t="s">
        <v>64</v>
      </c>
      <c r="O20" s="349">
        <f>L20/G24</f>
        <v>0.33333333333333331</v>
      </c>
      <c r="P20" s="347">
        <v>89</v>
      </c>
      <c r="R20" s="81">
        <v>15</v>
      </c>
      <c r="S20" s="350" t="s">
        <v>330</v>
      </c>
      <c r="T20" s="351" t="s">
        <v>255</v>
      </c>
      <c r="U20" s="352" t="s">
        <v>91</v>
      </c>
    </row>
    <row r="21" spans="1:21" x14ac:dyDescent="0.25">
      <c r="A21">
        <v>8</v>
      </c>
      <c r="B21" s="344">
        <v>4</v>
      </c>
      <c r="C21" s="347" t="s">
        <v>167</v>
      </c>
      <c r="D21" s="348" t="s">
        <v>91</v>
      </c>
      <c r="F21" s="634">
        <v>15</v>
      </c>
      <c r="G21" s="344">
        <v>146</v>
      </c>
      <c r="H21" s="347" t="s">
        <v>385</v>
      </c>
      <c r="I21" s="347" t="s">
        <v>64</v>
      </c>
      <c r="K21" s="634">
        <v>16</v>
      </c>
      <c r="L21" s="350">
        <v>27</v>
      </c>
      <c r="M21" s="351" t="s">
        <v>230</v>
      </c>
      <c r="N21" s="351" t="s">
        <v>62</v>
      </c>
      <c r="O21" s="357">
        <f>L21/G23</f>
        <v>0.24770642201834864</v>
      </c>
      <c r="P21" s="351"/>
      <c r="R21" s="81">
        <v>16</v>
      </c>
      <c r="S21" s="350" t="s">
        <v>390</v>
      </c>
      <c r="T21" s="351" t="s">
        <v>200</v>
      </c>
      <c r="U21" s="352" t="s">
        <v>183</v>
      </c>
    </row>
    <row r="22" spans="1:21" x14ac:dyDescent="0.25">
      <c r="A22">
        <v>9</v>
      </c>
      <c r="B22" s="350">
        <v>2</v>
      </c>
      <c r="C22" s="351" t="s">
        <v>89</v>
      </c>
      <c r="D22" s="352" t="s">
        <v>1</v>
      </c>
      <c r="F22" s="634">
        <v>17</v>
      </c>
      <c r="G22" s="353">
        <v>123</v>
      </c>
      <c r="H22" s="355" t="s">
        <v>294</v>
      </c>
      <c r="I22" s="356" t="s">
        <v>91</v>
      </c>
      <c r="K22" s="634">
        <v>17</v>
      </c>
      <c r="L22" s="350">
        <v>23</v>
      </c>
      <c r="M22" s="351" t="s">
        <v>295</v>
      </c>
      <c r="N22" s="351" t="s">
        <v>2</v>
      </c>
      <c r="O22" s="357">
        <f>L22/G26</f>
        <v>0.26436781609195403</v>
      </c>
      <c r="P22" s="351"/>
      <c r="R22" s="81">
        <v>17</v>
      </c>
      <c r="S22" s="350" t="s">
        <v>261</v>
      </c>
      <c r="T22" s="351" t="s">
        <v>89</v>
      </c>
      <c r="U22" s="352" t="s">
        <v>1</v>
      </c>
    </row>
    <row r="23" spans="1:21" x14ac:dyDescent="0.25">
      <c r="A23">
        <v>10</v>
      </c>
      <c r="B23" s="344">
        <v>1</v>
      </c>
      <c r="C23" s="347" t="s">
        <v>88</v>
      </c>
      <c r="D23" s="348" t="s">
        <v>91</v>
      </c>
      <c r="F23" s="634">
        <v>18</v>
      </c>
      <c r="G23" s="353">
        <v>109</v>
      </c>
      <c r="H23" s="351" t="s">
        <v>230</v>
      </c>
      <c r="I23" s="351" t="s">
        <v>62</v>
      </c>
      <c r="K23" s="634">
        <v>18</v>
      </c>
      <c r="L23" s="344">
        <v>19</v>
      </c>
      <c r="M23" s="347" t="s">
        <v>88</v>
      </c>
      <c r="N23" s="348" t="s">
        <v>193</v>
      </c>
      <c r="O23" s="349"/>
      <c r="P23" s="347"/>
      <c r="R23" s="81">
        <v>17</v>
      </c>
      <c r="S23" s="344" t="s">
        <v>261</v>
      </c>
      <c r="T23" s="347" t="s">
        <v>87</v>
      </c>
      <c r="U23" s="348" t="s">
        <v>1</v>
      </c>
    </row>
    <row r="24" spans="1:21" x14ac:dyDescent="0.25">
      <c r="A24">
        <v>10</v>
      </c>
      <c r="B24" s="344">
        <v>1</v>
      </c>
      <c r="C24" s="347" t="s">
        <v>191</v>
      </c>
      <c r="D24" s="347" t="s">
        <v>2</v>
      </c>
      <c r="F24" s="634">
        <v>19</v>
      </c>
      <c r="G24" s="344">
        <v>96</v>
      </c>
      <c r="H24" s="347" t="s">
        <v>395</v>
      </c>
      <c r="I24" s="347" t="s">
        <v>64</v>
      </c>
      <c r="K24" s="634">
        <v>19</v>
      </c>
      <c r="L24" s="344">
        <v>15</v>
      </c>
      <c r="M24" s="347" t="s">
        <v>83</v>
      </c>
      <c r="N24" s="348" t="s">
        <v>62</v>
      </c>
      <c r="O24" s="349"/>
      <c r="P24" s="347"/>
      <c r="R24" s="81">
        <v>17</v>
      </c>
      <c r="S24" s="350" t="s">
        <v>261</v>
      </c>
      <c r="T24" s="351" t="s">
        <v>230</v>
      </c>
      <c r="U24" s="351" t="s">
        <v>62</v>
      </c>
    </row>
    <row r="25" spans="1:21" x14ac:dyDescent="0.25">
      <c r="A25">
        <v>10</v>
      </c>
      <c r="B25" s="344">
        <v>1</v>
      </c>
      <c r="C25" s="347" t="s">
        <v>403</v>
      </c>
      <c r="D25" s="348" t="s">
        <v>2</v>
      </c>
      <c r="F25" s="634">
        <v>20</v>
      </c>
      <c r="G25" s="344">
        <v>89</v>
      </c>
      <c r="H25" s="347" t="s">
        <v>201</v>
      </c>
      <c r="I25" s="348" t="s">
        <v>183</v>
      </c>
      <c r="K25" s="634">
        <v>20</v>
      </c>
      <c r="L25" s="344">
        <v>12</v>
      </c>
      <c r="M25" s="347" t="s">
        <v>248</v>
      </c>
      <c r="N25" s="348" t="s">
        <v>91</v>
      </c>
      <c r="O25" s="349"/>
      <c r="P25" s="347"/>
      <c r="R25" s="81">
        <v>20</v>
      </c>
      <c r="S25" s="344" t="s">
        <v>197</v>
      </c>
      <c r="T25" s="347" t="s">
        <v>167</v>
      </c>
      <c r="U25" s="348" t="s">
        <v>91</v>
      </c>
    </row>
    <row r="26" spans="1:21" x14ac:dyDescent="0.25">
      <c r="B26" s="296">
        <f>SUM(B14:B25)</f>
        <v>432</v>
      </c>
      <c r="F26" s="634">
        <v>21</v>
      </c>
      <c r="G26" s="350">
        <v>87</v>
      </c>
      <c r="H26" s="351" t="s">
        <v>295</v>
      </c>
      <c r="I26" s="351" t="s">
        <v>183</v>
      </c>
      <c r="K26" s="634">
        <v>21</v>
      </c>
      <c r="L26" s="354">
        <v>11</v>
      </c>
      <c r="M26" s="351" t="s">
        <v>89</v>
      </c>
      <c r="N26" s="352" t="s">
        <v>1</v>
      </c>
      <c r="O26" s="357">
        <f>L26/G18</f>
        <v>5.5276381909547742E-2</v>
      </c>
      <c r="P26" s="351"/>
      <c r="R26" s="81">
        <v>20</v>
      </c>
      <c r="S26" s="350" t="s">
        <v>197</v>
      </c>
      <c r="T26" s="351" t="s">
        <v>191</v>
      </c>
      <c r="U26" s="352" t="s">
        <v>2</v>
      </c>
    </row>
    <row r="27" spans="1:21" x14ac:dyDescent="0.25">
      <c r="B27" s="634"/>
      <c r="F27" s="634">
        <v>22</v>
      </c>
      <c r="G27" s="344">
        <v>55</v>
      </c>
      <c r="H27" s="347" t="s">
        <v>88</v>
      </c>
      <c r="I27" s="348" t="s">
        <v>91</v>
      </c>
      <c r="K27" s="634">
        <v>22</v>
      </c>
      <c r="L27" s="344">
        <v>10</v>
      </c>
      <c r="M27" s="347" t="s">
        <v>201</v>
      </c>
      <c r="N27" s="348" t="s">
        <v>183</v>
      </c>
      <c r="O27" s="349"/>
      <c r="P27" s="347"/>
      <c r="R27" s="81">
        <v>20</v>
      </c>
      <c r="S27" s="350" t="s">
        <v>197</v>
      </c>
      <c r="T27" s="351" t="s">
        <v>295</v>
      </c>
      <c r="U27" s="351" t="s">
        <v>183</v>
      </c>
    </row>
    <row r="28" spans="1:21" x14ac:dyDescent="0.25">
      <c r="B28" s="634"/>
      <c r="G28"/>
      <c r="K28" s="634">
        <v>22</v>
      </c>
      <c r="L28" s="344">
        <v>10</v>
      </c>
      <c r="M28" s="347" t="s">
        <v>254</v>
      </c>
      <c r="N28" s="348" t="s">
        <v>91</v>
      </c>
      <c r="O28" s="349"/>
      <c r="P28" s="347"/>
      <c r="R28" s="81">
        <v>23</v>
      </c>
      <c r="S28" s="344" t="s">
        <v>384</v>
      </c>
      <c r="T28" s="347" t="s">
        <v>347</v>
      </c>
      <c r="U28" s="347" t="s">
        <v>64</v>
      </c>
    </row>
    <row r="29" spans="1:21" x14ac:dyDescent="0.25">
      <c r="B29" s="634"/>
      <c r="G29"/>
      <c r="K29" s="634">
        <v>24</v>
      </c>
      <c r="L29" s="344">
        <v>9</v>
      </c>
      <c r="M29" s="347" t="s">
        <v>203</v>
      </c>
      <c r="N29" s="347" t="s">
        <v>91</v>
      </c>
      <c r="O29" s="349"/>
      <c r="P29" s="347"/>
      <c r="R29" s="81">
        <v>24</v>
      </c>
      <c r="S29" s="344" t="s">
        <v>229</v>
      </c>
      <c r="T29" s="347" t="s">
        <v>254</v>
      </c>
      <c r="U29" s="348" t="s">
        <v>91</v>
      </c>
    </row>
    <row r="30" spans="1:21" x14ac:dyDescent="0.25">
      <c r="B30" s="634"/>
      <c r="G30"/>
      <c r="K30" s="634">
        <v>24</v>
      </c>
      <c r="L30" s="344">
        <v>9</v>
      </c>
      <c r="M30" s="347" t="s">
        <v>202</v>
      </c>
      <c r="N30" s="347" t="s">
        <v>91</v>
      </c>
      <c r="O30" s="349"/>
      <c r="P30" s="347"/>
      <c r="R30" s="81">
        <v>24</v>
      </c>
      <c r="S30" s="344" t="s">
        <v>229</v>
      </c>
      <c r="T30" s="347" t="s">
        <v>248</v>
      </c>
      <c r="U30" s="347" t="s">
        <v>91</v>
      </c>
    </row>
    <row r="31" spans="1:21" x14ac:dyDescent="0.25">
      <c r="B31" s="634"/>
      <c r="G31"/>
      <c r="K31" s="634">
        <v>26</v>
      </c>
      <c r="L31" s="344">
        <v>8</v>
      </c>
      <c r="M31" s="347" t="s">
        <v>85</v>
      </c>
      <c r="N31" s="347" t="s">
        <v>183</v>
      </c>
      <c r="O31" s="349"/>
      <c r="P31" s="347"/>
      <c r="R31" s="81"/>
    </row>
    <row r="32" spans="1:21" x14ac:dyDescent="0.25">
      <c r="B32" s="634"/>
      <c r="G32"/>
      <c r="K32" s="634">
        <v>27</v>
      </c>
      <c r="L32" s="344">
        <v>6</v>
      </c>
      <c r="M32" s="347" t="s">
        <v>87</v>
      </c>
      <c r="N32" s="348" t="s">
        <v>1</v>
      </c>
      <c r="O32" s="349"/>
      <c r="P32" s="347"/>
    </row>
    <row r="33" spans="2:16" x14ac:dyDescent="0.25">
      <c r="B33" s="634"/>
      <c r="G33"/>
      <c r="K33" s="634">
        <v>28</v>
      </c>
      <c r="L33" s="344">
        <v>3</v>
      </c>
      <c r="M33" s="347" t="s">
        <v>347</v>
      </c>
      <c r="N33" s="347" t="s">
        <v>64</v>
      </c>
      <c r="O33" s="349"/>
      <c r="P33" s="347"/>
    </row>
    <row r="34" spans="2:16" x14ac:dyDescent="0.25">
      <c r="B34" s="634"/>
      <c r="G34"/>
      <c r="K34" s="634">
        <v>28</v>
      </c>
      <c r="L34" s="344">
        <v>3</v>
      </c>
      <c r="M34" s="347" t="s">
        <v>297</v>
      </c>
      <c r="N34" s="347" t="s">
        <v>62</v>
      </c>
      <c r="O34" s="349"/>
      <c r="P34" s="347"/>
    </row>
    <row r="35" spans="2:16" x14ac:dyDescent="0.25">
      <c r="B35" s="634"/>
      <c r="G35"/>
      <c r="K35" s="634">
        <v>28</v>
      </c>
      <c r="L35" s="344">
        <v>3</v>
      </c>
      <c r="M35" s="347" t="s">
        <v>403</v>
      </c>
      <c r="N35" s="347" t="s">
        <v>183</v>
      </c>
      <c r="O35" s="349"/>
      <c r="P35" s="347">
        <v>49</v>
      </c>
    </row>
    <row r="36" spans="2:16" x14ac:dyDescent="0.25">
      <c r="B36" s="634"/>
      <c r="G36"/>
      <c r="K36" s="634">
        <v>31</v>
      </c>
      <c r="L36" s="353">
        <v>2</v>
      </c>
      <c r="M36" s="351" t="s">
        <v>345</v>
      </c>
      <c r="N36" s="355" t="s">
        <v>1</v>
      </c>
      <c r="O36" s="357">
        <f>L36/G16</f>
        <v>8.5106382978723406E-3</v>
      </c>
      <c r="P36" s="355">
        <v>3</v>
      </c>
    </row>
    <row r="37" spans="2:16" x14ac:dyDescent="0.25">
      <c r="B37" s="634"/>
      <c r="G37"/>
      <c r="L37" s="297">
        <f>SUM(L6:L36)</f>
        <v>1510</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693" t="s">
        <v>278</v>
      </c>
      <c r="AI1" s="693"/>
      <c r="AJ1" s="693"/>
      <c r="AK1" s="693"/>
      <c r="AL1" s="693"/>
      <c r="AM1" s="693"/>
      <c r="AN1" s="693"/>
      <c r="AO1" s="693"/>
      <c r="AP1" s="693"/>
      <c r="AQ1" s="693"/>
      <c r="AR1" s="693"/>
      <c r="AS1" s="693"/>
      <c r="AT1" s="693"/>
      <c r="AV1" s="171" t="s">
        <v>280</v>
      </c>
      <c r="AW1" s="171" t="s">
        <v>69</v>
      </c>
      <c r="AX1" s="171" t="s">
        <v>281</v>
      </c>
      <c r="AY1" s="172" t="s">
        <v>282</v>
      </c>
      <c r="AZ1" s="170" t="s">
        <v>283</v>
      </c>
      <c r="BA1" s="170" t="s">
        <v>284</v>
      </c>
    </row>
    <row r="2" spans="1:53" s="72" customFormat="1" ht="18.75" x14ac:dyDescent="0.3">
      <c r="C2" s="153">
        <f ca="1">TODAY()</f>
        <v>43669</v>
      </c>
      <c r="D2" s="658">
        <v>41471</v>
      </c>
      <c r="E2" s="658"/>
      <c r="F2" s="658"/>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694">
        <v>451</v>
      </c>
      <c r="AI3" s="695"/>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31</v>
      </c>
      <c r="F4" s="134"/>
      <c r="G4" s="327">
        <f>Plantilla!H4</f>
        <v>6</v>
      </c>
      <c r="H4" s="102">
        <f>Plantilla!I4</f>
        <v>23.9</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38</v>
      </c>
      <c r="R4" s="92">
        <f t="shared" ref="R4:R27" si="5">H4+$R$2</f>
        <v>23.9</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40</v>
      </c>
      <c r="F5" s="134" t="str">
        <f>Plantilla!G5</f>
        <v>CAB</v>
      </c>
      <c r="G5" s="327">
        <f>Plantilla!H5</f>
        <v>3</v>
      </c>
      <c r="H5" s="102">
        <f>Plantilla!I5</f>
        <v>8.4</v>
      </c>
      <c r="I5" s="184">
        <f>Plantilla!X5</f>
        <v>7.95</v>
      </c>
      <c r="J5" s="184">
        <f>Plantilla!Y5</f>
        <v>6.95</v>
      </c>
      <c r="K5" s="184">
        <f>Plantilla!Z5</f>
        <v>0.95</v>
      </c>
      <c r="L5" s="184">
        <f>Plantilla!AA5</f>
        <v>0.95</v>
      </c>
      <c r="M5" s="184">
        <f>Plantilla!AB5</f>
        <v>1.95</v>
      </c>
      <c r="N5" s="184">
        <f>Plantilla!AC5</f>
        <v>0</v>
      </c>
      <c r="O5" s="184">
        <f>Plantilla!AD5</f>
        <v>13.95</v>
      </c>
      <c r="P5" s="146">
        <f t="shared" si="3"/>
        <v>39</v>
      </c>
      <c r="Q5" s="147">
        <f t="shared" ca="1" si="4"/>
        <v>47</v>
      </c>
      <c r="R5" s="92">
        <f t="shared" si="5"/>
        <v>8.4</v>
      </c>
      <c r="S5" s="200">
        <f t="shared" ref="S5:S12" si="14">I5</f>
        <v>7.95</v>
      </c>
      <c r="T5" s="200">
        <f t="shared" ref="T5:T12" si="15">J5</f>
        <v>6.95</v>
      </c>
      <c r="U5" s="200">
        <f t="shared" ref="U5:U12" si="16">K5</f>
        <v>0.95</v>
      </c>
      <c r="V5" s="200">
        <f t="shared" ref="V5:V12" si="17">L5</f>
        <v>0.95</v>
      </c>
      <c r="W5" s="200">
        <f t="shared" ref="W5:W12" si="18">M5</f>
        <v>1.95</v>
      </c>
      <c r="X5" s="200">
        <f t="shared" ref="X5:X12" si="19">N5</f>
        <v>0</v>
      </c>
      <c r="Y5" s="200">
        <f t="shared" ref="Y5:Y12" si="20">O5</f>
        <v>13.95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42</v>
      </c>
      <c r="F6" s="134"/>
      <c r="G6" s="327">
        <f>Plantilla!H6</f>
        <v>4</v>
      </c>
      <c r="H6" s="102">
        <f>Plantilla!I6</f>
        <v>18.3</v>
      </c>
      <c r="I6" s="184">
        <f>Plantilla!X6</f>
        <v>0</v>
      </c>
      <c r="J6" s="184">
        <f>Plantilla!Y6</f>
        <v>11.95</v>
      </c>
      <c r="K6" s="184">
        <f>Plantilla!Z6</f>
        <v>11.75</v>
      </c>
      <c r="L6" s="184">
        <f>Plantilla!AA6</f>
        <v>8.9499999999999993</v>
      </c>
      <c r="M6" s="184">
        <f>Plantilla!AB6</f>
        <v>7.95</v>
      </c>
      <c r="N6" s="184">
        <f>Plantilla!AC6</f>
        <v>0.95</v>
      </c>
      <c r="O6" s="184">
        <f>Plantilla!AD6</f>
        <v>17.177777777777774</v>
      </c>
      <c r="P6" s="146">
        <f t="shared" ref="P6:P27" si="21">D6</f>
        <v>36</v>
      </c>
      <c r="Q6" s="147">
        <f t="shared" ref="Q6:Q27" ca="1" si="22">E6+7</f>
        <v>49</v>
      </c>
      <c r="R6" s="92">
        <f t="shared" si="5"/>
        <v>18.3</v>
      </c>
      <c r="S6" s="200">
        <f t="shared" si="14"/>
        <v>0</v>
      </c>
      <c r="T6" s="200">
        <f t="shared" si="15"/>
        <v>11.95</v>
      </c>
      <c r="U6" s="200">
        <f t="shared" si="16"/>
        <v>11.75</v>
      </c>
      <c r="V6" s="200">
        <f t="shared" si="17"/>
        <v>8.9499999999999993</v>
      </c>
      <c r="W6" s="200">
        <f t="shared" si="18"/>
        <v>7.95</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Plantilla!A7</f>
        <v>#24</v>
      </c>
      <c r="B7" s="131" t="str">
        <f>Plantilla!B7</f>
        <v>DEF</v>
      </c>
      <c r="C7" s="90" t="str">
        <f>Plantilla!D7</f>
        <v>B. Bartolache</v>
      </c>
      <c r="D7" s="133">
        <f>Plantilla!E7</f>
        <v>36</v>
      </c>
      <c r="E7" s="138">
        <f ca="1">Plantilla!F7</f>
        <v>27</v>
      </c>
      <c r="F7" s="134"/>
      <c r="G7" s="327">
        <f>Plantilla!H7</f>
        <v>3</v>
      </c>
      <c r="H7" s="102">
        <f>Plantilla!I7</f>
        <v>11.8</v>
      </c>
      <c r="I7" s="184">
        <f>Plantilla!X7</f>
        <v>0</v>
      </c>
      <c r="J7" s="184">
        <f>Plantilla!Y7</f>
        <v>11.95</v>
      </c>
      <c r="K7" s="184">
        <f>Plantilla!Z7</f>
        <v>5.95</v>
      </c>
      <c r="L7" s="184">
        <f>Plantilla!AA7</f>
        <v>6.95</v>
      </c>
      <c r="M7" s="184">
        <f>Plantilla!AB7</f>
        <v>7.95</v>
      </c>
      <c r="N7" s="184">
        <f>Plantilla!AC7</f>
        <v>1.95</v>
      </c>
      <c r="O7" s="184">
        <f>Plantilla!AD7</f>
        <v>16</v>
      </c>
      <c r="P7" s="146">
        <f t="shared" si="21"/>
        <v>36</v>
      </c>
      <c r="Q7" s="147">
        <f t="shared" ca="1" si="22"/>
        <v>34</v>
      </c>
      <c r="R7" s="92">
        <f t="shared" si="5"/>
        <v>11.8</v>
      </c>
      <c r="S7" s="200">
        <f t="shared" si="14"/>
        <v>0</v>
      </c>
      <c r="T7" s="200">
        <f t="shared" si="15"/>
        <v>11.95</v>
      </c>
      <c r="U7" s="200">
        <f t="shared" si="16"/>
        <v>5.95</v>
      </c>
      <c r="V7" s="200">
        <f t="shared" si="17"/>
        <v>6.95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Plantilla!A8</f>
        <v>#13</v>
      </c>
      <c r="B8" s="131" t="str">
        <f>Plantilla!B8</f>
        <v>DEF</v>
      </c>
      <c r="C8" s="90" t="str">
        <f>Plantilla!D8</f>
        <v>F. Lasprilla</v>
      </c>
      <c r="D8" s="133">
        <f>Plantilla!E8</f>
        <v>32</v>
      </c>
      <c r="E8" s="138">
        <f ca="1">Plantilla!F8</f>
        <v>50</v>
      </c>
      <c r="F8" s="134"/>
      <c r="G8" s="327">
        <f>Plantilla!H8</f>
        <v>4</v>
      </c>
      <c r="H8" s="102">
        <f>Plantilla!I8</f>
        <v>6.4</v>
      </c>
      <c r="I8" s="184">
        <f>Plantilla!X8</f>
        <v>0</v>
      </c>
      <c r="J8" s="184">
        <f>Plantilla!Y8</f>
        <v>9.6046666666666667</v>
      </c>
      <c r="K8" s="184">
        <f>Plantilla!Z8</f>
        <v>8</v>
      </c>
      <c r="L8" s="184">
        <f>Plantilla!AA8</f>
        <v>6.1599999999999984</v>
      </c>
      <c r="M8" s="184">
        <f>Plantilla!AB8</f>
        <v>8.8633333333333315</v>
      </c>
      <c r="N8" s="184">
        <f>Plantilla!AC8</f>
        <v>2.95</v>
      </c>
      <c r="O8" s="184">
        <f>Plantilla!AD8</f>
        <v>13.33611111111111</v>
      </c>
      <c r="P8" s="146">
        <f t="shared" si="21"/>
        <v>32</v>
      </c>
      <c r="Q8" s="147">
        <f t="shared" ca="1" si="22"/>
        <v>57</v>
      </c>
      <c r="R8" s="92">
        <f t="shared" si="5"/>
        <v>6.4</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Plantilla!A9</f>
        <v>#7</v>
      </c>
      <c r="B9" s="131" t="str">
        <f>Plantilla!B9</f>
        <v>DEF</v>
      </c>
      <c r="C9" s="90" t="str">
        <f>Plantilla!D9</f>
        <v>E. Romweber</v>
      </c>
      <c r="D9" s="133">
        <f>Plantilla!E9</f>
        <v>36</v>
      </c>
      <c r="E9" s="138">
        <f ca="1">Plantilla!F9</f>
        <v>4</v>
      </c>
      <c r="F9" s="134" t="str">
        <f>Plantilla!G9</f>
        <v>IMP</v>
      </c>
      <c r="G9" s="327">
        <f>Plantilla!H9</f>
        <v>0</v>
      </c>
      <c r="H9" s="102">
        <f>Plantilla!I9</f>
        <v>17.399999999999999</v>
      </c>
      <c r="I9" s="184">
        <f>Plantilla!X9</f>
        <v>0</v>
      </c>
      <c r="J9" s="184">
        <f>Plantilla!Y9</f>
        <v>11.95</v>
      </c>
      <c r="K9" s="184">
        <f>Plantilla!Z9</f>
        <v>11.95</v>
      </c>
      <c r="L9" s="184">
        <f>Plantilla!AA9</f>
        <v>11.95</v>
      </c>
      <c r="M9" s="184">
        <f>Plantilla!AB9</f>
        <v>9.9499999999999993</v>
      </c>
      <c r="N9" s="184">
        <f>Plantilla!AC9</f>
        <v>5.95</v>
      </c>
      <c r="O9" s="184">
        <f>Plantilla!AD9</f>
        <v>17.529999999999998</v>
      </c>
      <c r="P9" s="146">
        <f t="shared" si="21"/>
        <v>36</v>
      </c>
      <c r="Q9" s="147">
        <f t="shared" ca="1" si="22"/>
        <v>11</v>
      </c>
      <c r="R9" s="92">
        <f t="shared" si="5"/>
        <v>17.399999999999999</v>
      </c>
      <c r="S9" s="200">
        <f t="shared" si="14"/>
        <v>0</v>
      </c>
      <c r="T9" s="200">
        <f t="shared" si="15"/>
        <v>11.95</v>
      </c>
      <c r="U9" s="200">
        <f t="shared" si="16"/>
        <v>11.95</v>
      </c>
      <c r="V9" s="200">
        <f t="shared" si="17"/>
        <v>11.95</v>
      </c>
      <c r="W9" s="200">
        <f t="shared" si="18"/>
        <v>9.9499999999999993</v>
      </c>
      <c r="X9" s="200">
        <f t="shared" si="19"/>
        <v>5.95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Plantilla!A10</f>
        <v>#6</v>
      </c>
      <c r="B10" s="131" t="str">
        <f>Plantilla!B10</f>
        <v>DEF</v>
      </c>
      <c r="C10" s="90" t="str">
        <f>Plantilla!D10</f>
        <v>S. Buschelman</v>
      </c>
      <c r="D10" s="133">
        <f>Plantilla!E10</f>
        <v>34</v>
      </c>
      <c r="E10" s="138">
        <f ca="1">Plantilla!F10</f>
        <v>75</v>
      </c>
      <c r="F10" s="134" t="str">
        <f>Plantilla!G10</f>
        <v>TEC</v>
      </c>
      <c r="G10" s="327">
        <f>Plantilla!H10</f>
        <v>3</v>
      </c>
      <c r="H10" s="102">
        <f>Plantilla!I10</f>
        <v>14.9</v>
      </c>
      <c r="I10" s="184">
        <f>Plantilla!X10</f>
        <v>0</v>
      </c>
      <c r="J10" s="184">
        <f>Plantilla!Y10</f>
        <v>9.3036666666666648</v>
      </c>
      <c r="K10" s="184">
        <f>Plantilla!Z10</f>
        <v>14</v>
      </c>
      <c r="L10" s="184">
        <f>Plantilla!AA10</f>
        <v>12.945</v>
      </c>
      <c r="M10" s="184">
        <f>Plantilla!AB10</f>
        <v>9.9499999999999993</v>
      </c>
      <c r="N10" s="184">
        <f>Plantilla!AC10</f>
        <v>3.95</v>
      </c>
      <c r="O10" s="184">
        <f>Plantilla!AD10</f>
        <v>16</v>
      </c>
      <c r="P10" s="146">
        <f t="shared" si="21"/>
        <v>34</v>
      </c>
      <c r="Q10" s="147">
        <f t="shared" ca="1" si="22"/>
        <v>82</v>
      </c>
      <c r="R10" s="92">
        <f t="shared" si="5"/>
        <v>14.9</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678</v>
      </c>
      <c r="AI10" s="79" t="str">
        <f>C18</f>
        <v>R. Forsyth</v>
      </c>
      <c r="AJ10" s="164">
        <f>AA18*((0.27+0.135)/2)</f>
        <v>0</v>
      </c>
      <c r="AK10" s="164">
        <f>AJ10</f>
        <v>0</v>
      </c>
      <c r="AL10" s="164">
        <f>AA18*0.594</f>
        <v>0</v>
      </c>
      <c r="AM10" s="164">
        <f>AB18*0.944</f>
        <v>7.5519999999999978</v>
      </c>
      <c r="AN10" s="164">
        <f>AD16*0.188</f>
        <v>0</v>
      </c>
      <c r="AO10" s="164">
        <f>AN10</f>
        <v>0</v>
      </c>
      <c r="AP10" s="164">
        <f>AD16*0.507+AE16*0.31</f>
        <v>1.054</v>
      </c>
      <c r="AQ10" s="167">
        <f>(0.5*AE16+0.3*AF16)/10</f>
        <v>0.17</v>
      </c>
      <c r="AR10" s="167">
        <f>(0.4*AA16+0.3*AF16)/10</f>
        <v>0</v>
      </c>
      <c r="AS10" s="167">
        <v>0</v>
      </c>
      <c r="AT10" s="167">
        <v>0</v>
      </c>
    </row>
    <row r="11" spans="1:53" x14ac:dyDescent="0.25">
      <c r="A11" s="131" t="str">
        <f>Plantilla!A11</f>
        <v>#12</v>
      </c>
      <c r="B11" s="131" t="str">
        <f>Plantilla!B11</f>
        <v>DEF</v>
      </c>
      <c r="C11" s="90" t="str">
        <f>Plantilla!D11</f>
        <v>E. Gross</v>
      </c>
      <c r="D11" s="133">
        <f>Plantilla!E11</f>
        <v>35</v>
      </c>
      <c r="E11" s="138">
        <f ca="1">Plantilla!F11</f>
        <v>103</v>
      </c>
      <c r="F11" s="134"/>
      <c r="G11" s="327">
        <f>Plantilla!H11</f>
        <v>3</v>
      </c>
      <c r="H11" s="102">
        <f>Plantilla!I11</f>
        <v>13.2</v>
      </c>
      <c r="I11" s="184">
        <f>Plantilla!X11</f>
        <v>0</v>
      </c>
      <c r="J11" s="184">
        <f>Plantilla!Y11</f>
        <v>10.549999999999995</v>
      </c>
      <c r="K11" s="184">
        <f>Plantilla!Z11</f>
        <v>12.95</v>
      </c>
      <c r="L11" s="184">
        <f>Plantilla!AA11</f>
        <v>3.95</v>
      </c>
      <c r="M11" s="184">
        <f>Plantilla!AB11</f>
        <v>8.9499999999999993</v>
      </c>
      <c r="N11" s="184">
        <f>Plantilla!AC11</f>
        <v>0.95</v>
      </c>
      <c r="O11" s="184">
        <f>Plantilla!AD11</f>
        <v>17.3</v>
      </c>
      <c r="P11" s="146">
        <f t="shared" si="21"/>
        <v>35</v>
      </c>
      <c r="Q11" s="147">
        <f t="shared" ca="1" si="22"/>
        <v>110</v>
      </c>
      <c r="R11" s="92">
        <f t="shared" si="5"/>
        <v>13.2</v>
      </c>
      <c r="S11" s="200">
        <f t="shared" si="14"/>
        <v>0</v>
      </c>
      <c r="T11" s="200">
        <f t="shared" si="15"/>
        <v>10.549999999999995</v>
      </c>
      <c r="U11" s="200">
        <f t="shared" si="16"/>
        <v>12.95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8</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Plantilla!A12</f>
        <v>#23</v>
      </c>
      <c r="B12" s="131" t="str">
        <f>Plantilla!B12</f>
        <v>DEF</v>
      </c>
      <c r="C12" s="90" t="str">
        <f>Plantilla!D12</f>
        <v>W. Gelifini</v>
      </c>
      <c r="D12" s="133">
        <f>Plantilla!E12</f>
        <v>34</v>
      </c>
      <c r="E12" s="138">
        <f ca="1">Plantilla!F12</f>
        <v>28</v>
      </c>
      <c r="F12" s="134"/>
      <c r="G12" s="327">
        <f>Plantilla!H12</f>
        <v>2</v>
      </c>
      <c r="H12" s="102">
        <f>Plantilla!I12</f>
        <v>4.5</v>
      </c>
      <c r="I12" s="184">
        <f>Plantilla!X12</f>
        <v>0</v>
      </c>
      <c r="J12" s="184">
        <f>Plantilla!Y12</f>
        <v>5.6515555555555519</v>
      </c>
      <c r="K12" s="184">
        <f>Plantilla!Z12</f>
        <v>9</v>
      </c>
      <c r="L12" s="184">
        <f>Plantilla!AA12</f>
        <v>6.95</v>
      </c>
      <c r="M12" s="184">
        <f>Plantilla!AB12</f>
        <v>8.9499999999999993</v>
      </c>
      <c r="N12" s="184">
        <f>Plantilla!AC12</f>
        <v>2.95</v>
      </c>
      <c r="O12" s="184">
        <f>Plantilla!AD12</f>
        <v>12.847222222222223</v>
      </c>
      <c r="P12" s="146">
        <f t="shared" si="21"/>
        <v>34</v>
      </c>
      <c r="Q12" s="147">
        <f t="shared" ca="1" si="22"/>
        <v>35</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40" t="s">
        <v>679</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Plantilla!A13</f>
        <v>#17</v>
      </c>
      <c r="B13" s="131" t="str">
        <f>Plantilla!B13</f>
        <v>MED</v>
      </c>
      <c r="C13" s="90" t="str">
        <f>Plantilla!D13</f>
        <v>I. Vanags</v>
      </c>
      <c r="D13" s="133">
        <f>Plantilla!E13</f>
        <v>18</v>
      </c>
      <c r="E13" s="138">
        <f ca="1">Plantilla!F13</f>
        <v>98</v>
      </c>
      <c r="F13" s="134" t="str">
        <f>Plantilla!G13</f>
        <v>CAB</v>
      </c>
      <c r="G13" s="327">
        <f>Plantilla!H13</f>
        <v>4</v>
      </c>
      <c r="H13" s="102">
        <f>Plantilla!I13</f>
        <v>0.5</v>
      </c>
      <c r="I13" s="184">
        <f>Plantilla!X13</f>
        <v>0</v>
      </c>
      <c r="J13" s="184">
        <f>Plantilla!Y13</f>
        <v>4</v>
      </c>
      <c r="K13" s="184">
        <f>Plantilla!Z13</f>
        <v>8.1999999999999993</v>
      </c>
      <c r="L13" s="184">
        <f>Plantilla!AA13</f>
        <v>3</v>
      </c>
      <c r="M13" s="184">
        <f>Plantilla!AB13</f>
        <v>4</v>
      </c>
      <c r="N13" s="184">
        <f>Plantilla!AC13</f>
        <v>7</v>
      </c>
      <c r="O13" s="184">
        <f>Plantilla!AD13</f>
        <v>6</v>
      </c>
      <c r="P13" s="146">
        <f t="shared" si="21"/>
        <v>18</v>
      </c>
      <c r="Q13" s="147">
        <f t="shared" ca="1" si="22"/>
        <v>105</v>
      </c>
      <c r="R13" s="92">
        <f t="shared" si="5"/>
        <v>0.5</v>
      </c>
      <c r="S13" s="200">
        <f t="shared" ref="S13:S23" si="23">I13</f>
        <v>0</v>
      </c>
      <c r="T13" s="200">
        <f>J13+T$2/4</f>
        <v>4</v>
      </c>
      <c r="U13" s="200">
        <f>K13+U$2/5</f>
        <v>16.2</v>
      </c>
      <c r="V13" s="200">
        <f t="shared" ref="V13:V23" si="24">L13</f>
        <v>3</v>
      </c>
      <c r="W13" s="200">
        <f t="shared" ref="W13:W23" si="25">M13</f>
        <v>4</v>
      </c>
      <c r="X13" s="200">
        <f>N13+X$2/5</f>
        <v>10.4</v>
      </c>
      <c r="Y13" s="200">
        <f>O13+Y$2/1</f>
        <v>6</v>
      </c>
      <c r="Z13" s="156">
        <f t="shared" si="7"/>
        <v>0</v>
      </c>
      <c r="AA13" s="156">
        <f t="shared" si="8"/>
        <v>0</v>
      </c>
      <c r="AB13" s="156">
        <f t="shared" si="9"/>
        <v>8</v>
      </c>
      <c r="AC13" s="156">
        <f t="shared" si="10"/>
        <v>0</v>
      </c>
      <c r="AD13" s="156">
        <f t="shared" si="11"/>
        <v>0</v>
      </c>
      <c r="AE13" s="156">
        <f t="shared" si="12"/>
        <v>3.4000000000000004</v>
      </c>
      <c r="AF13" s="156">
        <f t="shared" si="13"/>
        <v>0</v>
      </c>
      <c r="AH13" s="640" t="s">
        <v>679</v>
      </c>
      <c r="AI13" s="99" t="str">
        <f>C16</f>
        <v>M. Bondarewski</v>
      </c>
      <c r="AJ13" s="162">
        <v>0</v>
      </c>
      <c r="AK13" s="162">
        <f>AA16*0.284</f>
        <v>0</v>
      </c>
      <c r="AL13" s="164">
        <f>AA16*0.244</f>
        <v>0</v>
      </c>
      <c r="AM13" s="162">
        <f>AB16*0.631</f>
        <v>5.0479999999999992</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Plantilla!A14</f>
        <v>#8</v>
      </c>
      <c r="B14" s="131" t="str">
        <f>Plantilla!B14</f>
        <v>MED</v>
      </c>
      <c r="C14" s="90" t="str">
        <f>Plantilla!D14</f>
        <v>I. Stone</v>
      </c>
      <c r="D14" s="133">
        <f>Plantilla!E14</f>
        <v>18</v>
      </c>
      <c r="E14" s="138">
        <f ca="1">Plantilla!F14</f>
        <v>41</v>
      </c>
      <c r="F14" s="134" t="str">
        <f>Plantilla!G14</f>
        <v>RAP</v>
      </c>
      <c r="G14" s="327">
        <f>Plantilla!H14</f>
        <v>6</v>
      </c>
      <c r="H14" s="102">
        <f>Plantilla!I14</f>
        <v>1.4</v>
      </c>
      <c r="I14" s="184">
        <f>Plantilla!X14</f>
        <v>0</v>
      </c>
      <c r="J14" s="184">
        <f>Plantilla!Y14</f>
        <v>3</v>
      </c>
      <c r="K14" s="184">
        <f>Plantilla!Z14</f>
        <v>6.75</v>
      </c>
      <c r="L14" s="184">
        <f>Plantilla!AA14</f>
        <v>2</v>
      </c>
      <c r="M14" s="184">
        <f>Plantilla!AB14</f>
        <v>6</v>
      </c>
      <c r="N14" s="184">
        <f>Plantilla!AC14</f>
        <v>9</v>
      </c>
      <c r="O14" s="184">
        <f>Plantilla!AD14</f>
        <v>2</v>
      </c>
      <c r="P14" s="146">
        <f t="shared" si="21"/>
        <v>18</v>
      </c>
      <c r="Q14" s="147">
        <f t="shared" ca="1" si="22"/>
        <v>48</v>
      </c>
      <c r="R14" s="92">
        <f t="shared" si="5"/>
        <v>1.4</v>
      </c>
      <c r="S14" s="200">
        <f t="shared" si="23"/>
        <v>0</v>
      </c>
      <c r="T14" s="200">
        <f>J14+T$2/3</f>
        <v>3</v>
      </c>
      <c r="U14" s="200">
        <f t="shared" ref="U14" si="26">K14+U$2/4</f>
        <v>16.75</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40"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Plantilla!A15</f>
        <v>#14</v>
      </c>
      <c r="B15" s="131" t="str">
        <f>Plantilla!B15</f>
        <v>MED</v>
      </c>
      <c r="C15" s="90" t="str">
        <f>Plantilla!D15</f>
        <v>G. Piscaer</v>
      </c>
      <c r="D15" s="133">
        <f>Plantilla!E15</f>
        <v>19</v>
      </c>
      <c r="E15" s="138">
        <f ca="1">Plantilla!F15</f>
        <v>2</v>
      </c>
      <c r="F15" s="134" t="str">
        <f>Plantilla!G15</f>
        <v>IMP</v>
      </c>
      <c r="G15" s="327">
        <f>Plantilla!H15</f>
        <v>1</v>
      </c>
      <c r="H15" s="102">
        <f>Plantilla!I15</f>
        <v>1.9</v>
      </c>
      <c r="I15" s="184">
        <f>Plantilla!X15</f>
        <v>0</v>
      </c>
      <c r="J15" s="184">
        <f>Plantilla!Y15</f>
        <v>4</v>
      </c>
      <c r="K15" s="184">
        <f>Plantilla!Z15</f>
        <v>9</v>
      </c>
      <c r="L15" s="184">
        <f>Plantilla!AA15</f>
        <v>3</v>
      </c>
      <c r="M15" s="184">
        <f>Plantilla!AB15</f>
        <v>2</v>
      </c>
      <c r="N15" s="184">
        <f>Plantilla!AC15</f>
        <v>8</v>
      </c>
      <c r="O15" s="184">
        <f>Plantilla!AD15</f>
        <v>0</v>
      </c>
      <c r="P15" s="146">
        <f t="shared" si="21"/>
        <v>19</v>
      </c>
      <c r="Q15" s="147">
        <f t="shared" ca="1" si="22"/>
        <v>9</v>
      </c>
      <c r="R15" s="92">
        <f t="shared" si="5"/>
        <v>1.9</v>
      </c>
      <c r="S15" s="200">
        <f t="shared" si="23"/>
        <v>0</v>
      </c>
      <c r="T15" s="200">
        <f>J15+T$2/4</f>
        <v>4</v>
      </c>
      <c r="U15" s="200">
        <f>K15+U$2/5</f>
        <v>17</v>
      </c>
      <c r="V15" s="200">
        <f t="shared" si="24"/>
        <v>3</v>
      </c>
      <c r="W15" s="200">
        <f t="shared" si="25"/>
        <v>2</v>
      </c>
      <c r="X15" s="200">
        <f t="shared" ref="X15:X20" si="28">N15+X$2/5</f>
        <v>11.4</v>
      </c>
      <c r="Y15" s="200">
        <f t="shared" si="27"/>
        <v>0</v>
      </c>
      <c r="Z15" s="156">
        <f t="shared" si="7"/>
        <v>0</v>
      </c>
      <c r="AA15" s="156">
        <f t="shared" si="8"/>
        <v>0</v>
      </c>
      <c r="AB15" s="156">
        <f t="shared" si="9"/>
        <v>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Plantilla!A16</f>
        <v>#3</v>
      </c>
      <c r="B16" s="131" t="str">
        <f>Plantilla!B16</f>
        <v>MED</v>
      </c>
      <c r="C16" s="90" t="str">
        <f>Plantilla!D16</f>
        <v>M. Bondarewski</v>
      </c>
      <c r="D16" s="133">
        <f>Plantilla!E16</f>
        <v>19</v>
      </c>
      <c r="E16" s="138">
        <f ca="1">Plantilla!F16</f>
        <v>2</v>
      </c>
      <c r="F16" s="134" t="str">
        <f>Plantilla!G16</f>
        <v>RAP</v>
      </c>
      <c r="G16" s="327">
        <f>Plantilla!H16</f>
        <v>1</v>
      </c>
      <c r="H16" s="102">
        <f>Plantilla!I16</f>
        <v>1.8</v>
      </c>
      <c r="I16" s="184">
        <f>Plantilla!X16</f>
        <v>0</v>
      </c>
      <c r="J16" s="184">
        <f>Plantilla!Y16</f>
        <v>2</v>
      </c>
      <c r="K16" s="184">
        <f>Plantilla!Z16</f>
        <v>9.1666666666666661</v>
      </c>
      <c r="L16" s="184">
        <f>Plantilla!AA16</f>
        <v>5</v>
      </c>
      <c r="M16" s="184">
        <f>Plantilla!AB16</f>
        <v>4</v>
      </c>
      <c r="N16" s="184">
        <f>Plantilla!AC16</f>
        <v>8</v>
      </c>
      <c r="O16" s="184">
        <f>Plantilla!AD16</f>
        <v>6</v>
      </c>
      <c r="P16" s="146">
        <f t="shared" si="21"/>
        <v>19</v>
      </c>
      <c r="Q16" s="147">
        <f t="shared" ca="1" si="22"/>
        <v>9</v>
      </c>
      <c r="R16" s="92">
        <f t="shared" si="5"/>
        <v>1.8</v>
      </c>
      <c r="S16" s="200">
        <f t="shared" si="23"/>
        <v>0</v>
      </c>
      <c r="T16" s="200">
        <f>J16+T$2/3</f>
        <v>2</v>
      </c>
      <c r="U16" s="200">
        <f>K16+U$2/5</f>
        <v>17.166666666666664</v>
      </c>
      <c r="V16" s="200">
        <f t="shared" si="24"/>
        <v>5</v>
      </c>
      <c r="W16" s="200">
        <f t="shared" si="25"/>
        <v>4</v>
      </c>
      <c r="X16" s="200">
        <f t="shared" si="28"/>
        <v>11.4</v>
      </c>
      <c r="Y16" s="200">
        <f t="shared" si="27"/>
        <v>6</v>
      </c>
      <c r="Z16" s="156">
        <f t="shared" si="7"/>
        <v>0</v>
      </c>
      <c r="AA16" s="156">
        <f t="shared" si="8"/>
        <v>0</v>
      </c>
      <c r="AB16" s="156">
        <f t="shared" si="9"/>
        <v>7.9999999999999982</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Plantilla!A21</f>
        <v>#18</v>
      </c>
      <c r="B17" s="131" t="str">
        <f>Plantilla!B21</f>
        <v>EXT</v>
      </c>
      <c r="C17" s="90" t="str">
        <f>Plantilla!D21</f>
        <v>J. Vartiainen</v>
      </c>
      <c r="D17" s="133">
        <f>Plantilla!E21</f>
        <v>19</v>
      </c>
      <c r="E17" s="138">
        <f ca="1">Plantilla!F21</f>
        <v>48</v>
      </c>
      <c r="F17" s="134" t="str">
        <f>Plantilla!G21</f>
        <v>CAB</v>
      </c>
      <c r="G17" s="327">
        <f>Plantilla!H21</f>
        <v>4</v>
      </c>
      <c r="H17" s="102">
        <f>Plantilla!I21</f>
        <v>0.4</v>
      </c>
      <c r="I17" s="184">
        <f>Plantilla!X21</f>
        <v>0</v>
      </c>
      <c r="J17" s="184">
        <f>Plantilla!Y21</f>
        <v>7</v>
      </c>
      <c r="K17" s="184">
        <f>Plantilla!Z21</f>
        <v>8.1999999999999993</v>
      </c>
      <c r="L17" s="184">
        <f>Plantilla!AA21</f>
        <v>1</v>
      </c>
      <c r="M17" s="184">
        <f>Plantilla!AB21</f>
        <v>1</v>
      </c>
      <c r="N17" s="184">
        <f>Plantilla!AC21</f>
        <v>6</v>
      </c>
      <c r="O17" s="184">
        <f>Plantilla!AD21</f>
        <v>1</v>
      </c>
      <c r="P17" s="146">
        <f t="shared" si="21"/>
        <v>19</v>
      </c>
      <c r="Q17" s="147">
        <f t="shared" ca="1" si="22"/>
        <v>55</v>
      </c>
      <c r="R17" s="92">
        <f t="shared" si="5"/>
        <v>0.4</v>
      </c>
      <c r="S17" s="200">
        <f t="shared" si="23"/>
        <v>0</v>
      </c>
      <c r="T17" s="200">
        <f>J17+T$2/5</f>
        <v>7</v>
      </c>
      <c r="U17" s="200">
        <f>K17+U$2/5</f>
        <v>16.2</v>
      </c>
      <c r="V17" s="200">
        <f t="shared" si="24"/>
        <v>1</v>
      </c>
      <c r="W17" s="200">
        <f t="shared" si="25"/>
        <v>1</v>
      </c>
      <c r="X17" s="200">
        <f>N17+X$2/4</f>
        <v>10.25</v>
      </c>
      <c r="Y17" s="200">
        <f t="shared" si="27"/>
        <v>1</v>
      </c>
      <c r="Z17" s="156">
        <f t="shared" si="7"/>
        <v>0</v>
      </c>
      <c r="AA17" s="156">
        <f t="shared" si="8"/>
        <v>0</v>
      </c>
      <c r="AB17" s="156">
        <f t="shared" si="9"/>
        <v>8</v>
      </c>
      <c r="AC17" s="156">
        <f t="shared" si="10"/>
        <v>0</v>
      </c>
      <c r="AD17" s="156">
        <f t="shared" si="11"/>
        <v>0</v>
      </c>
      <c r="AE17" s="156">
        <f t="shared" si="12"/>
        <v>4.25</v>
      </c>
      <c r="AF17" s="156">
        <f t="shared" si="13"/>
        <v>0</v>
      </c>
      <c r="AH17" s="694">
        <v>550</v>
      </c>
      <c r="AI17" s="695"/>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Plantilla!A18</f>
        <v>#16</v>
      </c>
      <c r="B18" s="131" t="str">
        <f>Plantilla!B18</f>
        <v>MED</v>
      </c>
      <c r="C18" s="90" t="str">
        <f>Plantilla!D18</f>
        <v>R. Forsyth</v>
      </c>
      <c r="D18" s="133">
        <f>Plantilla!E18</f>
        <v>19</v>
      </c>
      <c r="E18" s="138">
        <f ca="1">Plantilla!F18</f>
        <v>43</v>
      </c>
      <c r="F18" s="134" t="str">
        <f>Plantilla!G18</f>
        <v>POT</v>
      </c>
      <c r="G18" s="327">
        <f>Plantilla!H18</f>
        <v>4</v>
      </c>
      <c r="H18" s="102">
        <f>Plantilla!I18</f>
        <v>2.1</v>
      </c>
      <c r="I18" s="184">
        <f>Plantilla!X18</f>
        <v>0</v>
      </c>
      <c r="J18" s="184">
        <f>Plantilla!Y18</f>
        <v>7</v>
      </c>
      <c r="K18" s="184">
        <f>Plantilla!Z18</f>
        <v>8.4</v>
      </c>
      <c r="L18" s="184">
        <f>Plantilla!AA18</f>
        <v>2</v>
      </c>
      <c r="M18" s="184">
        <f>Plantilla!AB18</f>
        <v>4</v>
      </c>
      <c r="N18" s="184">
        <f>Plantilla!AC18</f>
        <v>6</v>
      </c>
      <c r="O18" s="184">
        <f>Plantilla!AD18</f>
        <v>2</v>
      </c>
      <c r="P18" s="146">
        <f t="shared" si="21"/>
        <v>19</v>
      </c>
      <c r="Q18" s="147">
        <f t="shared" ca="1" si="22"/>
        <v>50</v>
      </c>
      <c r="R18" s="92">
        <f t="shared" si="5"/>
        <v>2.1</v>
      </c>
      <c r="S18" s="200">
        <f t="shared" si="23"/>
        <v>0</v>
      </c>
      <c r="T18" s="200">
        <f>J18+T$2/5</f>
        <v>7</v>
      </c>
      <c r="U18" s="200">
        <f>K18+U$2/5</f>
        <v>16.399999999999999</v>
      </c>
      <c r="V18" s="200">
        <f t="shared" si="24"/>
        <v>2</v>
      </c>
      <c r="W18" s="200">
        <f t="shared" si="25"/>
        <v>4</v>
      </c>
      <c r="X18" s="200">
        <f>N18+X$2/4</f>
        <v>10.25</v>
      </c>
      <c r="Y18" s="200">
        <f t="shared" si="27"/>
        <v>2</v>
      </c>
      <c r="Z18" s="156">
        <f t="shared" si="7"/>
        <v>0</v>
      </c>
      <c r="AA18" s="156">
        <f t="shared" si="8"/>
        <v>0</v>
      </c>
      <c r="AB18" s="156">
        <f t="shared" si="9"/>
        <v>7.9999999999999982</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Plantilla!A19</f>
        <v>#21</v>
      </c>
      <c r="B19" s="131" t="str">
        <f>Plantilla!B19</f>
        <v>EXT</v>
      </c>
      <c r="C19" s="90" t="str">
        <f>Plantilla!D19</f>
        <v>M. Grupinski</v>
      </c>
      <c r="D19" s="133">
        <f>Plantilla!E19</f>
        <v>23</v>
      </c>
      <c r="E19" s="138">
        <f ca="1">Plantilla!F19</f>
        <v>1</v>
      </c>
      <c r="F19" s="134" t="str">
        <f>Plantilla!G19</f>
        <v>CAB</v>
      </c>
      <c r="G19" s="327">
        <f>Plantilla!H19</f>
        <v>5</v>
      </c>
      <c r="H19" s="102">
        <f>Plantilla!I19</f>
        <v>1.8</v>
      </c>
      <c r="I19" s="184">
        <f>Plantilla!X19</f>
        <v>0</v>
      </c>
      <c r="J19" s="184">
        <f>Plantilla!Y19</f>
        <v>3</v>
      </c>
      <c r="K19" s="184">
        <f>Plantilla!Z19</f>
        <v>8.1818181818181817</v>
      </c>
      <c r="L19" s="184">
        <f>Plantilla!AA19</f>
        <v>9</v>
      </c>
      <c r="M19" s="184">
        <f>Plantilla!AB19</f>
        <v>6</v>
      </c>
      <c r="N19" s="184">
        <f>Plantilla!AC19</f>
        <v>3</v>
      </c>
      <c r="O19" s="184">
        <f>Plantilla!AD19</f>
        <v>3</v>
      </c>
      <c r="P19" s="146">
        <f t="shared" si="21"/>
        <v>23</v>
      </c>
      <c r="Q19" s="147">
        <f t="shared" ca="1" si="22"/>
        <v>8</v>
      </c>
      <c r="R19" s="92">
        <f t="shared" si="5"/>
        <v>1.8</v>
      </c>
      <c r="S19" s="200">
        <f t="shared" si="23"/>
        <v>0</v>
      </c>
      <c r="T19" s="200">
        <f>J19+T$2/4</f>
        <v>3</v>
      </c>
      <c r="U19" s="200">
        <f>K19+U$2/4</f>
        <v>18.18181818181818</v>
      </c>
      <c r="V19" s="200">
        <f t="shared" si="24"/>
        <v>9</v>
      </c>
      <c r="W19" s="200">
        <f t="shared" si="25"/>
        <v>6</v>
      </c>
      <c r="X19" s="200">
        <f>N19+X$2/6</f>
        <v>5.8333333333333339</v>
      </c>
      <c r="Y19" s="200">
        <f t="shared" si="27"/>
        <v>3</v>
      </c>
      <c r="Z19" s="156">
        <f t="shared" si="7"/>
        <v>0</v>
      </c>
      <c r="AA19" s="156">
        <f t="shared" si="8"/>
        <v>0</v>
      </c>
      <c r="AB19" s="156">
        <f t="shared" si="9"/>
        <v>9.9999999999999982</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Plantilla!A20</f>
        <v>#19</v>
      </c>
      <c r="B20" s="131" t="str">
        <f>Plantilla!B20</f>
        <v>EXT</v>
      </c>
      <c r="C20" s="90" t="str">
        <f>Plantilla!D20</f>
        <v>V. Godoi</v>
      </c>
      <c r="D20" s="133">
        <f>Plantilla!E20</f>
        <v>26</v>
      </c>
      <c r="E20" s="138">
        <f ca="1">Plantilla!F20</f>
        <v>7</v>
      </c>
      <c r="F20" s="134"/>
      <c r="G20" s="327">
        <f>Plantilla!H20</f>
        <v>5</v>
      </c>
      <c r="H20" s="102">
        <f>Plantilla!I20</f>
        <v>4.5999999999999996</v>
      </c>
      <c r="I20" s="184">
        <f>Plantilla!X20</f>
        <v>0</v>
      </c>
      <c r="J20" s="184">
        <f>Plantilla!Y20</f>
        <v>3</v>
      </c>
      <c r="K20" s="184">
        <f>Plantilla!Z20</f>
        <v>9.3076923076923084</v>
      </c>
      <c r="L20" s="184">
        <f>Plantilla!AA20</f>
        <v>9</v>
      </c>
      <c r="M20" s="184">
        <f>Plantilla!AB20</f>
        <v>5</v>
      </c>
      <c r="N20" s="184">
        <f>Plantilla!AC20</f>
        <v>5</v>
      </c>
      <c r="O20" s="184">
        <f>Plantilla!AD20</f>
        <v>1</v>
      </c>
      <c r="P20" s="146">
        <f t="shared" si="21"/>
        <v>26</v>
      </c>
      <c r="Q20" s="147">
        <f t="shared" ca="1" si="22"/>
        <v>14</v>
      </c>
      <c r="R20" s="92">
        <f t="shared" si="5"/>
        <v>4.5999999999999996</v>
      </c>
      <c r="S20" s="200">
        <f t="shared" si="23"/>
        <v>0</v>
      </c>
      <c r="T20" s="200">
        <f>J20+T$2/3</f>
        <v>3</v>
      </c>
      <c r="U20" s="200">
        <f>K20+U$2/5</f>
        <v>17.307692307692307</v>
      </c>
      <c r="V20" s="200">
        <f t="shared" si="24"/>
        <v>9</v>
      </c>
      <c r="W20" s="200">
        <f t="shared" si="25"/>
        <v>5</v>
      </c>
      <c r="X20" s="200">
        <f t="shared" si="28"/>
        <v>8.4</v>
      </c>
      <c r="Y20" s="200">
        <f t="shared" si="27"/>
        <v>1</v>
      </c>
      <c r="Z20" s="156">
        <f t="shared" si="7"/>
        <v>0</v>
      </c>
      <c r="AA20" s="156">
        <f t="shared" si="8"/>
        <v>0</v>
      </c>
      <c r="AB20" s="156">
        <f t="shared" si="9"/>
        <v>7.9999999999999982</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Plantilla!A17</f>
        <v>#20</v>
      </c>
      <c r="B21" s="131" t="str">
        <f>Plantilla!B17</f>
        <v>MED</v>
      </c>
      <c r="C21" s="90" t="str">
        <f>Plantilla!D17</f>
        <v>P. Tuderek</v>
      </c>
      <c r="D21" s="133">
        <f>Plantilla!E17</f>
        <v>18</v>
      </c>
      <c r="E21" s="138">
        <f ca="1">Plantilla!F17</f>
        <v>100</v>
      </c>
      <c r="F21" s="134" t="str">
        <f>Plantilla!G17</f>
        <v>CAB</v>
      </c>
      <c r="G21" s="327">
        <f>Plantilla!H17</f>
        <v>4</v>
      </c>
      <c r="H21" s="102">
        <f>Plantilla!I17</f>
        <v>1.2</v>
      </c>
      <c r="I21" s="184">
        <f>Plantilla!X17</f>
        <v>0</v>
      </c>
      <c r="J21" s="184">
        <f>Plantilla!Y17</f>
        <v>6</v>
      </c>
      <c r="K21" s="184">
        <f>Plantilla!Z17</f>
        <v>7</v>
      </c>
      <c r="L21" s="184">
        <f>Plantilla!AA17</f>
        <v>2</v>
      </c>
      <c r="M21" s="184">
        <f>Plantilla!AB17</f>
        <v>3</v>
      </c>
      <c r="N21" s="184">
        <f>Plantilla!AC17</f>
        <v>6</v>
      </c>
      <c r="O21" s="184">
        <f>Plantilla!AD17</f>
        <v>8</v>
      </c>
      <c r="P21" s="146">
        <f t="shared" si="21"/>
        <v>18</v>
      </c>
      <c r="Q21" s="147">
        <f t="shared" ca="1" si="22"/>
        <v>107</v>
      </c>
      <c r="R21" s="92">
        <f t="shared" si="5"/>
        <v>1.2</v>
      </c>
      <c r="S21" s="200">
        <f t="shared" si="23"/>
        <v>0</v>
      </c>
      <c r="T21" s="200">
        <f>J21+T$2/5</f>
        <v>6</v>
      </c>
      <c r="U21" s="200">
        <f>K21+U$2/4</f>
        <v>17</v>
      </c>
      <c r="V21" s="200">
        <f t="shared" si="24"/>
        <v>2</v>
      </c>
      <c r="W21" s="200">
        <f t="shared" si="25"/>
        <v>3</v>
      </c>
      <c r="X21" s="200">
        <f>N21+X$2/4</f>
        <v>10.25</v>
      </c>
      <c r="Y21" s="200">
        <f t="shared" si="27"/>
        <v>8</v>
      </c>
      <c r="Z21" s="156">
        <f t="shared" si="7"/>
        <v>0</v>
      </c>
      <c r="AA21" s="156">
        <f t="shared" si="8"/>
        <v>0</v>
      </c>
      <c r="AB21" s="156">
        <f t="shared" si="9"/>
        <v>10</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Plantilla!A22</f>
        <v>#18</v>
      </c>
      <c r="B22" s="131" t="str">
        <f>Plantilla!B22</f>
        <v>EXT</v>
      </c>
      <c r="C22" s="90" t="str">
        <f>Plantilla!D22</f>
        <v>G. Stoychev</v>
      </c>
      <c r="D22" s="133">
        <f>Plantilla!E22</f>
        <v>24</v>
      </c>
      <c r="E22" s="138">
        <f ca="1">Plantilla!F22</f>
        <v>3</v>
      </c>
      <c r="F22" s="134" t="str">
        <f>Plantilla!G22</f>
        <v>IMP</v>
      </c>
      <c r="G22" s="327">
        <f>Plantilla!H22</f>
        <v>3</v>
      </c>
      <c r="H22" s="102">
        <f>Plantilla!I22</f>
        <v>3.7</v>
      </c>
      <c r="I22" s="184">
        <f>Plantilla!X22</f>
        <v>0</v>
      </c>
      <c r="J22" s="184">
        <f>Plantilla!Y22</f>
        <v>9</v>
      </c>
      <c r="K22" s="184">
        <f>Plantilla!Z22</f>
        <v>8.1818181818181817</v>
      </c>
      <c r="L22" s="184">
        <f>Plantilla!AA22</f>
        <v>9</v>
      </c>
      <c r="M22" s="184">
        <f>Plantilla!AB22</f>
        <v>5</v>
      </c>
      <c r="N22" s="184">
        <f>Plantilla!AC22</f>
        <v>5</v>
      </c>
      <c r="O22" s="184">
        <f>Plantilla!AD22</f>
        <v>3</v>
      </c>
      <c r="P22" s="146">
        <f t="shared" si="21"/>
        <v>24</v>
      </c>
      <c r="Q22" s="147">
        <f t="shared" ca="1" si="22"/>
        <v>10</v>
      </c>
      <c r="R22" s="92">
        <f t="shared" si="5"/>
        <v>3.7</v>
      </c>
      <c r="S22" s="200">
        <f t="shared" si="23"/>
        <v>0</v>
      </c>
      <c r="T22" s="200">
        <f>J22+T$2/4</f>
        <v>9</v>
      </c>
      <c r="U22" s="200">
        <f>K22+U$2/4</f>
        <v>18.18181818181818</v>
      </c>
      <c r="V22" s="200">
        <f t="shared" si="24"/>
        <v>9</v>
      </c>
      <c r="W22" s="200">
        <f t="shared" si="25"/>
        <v>5</v>
      </c>
      <c r="X22" s="200">
        <f>N22+X$2/6</f>
        <v>7.8333333333333339</v>
      </c>
      <c r="Y22" s="200">
        <f t="shared" si="27"/>
        <v>3</v>
      </c>
      <c r="Z22" s="156">
        <f t="shared" si="7"/>
        <v>0</v>
      </c>
      <c r="AA22" s="156">
        <f t="shared" si="8"/>
        <v>0</v>
      </c>
      <c r="AB22" s="156">
        <f t="shared" si="9"/>
        <v>9.9999999999999982</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Plantilla!A23</f>
        <v>#11</v>
      </c>
      <c r="B23" s="131" t="str">
        <f>Plantilla!B23</f>
        <v>DAV</v>
      </c>
      <c r="C23" s="90" t="str">
        <f>Plantilla!D23</f>
        <v>K. Helms</v>
      </c>
      <c r="D23" s="133">
        <f>Plantilla!E23</f>
        <v>35</v>
      </c>
      <c r="E23" s="138">
        <f ca="1">Plantilla!F23</f>
        <v>63</v>
      </c>
      <c r="F23" s="134" t="str">
        <f>Plantilla!G23</f>
        <v>TEC</v>
      </c>
      <c r="G23" s="327">
        <f>Plantilla!H23</f>
        <v>2</v>
      </c>
      <c r="H23" s="102">
        <f>Plantilla!I23</f>
        <v>13.6</v>
      </c>
      <c r="I23" s="184">
        <f>Plantilla!X23</f>
        <v>0</v>
      </c>
      <c r="J23" s="184">
        <f>Plantilla!Y23</f>
        <v>7.2503030303030309</v>
      </c>
      <c r="K23" s="184">
        <f>Plantilla!Z23</f>
        <v>10.600000000000005</v>
      </c>
      <c r="L23" s="184">
        <f>Plantilla!AA23</f>
        <v>12.95</v>
      </c>
      <c r="M23" s="184">
        <f>Plantilla!AB23</f>
        <v>9.9499999999999993</v>
      </c>
      <c r="N23" s="184">
        <f>Plantilla!AC23</f>
        <v>3.95</v>
      </c>
      <c r="O23" s="184">
        <f>Plantilla!AD23</f>
        <v>18</v>
      </c>
      <c r="P23" s="146">
        <f t="shared" si="21"/>
        <v>35</v>
      </c>
      <c r="Q23" s="147">
        <f t="shared" ca="1" si="22"/>
        <v>70</v>
      </c>
      <c r="R23" s="92">
        <f t="shared" si="5"/>
        <v>13.6</v>
      </c>
      <c r="S23" s="200">
        <f t="shared" si="23"/>
        <v>0</v>
      </c>
      <c r="T23" s="200">
        <f t="shared" ref="T23" si="33">J23</f>
        <v>7.2503030303030309</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Plantilla!A24</f>
        <v>#10</v>
      </c>
      <c r="B24" s="131" t="str">
        <f>Plantilla!B24</f>
        <v>DAV</v>
      </c>
      <c r="C24" s="90" t="str">
        <f>Plantilla!D24</f>
        <v>S. Zobbe</v>
      </c>
      <c r="D24" s="133">
        <f>Plantilla!E24</f>
        <v>32</v>
      </c>
      <c r="E24" s="138">
        <f ca="1">Plantilla!F24</f>
        <v>78</v>
      </c>
      <c r="F24" s="134" t="str">
        <f>Plantilla!G24</f>
        <v>CAB</v>
      </c>
      <c r="G24" s="327">
        <f>Plantilla!H24</f>
        <v>2</v>
      </c>
      <c r="H24" s="102">
        <f>Plantilla!I24</f>
        <v>13.3</v>
      </c>
      <c r="I24" s="184">
        <f>Plantilla!X24</f>
        <v>0</v>
      </c>
      <c r="J24" s="184">
        <f>Plantilla!Y24</f>
        <v>8.3599999999999977</v>
      </c>
      <c r="K24" s="184">
        <f>Plantilla!Z24</f>
        <v>12.253412698412699</v>
      </c>
      <c r="L24" s="184">
        <f>Plantilla!AA24</f>
        <v>12.95</v>
      </c>
      <c r="M24" s="184">
        <f>Plantilla!AB24</f>
        <v>10.24</v>
      </c>
      <c r="N24" s="184">
        <f>Plantilla!AC24</f>
        <v>6.95</v>
      </c>
      <c r="O24" s="184">
        <f>Plantilla!AD24</f>
        <v>16</v>
      </c>
      <c r="P24" s="146">
        <f t="shared" si="21"/>
        <v>32</v>
      </c>
      <c r="Q24" s="147">
        <f t="shared" ca="1" si="22"/>
        <v>85</v>
      </c>
      <c r="R24" s="92">
        <f t="shared" si="5"/>
        <v>13.3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Plantilla!A25</f>
        <v>#5</v>
      </c>
      <c r="B25" s="131" t="str">
        <f>Plantilla!B25</f>
        <v>DAV</v>
      </c>
      <c r="C25" s="90" t="str">
        <f>Plantilla!D25</f>
        <v>L. Bauman</v>
      </c>
      <c r="D25" s="133">
        <f>Plantilla!E25</f>
        <v>35</v>
      </c>
      <c r="E25" s="138">
        <f ca="1">Plantilla!F25</f>
        <v>78</v>
      </c>
      <c r="F25" s="134"/>
      <c r="G25" s="327">
        <f>Plantilla!H25</f>
        <v>0</v>
      </c>
      <c r="H25" s="102">
        <f>Plantilla!I25</f>
        <v>12.2</v>
      </c>
      <c r="I25" s="184">
        <f>Plantilla!X25</f>
        <v>0</v>
      </c>
      <c r="J25" s="184">
        <f>Plantilla!Y25</f>
        <v>5.95</v>
      </c>
      <c r="K25" s="184">
        <f>Plantilla!Z25</f>
        <v>13.95</v>
      </c>
      <c r="L25" s="184">
        <f>Plantilla!AA25</f>
        <v>2.95</v>
      </c>
      <c r="M25" s="184">
        <f>Plantilla!AB25</f>
        <v>8.9499999999999993</v>
      </c>
      <c r="N25" s="184">
        <f>Plantilla!AC25</f>
        <v>5.95</v>
      </c>
      <c r="O25" s="184">
        <f>Plantilla!AD25</f>
        <v>16.95</v>
      </c>
      <c r="P25" s="146">
        <f t="shared" si="21"/>
        <v>35</v>
      </c>
      <c r="Q25" s="147">
        <f t="shared" ca="1" si="22"/>
        <v>85</v>
      </c>
      <c r="R25" s="92">
        <f t="shared" si="5"/>
        <v>12.2</v>
      </c>
      <c r="S25" s="200">
        <f t="shared" si="38"/>
        <v>0</v>
      </c>
      <c r="T25" s="200">
        <f t="shared" si="39"/>
        <v>5.95</v>
      </c>
      <c r="U25" s="200">
        <f t="shared" si="40"/>
        <v>13.95</v>
      </c>
      <c r="V25" s="200">
        <f t="shared" si="41"/>
        <v>2.95</v>
      </c>
      <c r="W25" s="200">
        <f t="shared" si="42"/>
        <v>8.9499999999999993</v>
      </c>
      <c r="X25" s="200">
        <f t="shared" si="43"/>
        <v>5.95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678</v>
      </c>
      <c r="AI25" s="79" t="str">
        <f t="shared" ref="AI25:AM28" si="48">AI10</f>
        <v>R. Forsyth</v>
      </c>
      <c r="AJ25" s="164">
        <f t="shared" si="48"/>
        <v>0</v>
      </c>
      <c r="AK25" s="164">
        <f t="shared" si="48"/>
        <v>0</v>
      </c>
      <c r="AL25" s="164">
        <f t="shared" si="48"/>
        <v>0</v>
      </c>
      <c r="AM25" s="164">
        <f t="shared" si="48"/>
        <v>7.5519999999999978</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Plantilla!A26</f>
        <v>#9</v>
      </c>
      <c r="B26" s="131" t="str">
        <f>Plantilla!B26</f>
        <v>DAV</v>
      </c>
      <c r="C26" s="90" t="str">
        <f>Plantilla!D26</f>
        <v>J. Limon</v>
      </c>
      <c r="D26" s="133">
        <f>Plantilla!E26</f>
        <v>35</v>
      </c>
      <c r="E26" s="138">
        <f ca="1">Plantilla!F26</f>
        <v>3</v>
      </c>
      <c r="F26" s="134" t="str">
        <f>Plantilla!G26</f>
        <v>RAP</v>
      </c>
      <c r="G26" s="327">
        <f>Plantilla!H26</f>
        <v>3</v>
      </c>
      <c r="H26" s="102">
        <f>Plantilla!I26</f>
        <v>14.4</v>
      </c>
      <c r="I26" s="184">
        <f>Plantilla!X26</f>
        <v>0</v>
      </c>
      <c r="J26" s="184">
        <f>Plantilla!Y26</f>
        <v>6.8376190476190493</v>
      </c>
      <c r="K26" s="184">
        <f>Plantilla!Z26</f>
        <v>8.9499999999999993</v>
      </c>
      <c r="L26" s="184">
        <f>Plantilla!AA26</f>
        <v>7.95</v>
      </c>
      <c r="M26" s="184">
        <f>Plantilla!AB26</f>
        <v>9.9499999999999993</v>
      </c>
      <c r="N26" s="184">
        <f>Plantilla!AC26</f>
        <v>6.95</v>
      </c>
      <c r="O26" s="184">
        <f>Plantilla!AD26</f>
        <v>18.999999999999993</v>
      </c>
      <c r="P26" s="146">
        <f t="shared" si="21"/>
        <v>35</v>
      </c>
      <c r="Q26" s="147">
        <f t="shared" ca="1" si="22"/>
        <v>10</v>
      </c>
      <c r="R26" s="92">
        <f t="shared" si="5"/>
        <v>14.4</v>
      </c>
      <c r="S26" s="200">
        <f t="shared" si="38"/>
        <v>0</v>
      </c>
      <c r="T26" s="200">
        <f t="shared" si="39"/>
        <v>6.8376190476190493</v>
      </c>
      <c r="U26" s="200">
        <f t="shared" si="40"/>
        <v>8.9499999999999993</v>
      </c>
      <c r="V26" s="200">
        <f t="shared" si="41"/>
        <v>7.95</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8</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Plantilla!A27</f>
        <v>#15</v>
      </c>
      <c r="B27" s="131" t="str">
        <f>Plantilla!B27</f>
        <v>DAV</v>
      </c>
      <c r="C27" s="90" t="str">
        <f>Plantilla!D27</f>
        <v>P .Trivadi</v>
      </c>
      <c r="D27" s="133">
        <f>Plantilla!E27</f>
        <v>32</v>
      </c>
      <c r="E27" s="138">
        <f ca="1">Plantilla!F27</f>
        <v>34</v>
      </c>
      <c r="F27" s="134"/>
      <c r="G27" s="327">
        <f>Plantilla!H27</f>
        <v>5</v>
      </c>
      <c r="H27" s="102">
        <f>Plantilla!I27</f>
        <v>6.3</v>
      </c>
      <c r="I27" s="184">
        <f>Plantilla!X27</f>
        <v>0</v>
      </c>
      <c r="J27" s="184">
        <f>Plantilla!Y27</f>
        <v>4.0199999999999996</v>
      </c>
      <c r="K27" s="184">
        <f>Plantilla!Z27</f>
        <v>6</v>
      </c>
      <c r="L27" s="184">
        <f>Plantilla!AA27</f>
        <v>5.5099999999999989</v>
      </c>
      <c r="M27" s="184">
        <f>Plantilla!AB27</f>
        <v>10.95</v>
      </c>
      <c r="N27" s="184">
        <f>Plantilla!AC27</f>
        <v>7.95</v>
      </c>
      <c r="O27" s="184">
        <f>Plantilla!AD27</f>
        <v>14</v>
      </c>
      <c r="P27" s="146">
        <f t="shared" si="21"/>
        <v>32</v>
      </c>
      <c r="Q27" s="147">
        <f t="shared" ca="1" si="22"/>
        <v>41</v>
      </c>
      <c r="R27" s="92">
        <f t="shared" si="5"/>
        <v>6.3</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40" t="s">
        <v>679</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7"/>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40" t="s">
        <v>679</v>
      </c>
      <c r="AI28" s="79" t="str">
        <f t="shared" si="48"/>
        <v>M. Bondarewski</v>
      </c>
      <c r="AJ28" s="164">
        <f t="shared" si="48"/>
        <v>0</v>
      </c>
      <c r="AK28" s="164">
        <f t="shared" si="48"/>
        <v>0</v>
      </c>
      <c r="AL28" s="164">
        <f t="shared" si="48"/>
        <v>0</v>
      </c>
      <c r="AM28" s="164">
        <f t="shared" si="48"/>
        <v>5.0479999999999992</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7"/>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19"/>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696" t="s">
        <v>335</v>
      </c>
      <c r="B4" s="211" t="s">
        <v>304</v>
      </c>
      <c r="C4" s="235">
        <v>5.9340247552447711E-2</v>
      </c>
      <c r="D4" s="228">
        <v>6.8999559240759498E-2</v>
      </c>
      <c r="E4" s="228">
        <v>7.5579372027972075E-2</v>
      </c>
      <c r="F4" s="228"/>
      <c r="G4" s="228"/>
      <c r="H4" s="228"/>
      <c r="I4" s="228"/>
      <c r="J4" s="228">
        <v>0</v>
      </c>
      <c r="K4" s="228">
        <v>3.6222627372627408E-2</v>
      </c>
      <c r="L4" s="228"/>
      <c r="M4" s="7"/>
      <c r="N4" s="698"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696"/>
      <c r="B5" s="211" t="s">
        <v>303</v>
      </c>
      <c r="C5" s="230"/>
      <c r="D5" s="215"/>
      <c r="E5" s="215"/>
      <c r="F5" s="215">
        <v>5.254696863959811E-2</v>
      </c>
      <c r="G5" s="215"/>
      <c r="H5" s="215"/>
      <c r="I5" s="215"/>
      <c r="J5" s="215"/>
      <c r="K5" s="215"/>
      <c r="L5" s="215"/>
      <c r="M5" s="7"/>
      <c r="N5" s="698"/>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696"/>
      <c r="B6" s="211" t="s">
        <v>339</v>
      </c>
      <c r="C6" s="230"/>
      <c r="D6" s="215"/>
      <c r="E6" s="215"/>
      <c r="F6" s="215"/>
      <c r="G6" s="215">
        <v>3.9584999999999822E-2</v>
      </c>
      <c r="H6" s="215">
        <v>6.3542692307692147E-2</v>
      </c>
      <c r="I6" s="215">
        <v>0</v>
      </c>
      <c r="J6" s="215"/>
      <c r="K6" s="215"/>
      <c r="L6" s="215"/>
      <c r="M6" s="7"/>
      <c r="N6" s="698"/>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696"/>
      <c r="B7" s="211" t="s">
        <v>340</v>
      </c>
      <c r="C7" s="230"/>
      <c r="D7" s="215"/>
      <c r="E7" s="215"/>
      <c r="F7" s="215"/>
      <c r="G7" s="215">
        <v>3.3714285714285648E-2</v>
      </c>
      <c r="H7" s="215">
        <v>3.433928571428569E-2</v>
      </c>
      <c r="I7" s="215">
        <v>4.9198011904761828E-2</v>
      </c>
      <c r="J7" s="215"/>
      <c r="K7" s="215"/>
      <c r="L7" s="215"/>
      <c r="M7" s="7"/>
      <c r="N7" s="698"/>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696"/>
      <c r="B8" s="211" t="s">
        <v>322</v>
      </c>
      <c r="C8" s="230"/>
      <c r="D8" s="215"/>
      <c r="E8" s="215"/>
      <c r="F8" s="215"/>
      <c r="G8" s="215"/>
      <c r="H8" s="215"/>
      <c r="I8" s="215"/>
      <c r="J8" s="215"/>
      <c r="K8" s="215"/>
      <c r="L8" s="215"/>
      <c r="M8" s="7"/>
      <c r="N8" s="698"/>
      <c r="O8" s="236" t="s">
        <v>322</v>
      </c>
      <c r="P8" s="220"/>
      <c r="Q8" s="283"/>
      <c r="R8" s="207"/>
      <c r="S8" s="283"/>
      <c r="T8" s="207"/>
      <c r="U8" s="283"/>
      <c r="V8" s="207"/>
      <c r="W8" s="283"/>
      <c r="X8" s="220"/>
      <c r="Y8" s="283"/>
      <c r="Z8" s="207"/>
      <c r="AA8" s="283"/>
      <c r="AB8" s="207"/>
      <c r="AC8" s="283"/>
      <c r="AD8" s="220"/>
      <c r="AE8" s="285"/>
      <c r="AF8" s="220"/>
      <c r="AG8" s="285"/>
    </row>
    <row r="9" spans="1:33" x14ac:dyDescent="0.25">
      <c r="A9" s="696"/>
      <c r="B9" s="223" t="s">
        <v>0</v>
      </c>
      <c r="C9" s="231"/>
      <c r="D9" s="206"/>
      <c r="E9" s="206"/>
      <c r="F9" s="206"/>
      <c r="G9" s="206"/>
      <c r="H9" s="206"/>
      <c r="I9" s="206"/>
      <c r="J9" s="206"/>
      <c r="K9" s="206"/>
      <c r="L9" s="206"/>
      <c r="M9" s="7"/>
      <c r="N9" s="698"/>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697" t="s">
        <v>336</v>
      </c>
      <c r="B10" s="212" t="s">
        <v>304</v>
      </c>
      <c r="C10" s="235">
        <v>4.0980247552447779E-2</v>
      </c>
      <c r="D10" s="228">
        <v>7.0304873926074096E-2</v>
      </c>
      <c r="E10" s="228">
        <v>4.0579372027972196E-2</v>
      </c>
      <c r="F10" s="228"/>
      <c r="G10" s="228"/>
      <c r="H10" s="228"/>
      <c r="I10" s="228"/>
      <c r="J10" s="228">
        <v>0</v>
      </c>
      <c r="K10" s="228">
        <v>3.0871978021978067E-2</v>
      </c>
      <c r="L10" s="228"/>
      <c r="M10" s="7"/>
      <c r="N10" s="699"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696"/>
      <c r="B11" s="211" t="s">
        <v>303</v>
      </c>
      <c r="C11" s="230"/>
      <c r="D11" s="215"/>
      <c r="E11" s="215"/>
      <c r="F11" s="215">
        <v>5.1022557865187314E-2</v>
      </c>
      <c r="G11" s="215"/>
      <c r="H11" s="215"/>
      <c r="I11" s="215"/>
      <c r="J11" s="215"/>
      <c r="K11" s="215"/>
      <c r="L11" s="215"/>
      <c r="M11" s="7"/>
      <c r="N11" s="698"/>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696"/>
      <c r="B12" s="211" t="s">
        <v>339</v>
      </c>
      <c r="C12" s="230"/>
      <c r="D12" s="215"/>
      <c r="E12" s="215"/>
      <c r="F12" s="215"/>
      <c r="G12" s="215">
        <v>4.2215952380952187E-2</v>
      </c>
      <c r="H12" s="215">
        <v>6.617364468864452E-2</v>
      </c>
      <c r="I12" s="215">
        <v>0</v>
      </c>
      <c r="J12" s="215"/>
      <c r="K12" s="215"/>
      <c r="L12" s="215"/>
      <c r="M12" s="7"/>
      <c r="N12" s="698"/>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696"/>
      <c r="B13" s="211" t="s">
        <v>340</v>
      </c>
      <c r="C13" s="230"/>
      <c r="D13" s="215"/>
      <c r="E13" s="215"/>
      <c r="F13" s="215"/>
      <c r="G13" s="215">
        <v>3.8151785714285652E-2</v>
      </c>
      <c r="H13" s="215">
        <v>3.8776785714285687E-2</v>
      </c>
      <c r="I13" s="215">
        <v>5.7961761904761842E-2</v>
      </c>
      <c r="J13" s="215"/>
      <c r="K13" s="215"/>
      <c r="L13" s="215"/>
      <c r="M13" s="7"/>
      <c r="N13" s="698"/>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696"/>
      <c r="B14" s="211" t="s">
        <v>322</v>
      </c>
      <c r="C14" s="230"/>
      <c r="D14" s="215"/>
      <c r="E14" s="215"/>
      <c r="F14" s="215"/>
      <c r="G14" s="215"/>
      <c r="H14" s="215"/>
      <c r="I14" s="215"/>
      <c r="J14" s="215"/>
      <c r="K14" s="215"/>
      <c r="L14" s="215"/>
      <c r="M14" s="7"/>
      <c r="N14" s="698"/>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696"/>
      <c r="B15" s="223" t="s">
        <v>0</v>
      </c>
      <c r="C15" s="231"/>
      <c r="D15" s="206"/>
      <c r="E15" s="206"/>
      <c r="F15" s="206"/>
      <c r="G15" s="206"/>
      <c r="H15" s="206"/>
      <c r="I15" s="206"/>
      <c r="J15" s="206"/>
      <c r="K15" s="206"/>
      <c r="L15" s="206"/>
      <c r="M15" s="7"/>
      <c r="N15" s="698"/>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697"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699"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696"/>
      <c r="B17" s="211" t="s">
        <v>303</v>
      </c>
      <c r="C17" s="230"/>
      <c r="D17" s="215"/>
      <c r="E17" s="215"/>
      <c r="F17" s="215">
        <v>4.2273232055429683E-2</v>
      </c>
      <c r="G17" s="215"/>
      <c r="H17" s="215"/>
      <c r="I17" s="215"/>
      <c r="J17" s="215"/>
      <c r="K17" s="215"/>
      <c r="L17" s="215"/>
      <c r="M17" s="7"/>
      <c r="N17" s="698"/>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696"/>
      <c r="B18" s="211" t="s">
        <v>339</v>
      </c>
      <c r="C18" s="230"/>
      <c r="D18" s="215"/>
      <c r="E18" s="215"/>
      <c r="F18" s="215"/>
      <c r="G18" s="215">
        <v>5.2239892473118138E-2</v>
      </c>
      <c r="H18" s="215">
        <v>8.0176190476190248E-2</v>
      </c>
      <c r="I18" s="215">
        <v>0</v>
      </c>
      <c r="J18" s="215"/>
      <c r="K18" s="215"/>
      <c r="L18" s="215"/>
      <c r="M18" s="7"/>
      <c r="N18" s="698"/>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696"/>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698"/>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696"/>
      <c r="B20" s="211" t="s">
        <v>322</v>
      </c>
      <c r="C20" s="230"/>
      <c r="D20" s="215"/>
      <c r="E20" s="215"/>
      <c r="F20" s="215"/>
      <c r="G20" s="215"/>
      <c r="H20" s="215"/>
      <c r="I20" s="215"/>
      <c r="J20" s="215"/>
      <c r="K20" s="215"/>
      <c r="L20" s="215"/>
      <c r="M20" s="7"/>
      <c r="N20" s="698"/>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696"/>
      <c r="B21" s="223" t="s">
        <v>0</v>
      </c>
      <c r="C21" s="230"/>
      <c r="D21" s="215"/>
      <c r="E21" s="215"/>
      <c r="F21" s="215"/>
      <c r="G21" s="215"/>
      <c r="H21" s="215"/>
      <c r="I21" s="215"/>
      <c r="J21" s="215"/>
      <c r="K21" s="215"/>
      <c r="L21" s="215"/>
      <c r="M21" s="7"/>
      <c r="N21" s="698"/>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697"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699"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696"/>
      <c r="B23" s="227" t="s">
        <v>303</v>
      </c>
      <c r="C23" s="230"/>
      <c r="D23" s="215"/>
      <c r="E23" s="215"/>
      <c r="F23" s="215">
        <v>4.3797642829840472E-2</v>
      </c>
      <c r="G23" s="215"/>
      <c r="H23" s="215"/>
      <c r="I23" s="215"/>
      <c r="J23" s="215"/>
      <c r="K23" s="215"/>
      <c r="L23" s="215"/>
      <c r="M23" s="7"/>
      <c r="N23" s="698"/>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696"/>
      <c r="B24" s="227" t="s">
        <v>339</v>
      </c>
      <c r="C24" s="230"/>
      <c r="D24" s="215"/>
      <c r="E24" s="215"/>
      <c r="F24" s="215"/>
      <c r="G24" s="215">
        <v>4.8379892473118219E-2</v>
      </c>
      <c r="H24" s="215">
        <v>7.5159999999999741E-2</v>
      </c>
      <c r="I24" s="215">
        <v>0</v>
      </c>
      <c r="J24" s="215"/>
      <c r="K24" s="215"/>
      <c r="L24" s="215"/>
      <c r="M24" s="7"/>
      <c r="N24" s="698"/>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696"/>
      <c r="B25" s="227" t="s">
        <v>340</v>
      </c>
      <c r="C25" s="230"/>
      <c r="D25" s="215"/>
      <c r="E25" s="215"/>
      <c r="F25" s="215"/>
      <c r="G25" s="215">
        <v>2.3874999999999962E-2</v>
      </c>
      <c r="H25" s="215">
        <v>2.31875E-2</v>
      </c>
      <c r="I25" s="215">
        <v>2.7005333333333312E-2</v>
      </c>
      <c r="J25" s="215"/>
      <c r="K25" s="215"/>
      <c r="L25" s="215">
        <v>0.16964285714285698</v>
      </c>
      <c r="M25" s="293">
        <f>1/L25</f>
        <v>5.894736842105269</v>
      </c>
      <c r="N25" s="698"/>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696"/>
      <c r="B26" s="227" t="s">
        <v>322</v>
      </c>
      <c r="C26" s="230"/>
      <c r="D26" s="215"/>
      <c r="E26" s="215"/>
      <c r="F26" s="215"/>
      <c r="G26" s="215"/>
      <c r="H26" s="215"/>
      <c r="I26" s="215"/>
      <c r="J26" s="215"/>
      <c r="K26" s="215"/>
      <c r="L26" s="215"/>
      <c r="M26" s="7"/>
      <c r="N26" s="698"/>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696"/>
      <c r="B27" s="223" t="s">
        <v>0</v>
      </c>
      <c r="C27" s="231"/>
      <c r="D27" s="206"/>
      <c r="E27" s="206"/>
      <c r="F27" s="206"/>
      <c r="G27" s="206"/>
      <c r="H27" s="206"/>
      <c r="I27" s="206"/>
      <c r="J27" s="206"/>
      <c r="K27" s="206"/>
      <c r="L27" s="206"/>
      <c r="M27" s="7"/>
      <c r="N27" s="698"/>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15.725655156703631</v>
      </c>
      <c r="P3" s="244">
        <f ca="1">Evaluacion!Y3</f>
        <v>23.175765586832064</v>
      </c>
      <c r="Q3" s="244">
        <f ca="1">Evaluacion!Z3</f>
        <v>15.725655156703631</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11.95</v>
      </c>
      <c r="G4" s="83">
        <f>Evaluacion!M6</f>
        <v>5.95</v>
      </c>
      <c r="H4" s="83">
        <f>Evaluacion!N6</f>
        <v>6.95</v>
      </c>
      <c r="I4" s="83">
        <f>Evaluacion!O6</f>
        <v>7.95</v>
      </c>
      <c r="J4" s="83">
        <f>Evaluacion!P6</f>
        <v>1.95</v>
      </c>
      <c r="K4" s="83">
        <f>Evaluacion!Q6</f>
        <v>16</v>
      </c>
      <c r="M4" t="s">
        <v>351</v>
      </c>
      <c r="N4" s="243">
        <v>1</v>
      </c>
      <c r="O4" s="244">
        <f>Evaluacion!AI6</f>
        <v>13.68884192896218</v>
      </c>
      <c r="P4" s="244">
        <f>Evaluacion!AJ6</f>
        <v>6.1599788680329803</v>
      </c>
      <c r="Q4" s="244">
        <v>0</v>
      </c>
      <c r="R4" s="244">
        <f>Evaluacion!AK6</f>
        <v>1.4828223936268308</v>
      </c>
      <c r="S4" s="244">
        <f>Evaluacion!AL6</f>
        <v>5.8089554937280017</v>
      </c>
      <c r="T4" s="244">
        <v>0</v>
      </c>
      <c r="U4" s="244">
        <v>0</v>
      </c>
      <c r="V4" s="244">
        <f>Evaluacion!R6</f>
        <v>3.8562499999999997</v>
      </c>
      <c r="W4" s="244">
        <f>Evaluacion!T6</f>
        <v>0.5774999999999999</v>
      </c>
      <c r="X4" s="244">
        <f>Evaluacion!U6</f>
        <v>0.95799999999999996</v>
      </c>
    </row>
    <row r="5" spans="2:25" x14ac:dyDescent="0.25">
      <c r="B5" t="s">
        <v>352</v>
      </c>
      <c r="C5" t="str">
        <f>Evaluacion!A14</f>
        <v>G. Piscaer</v>
      </c>
      <c r="D5" s="274"/>
      <c r="E5" s="83">
        <f>Evaluacion!K14</f>
        <v>0</v>
      </c>
      <c r="F5" s="83">
        <f>Evaluacion!L14</f>
        <v>4</v>
      </c>
      <c r="G5" s="83">
        <f>Evaluacion!M14</f>
        <v>9</v>
      </c>
      <c r="H5" s="83">
        <f>Evaluacion!N14</f>
        <v>3</v>
      </c>
      <c r="I5" s="83">
        <f>Evaluacion!O14</f>
        <v>2</v>
      </c>
      <c r="J5" s="83">
        <f>Evaluacion!P14</f>
        <v>8</v>
      </c>
      <c r="K5" s="83">
        <f>Evaluacion!Q14</f>
        <v>0</v>
      </c>
      <c r="M5" t="s">
        <v>352</v>
      </c>
      <c r="N5" s="243">
        <v>1</v>
      </c>
      <c r="O5" s="244">
        <f ca="1">(Evaluacion!AA14+Evaluacion!AC14)/2</f>
        <v>1.7893661735497548</v>
      </c>
      <c r="P5" s="244">
        <f ca="1">Evaluacion!AB14</f>
        <v>4.6236852029709432</v>
      </c>
      <c r="Q5" s="244">
        <f ca="1">O5</f>
        <v>1.7893661735497548</v>
      </c>
      <c r="R5" s="244">
        <f ca="1">Evaluacion!AD14</f>
        <v>2.2904370783070842</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5.1203168201635743</v>
      </c>
      <c r="Q6" s="244">
        <f>Evaluacion!AI9</f>
        <v>11.378481822585723</v>
      </c>
      <c r="R6" s="244">
        <f>Evaluacion!AK9</f>
        <v>2.8497294757664662</v>
      </c>
      <c r="S6" s="244">
        <v>0</v>
      </c>
      <c r="T6" s="244">
        <f>0</f>
        <v>0</v>
      </c>
      <c r="U6" s="244">
        <f>Evaluacion!AL9</f>
        <v>9.413438034435222</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8.1999999999999993</v>
      </c>
      <c r="H7" s="83">
        <f>Evaluacion!N12</f>
        <v>3</v>
      </c>
      <c r="I7" s="83">
        <f>Evaluacion!O12</f>
        <v>4</v>
      </c>
      <c r="J7" s="83">
        <f>Evaluacion!P12</f>
        <v>7</v>
      </c>
      <c r="K7" s="83">
        <f>Evaluacion!Q12</f>
        <v>6</v>
      </c>
      <c r="M7" t="s">
        <v>221</v>
      </c>
      <c r="N7" s="243">
        <v>0.82499999999999996</v>
      </c>
      <c r="O7" s="244">
        <f ca="1">Evaluacion!BE12*N7</f>
        <v>0.92834381943063837</v>
      </c>
      <c r="P7" s="244">
        <f ca="1">Evaluacion!BF12*N7</f>
        <v>1.1101843613809694</v>
      </c>
      <c r="Q7" s="244">
        <v>0</v>
      </c>
      <c r="R7" s="244">
        <f ca="1">Evaluacion!BG12*N7</f>
        <v>5.863217937863892</v>
      </c>
      <c r="S7" s="244">
        <f ca="1">Evaluacion!BH12*N7</f>
        <v>2.3625244174358677</v>
      </c>
      <c r="T7" s="244">
        <f ca="1">Evaluacion!BI12*N7</f>
        <v>0.76883457210578632</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9.1666666666666661</v>
      </c>
      <c r="H8" s="83">
        <f>Evaluacion!N15</f>
        <v>5</v>
      </c>
      <c r="I8" s="83">
        <f>Evaluacion!O15</f>
        <v>4</v>
      </c>
      <c r="J8" s="83">
        <f>Evaluacion!P15</f>
        <v>8</v>
      </c>
      <c r="K8" s="83">
        <f>Evaluacion!Q15</f>
        <v>6</v>
      </c>
      <c r="M8" t="s">
        <v>353</v>
      </c>
      <c r="N8" s="243">
        <v>0.82499999999999996</v>
      </c>
      <c r="O8" s="244">
        <f ca="1">((Evaluacion!AX15+Evaluacion!AZ15)/2)*N8</f>
        <v>0.304593778728458</v>
      </c>
      <c r="P8" s="244">
        <f ca="1">Evaluacion!AY15*N8</f>
        <v>0.8595238905917687</v>
      </c>
      <c r="Q8" s="244">
        <f ca="1">O8</f>
        <v>0.304593778728458</v>
      </c>
      <c r="R8" s="244">
        <f ca="1">Evaluacion!BA15*N8</f>
        <v>8.0613097264794202</v>
      </c>
      <c r="S8" s="244">
        <f ca="1">((Evaluacion!BB15+Evaluacion!BD15)/2)*N8</f>
        <v>0.72082414559947017</v>
      </c>
      <c r="T8" s="244">
        <f ca="1">Evaluacion!BC15*N8</f>
        <v>2.7861441592901612</v>
      </c>
      <c r="U8" s="244">
        <f ca="1">S8</f>
        <v>0.72082414559947017</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6.75</v>
      </c>
      <c r="H9" s="83">
        <f>Evaluacion!N13</f>
        <v>2</v>
      </c>
      <c r="I9" s="83">
        <f>Evaluacion!O13</f>
        <v>6</v>
      </c>
      <c r="J9" s="83">
        <f>Evaluacion!P13</f>
        <v>9</v>
      </c>
      <c r="K9" s="83">
        <f>Evaluacion!Q13</f>
        <v>2</v>
      </c>
      <c r="M9" t="s">
        <v>221</v>
      </c>
      <c r="N9" s="243">
        <v>0.82499999999999996</v>
      </c>
      <c r="O9" s="244">
        <v>0</v>
      </c>
      <c r="P9" s="244">
        <f ca="1">Evaluacion!BF13*N9</f>
        <v>0.98597783226312241</v>
      </c>
      <c r="Q9" s="244">
        <f ca="1">Evaluacion!BE13*N9</f>
        <v>0.82448146318554194</v>
      </c>
      <c r="R9" s="244">
        <f ca="1">Evaluacion!BG13*N9</f>
        <v>5.2217042966201461</v>
      </c>
      <c r="S9" s="244">
        <v>0</v>
      </c>
      <c r="T9" s="244">
        <f ca="1">Evaluacion!BI13*N9</f>
        <v>1.2792929815385417</v>
      </c>
      <c r="U9" s="244">
        <f ca="1">Evaluacion!BH13*N9</f>
        <v>2.8248517036836662</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354</v>
      </c>
      <c r="N11" s="243">
        <v>1</v>
      </c>
      <c r="O11" s="244">
        <v>0</v>
      </c>
      <c r="P11" s="244">
        <f>Evaluacion!BU10</f>
        <v>3.3047600522856349</v>
      </c>
      <c r="Q11" s="244">
        <f>Evaluacion!BT10</f>
        <v>3.8465239952832797</v>
      </c>
      <c r="R11" s="244">
        <f>Evaluacion!BV10</f>
        <v>7.2545648515982162</v>
      </c>
      <c r="S11" s="244">
        <v>0</v>
      </c>
      <c r="T11" s="244">
        <f>Evaluacion!BX10</f>
        <v>1.445235927567877</v>
      </c>
      <c r="U11" s="244">
        <f>Evaluacion!BW10</f>
        <v>8.9140612210347747</v>
      </c>
      <c r="V11" s="244">
        <v>0</v>
      </c>
      <c r="W11" s="244">
        <f>Evaluacion!T10*N11</f>
        <v>0.5665</v>
      </c>
      <c r="X11" s="244">
        <f>Evaluacion!U10*N11</f>
        <v>0.94099999999999984</v>
      </c>
    </row>
    <row r="12" spans="2:25" x14ac:dyDescent="0.25">
      <c r="B12" t="s">
        <v>64</v>
      </c>
      <c r="C12" t="str">
        <f>Evaluacion!A18</f>
        <v>M. Grupinski</v>
      </c>
      <c r="D12" s="274" t="str">
        <f>Evaluacion!D18</f>
        <v>CAB</v>
      </c>
      <c r="E12" s="83">
        <f>Evaluacion!K18</f>
        <v>0</v>
      </c>
      <c r="F12" s="83">
        <f>Evaluacion!L18</f>
        <v>3</v>
      </c>
      <c r="G12" s="83">
        <f>Evaluacion!M18</f>
        <v>8.1818181818181817</v>
      </c>
      <c r="H12" s="83">
        <f>Evaluacion!N18</f>
        <v>9</v>
      </c>
      <c r="I12" s="83">
        <f>Evaluacion!O18</f>
        <v>6</v>
      </c>
      <c r="J12" s="83">
        <f>Evaluacion!P18</f>
        <v>3</v>
      </c>
      <c r="K12" s="83">
        <f>Evaluacion!Q18</f>
        <v>3</v>
      </c>
      <c r="M12" t="s">
        <v>64</v>
      </c>
      <c r="N12" s="243">
        <v>0.94499999999999995</v>
      </c>
      <c r="O12" s="244">
        <v>0</v>
      </c>
      <c r="P12" s="244">
        <v>0</v>
      </c>
      <c r="Q12" s="244">
        <v>0</v>
      </c>
      <c r="R12" s="244">
        <f ca="1">N12*Evaluacion!CK18</f>
        <v>2.0509419415154029</v>
      </c>
      <c r="S12" s="244">
        <f ca="1">N12*Evaluacion!CH18</f>
        <v>3.9224899717522081</v>
      </c>
      <c r="T12" s="244">
        <f ca="1">N12*Evaluacion!CI18</f>
        <v>5.5733289808292543</v>
      </c>
      <c r="U12" s="244">
        <f ca="1">S12</f>
        <v>3.9224899717522081</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9.3076923076923084</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3.9918671599885904</v>
      </c>
      <c r="S13" s="244">
        <f ca="1">N13*Evaluacion!CE19</f>
        <v>3.5460176799171497</v>
      </c>
      <c r="T13" s="244">
        <f ca="1">N13*Evaluacion!CF19</f>
        <v>6.4873542947921523</v>
      </c>
      <c r="U13" s="244">
        <f ca="1">S13</f>
        <v>3.5460176799171497</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33.869102390036389</v>
      </c>
      <c r="R14" s="245" t="e">
        <f t="shared" ca="1" si="0"/>
        <v>#REF!</v>
      </c>
      <c r="S14" s="245" t="e">
        <f t="shared" ca="1" si="0"/>
        <v>#REF!</v>
      </c>
      <c r="T14" s="245" t="e">
        <f t="shared" ca="1" si="0"/>
        <v>#REF!</v>
      </c>
      <c r="U14" s="245">
        <f t="shared" ca="1" si="0"/>
        <v>29.341682756422493</v>
      </c>
      <c r="V14" s="292">
        <f t="shared" si="0"/>
        <v>9.2567083333333322</v>
      </c>
      <c r="W14" s="292" t="e">
        <f t="shared" si="0"/>
        <v>#REF!</v>
      </c>
      <c r="X14" s="292" t="e">
        <f t="shared" si="0"/>
        <v>#REF!</v>
      </c>
    </row>
    <row r="15" spans="2:25" ht="15.75" x14ac:dyDescent="0.25">
      <c r="M15" s="81"/>
      <c r="N15" s="81" t="s">
        <v>359</v>
      </c>
      <c r="O15" s="247" t="e">
        <f ca="1">O14*0.34</f>
        <v>#REF!</v>
      </c>
      <c r="P15" s="247" t="e">
        <f ca="1">P14*0.245</f>
        <v>#REF!</v>
      </c>
      <c r="Q15" s="247">
        <f ca="1">Q14*0.34</f>
        <v>11.515494812612372</v>
      </c>
      <c r="R15" s="247" t="e">
        <f ca="1">R14*0.125</f>
        <v>#REF!</v>
      </c>
      <c r="S15" s="247" t="e">
        <f ca="1">S14*0.25</f>
        <v>#REF!</v>
      </c>
      <c r="T15" s="247" t="e">
        <f ca="1">T14*0.19</f>
        <v>#REF!</v>
      </c>
      <c r="U15" s="247">
        <f ca="1">U14*0.25</f>
        <v>7.3354206891056233</v>
      </c>
    </row>
    <row r="16" spans="2:25" ht="15.75" x14ac:dyDescent="0.25">
      <c r="M16" s="81"/>
      <c r="N16" s="81" t="s">
        <v>360</v>
      </c>
      <c r="O16" s="255" t="e">
        <f ca="1">O15*1.2/1.05</f>
        <v>#REF!</v>
      </c>
      <c r="P16" s="255" t="e">
        <f t="shared" ref="P16:Q16" ca="1" si="1">P15*1.2/1.05</f>
        <v>#REF!</v>
      </c>
      <c r="Q16" s="255">
        <f t="shared" ca="1" si="1"/>
        <v>13.160565500128426</v>
      </c>
      <c r="R16" s="255" t="e">
        <f ca="1">R15</f>
        <v>#REF!</v>
      </c>
      <c r="S16" s="255" t="e">
        <f ca="1">S15*0.925/1.05</f>
        <v>#REF!</v>
      </c>
      <c r="T16" s="255" t="e">
        <f t="shared" ref="T16:U16" ca="1" si="2">T15*0.925/1.05</f>
        <v>#REF!</v>
      </c>
      <c r="U16" s="255">
        <f t="shared" ca="1" si="2"/>
        <v>6.4621563213549544</v>
      </c>
    </row>
    <row r="17" spans="13:21" ht="15.75" x14ac:dyDescent="0.25">
      <c r="M17" s="81"/>
      <c r="N17" s="81" t="s">
        <v>361</v>
      </c>
      <c r="O17" s="255" t="e">
        <f ca="1">O15*0.925/1.05</f>
        <v>#REF!</v>
      </c>
      <c r="P17" s="255" t="e">
        <f t="shared" ref="P17:Q17" ca="1" si="3">P15*0.925/1.05</f>
        <v>#REF!</v>
      </c>
      <c r="Q17" s="255">
        <f t="shared" ca="1" si="3"/>
        <v>10.144602573015661</v>
      </c>
      <c r="R17" s="255" t="e">
        <f ca="1">R16</f>
        <v>#REF!</v>
      </c>
      <c r="S17" s="255" t="e">
        <f ca="1">S15*1.135/1.05</f>
        <v>#REF!</v>
      </c>
      <c r="T17" s="255" t="e">
        <f t="shared" ref="T17:U17" ca="1" si="4">T15*1.135/1.05</f>
        <v>#REF!</v>
      </c>
      <c r="U17" s="255">
        <f t="shared" ca="1" si="4"/>
        <v>7.9292404591760786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15.725655156703631</v>
      </c>
      <c r="O2" s="244">
        <f ca="1">Evaluacion!Y3</f>
        <v>23.175765586832064</v>
      </c>
      <c r="P2" s="244">
        <f ca="1">Evaluacion!Z3</f>
        <v>15.725655156703631</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11.378481822585723</v>
      </c>
      <c r="O3" s="244">
        <f>Evaluacion!AJ9</f>
        <v>5.1203168201635743</v>
      </c>
      <c r="P3" s="244">
        <v>0</v>
      </c>
      <c r="Q3" s="244">
        <f>Evaluacion!AK9</f>
        <v>2.8497294757664662</v>
      </c>
      <c r="R3" s="244">
        <f>Evaluacion!AL9</f>
        <v>9.413438034435222</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8.2650584404606224</v>
      </c>
      <c r="O4" s="244">
        <f>M4*Evaluacion!AN7</f>
        <v>7.7608241058967113</v>
      </c>
      <c r="P4" s="244">
        <v>0</v>
      </c>
      <c r="Q4" s="244">
        <f>M4*Evaluacion!AO7</f>
        <v>2.3914259667863709</v>
      </c>
      <c r="R4" s="244">
        <f>M4*Evaluacion!AP7</f>
        <v>1.6501509990088312</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43">
        <v>0.9</v>
      </c>
      <c r="N5" s="244">
        <f>M5*(Evaluacion!AA6+Evaluacion!AC6)/2</f>
        <v>5.1824170041929651</v>
      </c>
      <c r="O5" s="244">
        <f>M5*Evaluacion!AB6</f>
        <v>13.391258408767349</v>
      </c>
      <c r="P5" s="244">
        <f>N5</f>
        <v>5.1824170041929651</v>
      </c>
      <c r="Q5" s="244">
        <f>M5*Evaluacion!AD6</f>
        <v>1.9019195012866297</v>
      </c>
      <c r="R5" s="244">
        <v>0</v>
      </c>
      <c r="S5" s="244">
        <f>0</f>
        <v>0</v>
      </c>
      <c r="T5" s="244">
        <v>0</v>
      </c>
      <c r="U5" s="244">
        <f>Evaluacion!R6</f>
        <v>3.8562499999999997</v>
      </c>
      <c r="V5" s="244">
        <f>Evaluacion!T6*M5</f>
        <v>0.51974999999999993</v>
      </c>
      <c r="W5" s="244">
        <f>Evaluacion!U6*M5</f>
        <v>0.86219999999999997</v>
      </c>
      <c r="AA5" s="250"/>
    </row>
    <row r="6" spans="1:27" x14ac:dyDescent="0.25">
      <c r="A6" t="s">
        <v>363</v>
      </c>
      <c r="B6" t="str">
        <f>Evaluacion!A5</f>
        <v>E. Toney</v>
      </c>
      <c r="C6">
        <f>Evaluacion!D5</f>
        <v>0</v>
      </c>
      <c r="D6" s="83">
        <f>Evaluacion!K5</f>
        <v>0</v>
      </c>
      <c r="E6" s="83">
        <f>Evaluacion!L5</f>
        <v>11.95</v>
      </c>
      <c r="F6" s="83">
        <f>Evaluacion!M5</f>
        <v>11.75</v>
      </c>
      <c r="G6" s="83">
        <f>Evaluacion!N5</f>
        <v>8.9499999999999993</v>
      </c>
      <c r="H6" s="83">
        <f>Evaluacion!O5</f>
        <v>7.95</v>
      </c>
      <c r="I6" s="83">
        <f>Evaluacion!P5</f>
        <v>0.95</v>
      </c>
      <c r="J6" s="83">
        <f>Evaluacion!Q5</f>
        <v>17.177777777777774</v>
      </c>
      <c r="L6" t="str">
        <f t="shared" si="0"/>
        <v>DCHL</v>
      </c>
      <c r="M6" s="243">
        <v>0.9</v>
      </c>
      <c r="N6" s="244">
        <v>0</v>
      </c>
      <c r="O6" s="244">
        <f>M6*Evaluacion!AN5</f>
        <v>9.6429184458349724</v>
      </c>
      <c r="P6" s="244">
        <f>M6*Evaluacion!AM5</f>
        <v>10.269435745988092</v>
      </c>
      <c r="Q6" s="244">
        <f>M6*Evaluacion!AO5</f>
        <v>3.0602651983819777</v>
      </c>
      <c r="R6" s="244">
        <v>0</v>
      </c>
      <c r="S6" s="244">
        <v>0</v>
      </c>
      <c r="T6" s="244">
        <f>M6*Evaluacion!AP5</f>
        <v>1.8246430966108362</v>
      </c>
      <c r="U6" s="244">
        <f>Evaluacion!R5</f>
        <v>3.8562499999999997</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6.75</v>
      </c>
      <c r="G8" s="83">
        <f>Evaluacion!N13</f>
        <v>2</v>
      </c>
      <c r="H8" s="83">
        <f>Evaluacion!O13</f>
        <v>6</v>
      </c>
      <c r="I8" s="83">
        <f>Evaluacion!P13</f>
        <v>9</v>
      </c>
      <c r="J8" s="83">
        <f>Evaluacion!Q13</f>
        <v>2</v>
      </c>
      <c r="L8" t="str">
        <f t="shared" si="0"/>
        <v>IHL</v>
      </c>
      <c r="M8" s="243">
        <f>1-0.065</f>
        <v>0.93500000000000005</v>
      </c>
      <c r="N8" s="244">
        <f ca="1">M8*Evaluacion!BE13</f>
        <v>0.93441232494361426</v>
      </c>
      <c r="O8" s="244">
        <f ca="1">M8*Evaluacion!BF13</f>
        <v>1.1174415432315388</v>
      </c>
      <c r="P8" s="244">
        <v>0</v>
      </c>
      <c r="Q8" s="244">
        <f ca="1">Evaluacion!BG13*M8</f>
        <v>5.9179315361694993</v>
      </c>
      <c r="R8" s="244">
        <f ca="1">Evaluacion!BH13*M8</f>
        <v>3.2014985975081554</v>
      </c>
      <c r="S8" s="244">
        <f ca="1">Evaluacion!BI13*M8</f>
        <v>1.449865379077014</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8.1999999999999993</v>
      </c>
      <c r="G9" s="83">
        <f>Evaluacion!N12</f>
        <v>3</v>
      </c>
      <c r="H9" s="83">
        <f>Evaluacion!O12</f>
        <v>4</v>
      </c>
      <c r="I9" s="83">
        <f>Evaluacion!P12</f>
        <v>7</v>
      </c>
      <c r="J9" s="83">
        <f>Evaluacion!Q12</f>
        <v>6</v>
      </c>
      <c r="L9" t="str">
        <f t="shared" si="0"/>
        <v>IHL</v>
      </c>
      <c r="M9" s="243">
        <f>1-0.065</f>
        <v>0.93500000000000005</v>
      </c>
      <c r="N9" s="244">
        <v>0</v>
      </c>
      <c r="O9" s="244">
        <f ca="1">M9*Evaluacion!BF12</f>
        <v>1.2582089428984322</v>
      </c>
      <c r="P9" s="244">
        <f ca="1">M9*Evaluacion!BE12</f>
        <v>1.0521229953547235</v>
      </c>
      <c r="Q9" s="244">
        <f ca="1">Evaluacion!BG12*M9</f>
        <v>6.6449803295790781</v>
      </c>
      <c r="R9" s="244">
        <v>0</v>
      </c>
      <c r="S9" s="244">
        <f ca="1">Evaluacion!BI12*M9</f>
        <v>0.87134584838655793</v>
      </c>
      <c r="T9" s="244">
        <f ca="1">Evaluacion!BH12*M9</f>
        <v>2.6775276730939837</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43">
        <v>1</v>
      </c>
      <c r="N10" s="244">
        <f>Evaluacion!BT10</f>
        <v>3.8465239952832797</v>
      </c>
      <c r="O10" s="244">
        <f>Evaluacion!BU10</f>
        <v>3.3047600522856349</v>
      </c>
      <c r="P10" s="244">
        <v>0</v>
      </c>
      <c r="Q10" s="244">
        <f>Evaluacion!BV10</f>
        <v>7.2545648515982162</v>
      </c>
      <c r="R10" s="244">
        <f>Evaluacion!BW10</f>
        <v>8.9140612210347747</v>
      </c>
      <c r="S10" s="244">
        <f>Evaluacion!BX10</f>
        <v>1.445235927567877</v>
      </c>
      <c r="T10" s="244">
        <v>0</v>
      </c>
      <c r="U10" s="244">
        <v>0</v>
      </c>
      <c r="V10" s="244">
        <f>Evaluacion!T10</f>
        <v>0.5665</v>
      </c>
      <c r="W10" s="244">
        <f>Evaluacion!U10</f>
        <v>0.94099999999999984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9.3076923076923084</v>
      </c>
      <c r="G12" s="83">
        <f>Evaluacion!N19</f>
        <v>9</v>
      </c>
      <c r="H12" s="83">
        <f>Evaluacion!O19</f>
        <v>5</v>
      </c>
      <c r="I12" s="83">
        <f>Evaluacion!P19</f>
        <v>5</v>
      </c>
      <c r="J12" s="83">
        <f>Evaluacion!Q19</f>
        <v>1</v>
      </c>
      <c r="L12" t="str">
        <f t="shared" si="0"/>
        <v>DD</v>
      </c>
      <c r="M12" s="243">
        <v>1</v>
      </c>
      <c r="N12" s="244">
        <v>0</v>
      </c>
      <c r="O12" s="244">
        <v>0</v>
      </c>
      <c r="P12" s="244">
        <v>0</v>
      </c>
      <c r="Q12" s="244">
        <f ca="1">M12*Evaluacion!CD19</f>
        <v>4.2241980528979797</v>
      </c>
      <c r="R12" s="244">
        <f ca="1">M12*Evaluacion!CE19</f>
        <v>3.7523996612879893</v>
      </c>
      <c r="S12" s="244">
        <f ca="1">M12*Evaluacion!CF19</f>
        <v>6.8649251796742359</v>
      </c>
      <c r="T12" s="244">
        <f ca="1">R12</f>
        <v>3.7523996612879893</v>
      </c>
      <c r="U12" s="244">
        <v>0</v>
      </c>
      <c r="V12" s="244">
        <f>Evaluacion!T19*M12</f>
        <v>0.27999999999999997</v>
      </c>
      <c r="W12" s="244">
        <f>Evaluacion!U19*M12</f>
        <v>0.15000000000000002</v>
      </c>
      <c r="AA12" s="250"/>
    </row>
    <row r="13" spans="1:27" x14ac:dyDescent="0.25">
      <c r="L13" s="81"/>
      <c r="M13" s="176"/>
      <c r="N13" s="245">
        <f ca="1">SUM(N2:N12)</f>
        <v>45.332548744169834</v>
      </c>
      <c r="O13" s="245" t="e">
        <f t="shared" ref="O13:W13" ca="1" si="1">SUM(O2:O12)</f>
        <v>#REF!</v>
      </c>
      <c r="P13" s="245" t="e">
        <f t="shared" ca="1" si="1"/>
        <v>#REF!</v>
      </c>
      <c r="Q13" s="245" t="e">
        <f t="shared" si="1"/>
        <v>#REF!</v>
      </c>
      <c r="R13" s="245">
        <f t="shared" ca="1" si="1"/>
        <v>26.931548513274972</v>
      </c>
      <c r="S13" s="245">
        <f t="shared" ca="1" si="1"/>
        <v>12.001207286928107</v>
      </c>
      <c r="T13" s="245" t="e">
        <f t="shared" si="1"/>
        <v>#REF!</v>
      </c>
      <c r="U13" s="246" t="e">
        <f t="shared" si="1"/>
        <v>#REF!</v>
      </c>
      <c r="V13" s="246" t="e">
        <f t="shared" si="1"/>
        <v>#REF!</v>
      </c>
      <c r="W13" s="246" t="e">
        <f t="shared" si="1"/>
        <v>#REF!</v>
      </c>
    </row>
    <row r="14" spans="1:27" ht="15.75" x14ac:dyDescent="0.25">
      <c r="L14" s="81"/>
      <c r="M14" s="81" t="s">
        <v>359</v>
      </c>
      <c r="N14" s="247">
        <f ca="1">N13*0.34</f>
        <v>15.413066573017744</v>
      </c>
      <c r="O14" s="247" t="e">
        <f ca="1">O13*0.245</f>
        <v>#REF!</v>
      </c>
      <c r="P14" s="247" t="e">
        <f ca="1">P13*0.34</f>
        <v>#REF!</v>
      </c>
      <c r="Q14" s="247" t="e">
        <f>Q13*0.125</f>
        <v>#REF!</v>
      </c>
      <c r="R14" s="247">
        <f ca="1">R13*0.25</f>
        <v>6.732887128318743</v>
      </c>
      <c r="S14" s="247">
        <f ca="1">S13*0.19</f>
        <v>2.2802293845163404</v>
      </c>
      <c r="T14" s="247" t="e">
        <f>T13*0.25</f>
        <v>#REF!</v>
      </c>
    </row>
    <row r="15" spans="1:27" ht="15.75" x14ac:dyDescent="0.25">
      <c r="L15" s="81"/>
      <c r="M15" s="81" t="s">
        <v>360</v>
      </c>
      <c r="N15" s="255">
        <f ca="1">N14*1.2/1.05</f>
        <v>17.614933226305993</v>
      </c>
      <c r="O15" s="255" t="e">
        <f t="shared" ref="O15:P15" ca="1" si="2">O14*1.2/1.05</f>
        <v>#REF!</v>
      </c>
      <c r="P15" s="255" t="e">
        <f t="shared" ca="1" si="2"/>
        <v>#REF!</v>
      </c>
      <c r="Q15" s="255" t="e">
        <f>Q14</f>
        <v>#REF!</v>
      </c>
      <c r="R15" s="255">
        <f ca="1">R14*0.925/1.05</f>
        <v>5.9313529463760357</v>
      </c>
      <c r="S15" s="255">
        <f t="shared" ref="S15:T15" ca="1" si="3">S14*0.925/1.05</f>
        <v>2.0087735054072522</v>
      </c>
      <c r="T15" s="255" t="e">
        <f t="shared" si="3"/>
        <v>#REF!</v>
      </c>
    </row>
    <row r="16" spans="1:27" ht="15.75" x14ac:dyDescent="0.25">
      <c r="L16" s="81"/>
      <c r="M16" s="81" t="s">
        <v>361</v>
      </c>
      <c r="N16" s="255">
        <f ca="1">N14*0.925/1.05</f>
        <v>13.578177695277535</v>
      </c>
      <c r="O16" s="255" t="e">
        <f t="shared" ref="O16:P16" ca="1" si="4">O14*0.925/1.05</f>
        <v>#REF!</v>
      </c>
      <c r="P16" s="255" t="e">
        <f t="shared" ca="1" si="4"/>
        <v>#REF!</v>
      </c>
      <c r="Q16" s="255" t="e">
        <f>Q15</f>
        <v>#REF!</v>
      </c>
      <c r="R16" s="255">
        <f ca="1">R14*1.135/1.05</f>
        <v>7.2779303720397843</v>
      </c>
      <c r="S16" s="255">
        <f t="shared" ref="S16:T16" ca="1" si="5">S14*1.135/1.05</f>
        <v>2.4648193823105204</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Plantilla!A11</f>
        <v>#12</v>
      </c>
      <c r="B4" s="52" t="str">
        <f>Plantilla!D11</f>
        <v>E. Gross</v>
      </c>
      <c r="C4" s="3">
        <f>Plantilla!E11</f>
        <v>35</v>
      </c>
      <c r="D4" s="3">
        <f ca="1">Plantilla!F11</f>
        <v>103</v>
      </c>
      <c r="E4" s="49">
        <f>Plantilla!X11</f>
        <v>0</v>
      </c>
      <c r="F4" s="49">
        <f>Plantilla!Y11</f>
        <v>10.549999999999995</v>
      </c>
      <c r="G4" s="49">
        <f>Plantilla!Z11</f>
        <v>12.95</v>
      </c>
      <c r="H4" s="49">
        <f>Plantilla!AA11</f>
        <v>3.95</v>
      </c>
      <c r="I4" s="49">
        <f>Plantilla!AB11</f>
        <v>8.9499999999999993</v>
      </c>
      <c r="J4" s="49">
        <f>Plantilla!AC11</f>
        <v>0.95</v>
      </c>
      <c r="K4" s="49">
        <f>Plantilla!AD11</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Plantilla!A7</f>
        <v>#24</v>
      </c>
      <c r="B5" s="52" t="str">
        <f>Plantilla!D7</f>
        <v>B. Bartolache</v>
      </c>
      <c r="C5" s="3">
        <f>Plantilla!E7</f>
        <v>36</v>
      </c>
      <c r="D5" s="3">
        <f ca="1">Plantilla!F7</f>
        <v>27</v>
      </c>
      <c r="E5" s="49">
        <f>Plantilla!X7</f>
        <v>0</v>
      </c>
      <c r="F5" s="49">
        <f>Plantilla!Y7</f>
        <v>11.95</v>
      </c>
      <c r="G5" s="49">
        <f>Plantilla!Z7</f>
        <v>5.95</v>
      </c>
      <c r="H5" s="49">
        <f>Plantilla!AA7</f>
        <v>6.95</v>
      </c>
      <c r="I5" s="49">
        <f>Plantilla!AB7</f>
        <v>7.95</v>
      </c>
      <c r="J5" s="49">
        <f>Plantilla!AC7</f>
        <v>1.95</v>
      </c>
      <c r="K5" s="49">
        <f>Plantilla!AD7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42</v>
      </c>
      <c r="E7" s="49">
        <f>Plantilla!X6</f>
        <v>0</v>
      </c>
      <c r="F7" s="49">
        <f>Plantilla!Y6</f>
        <v>11.95</v>
      </c>
      <c r="G7" s="49">
        <f>Plantilla!Z6</f>
        <v>11.75</v>
      </c>
      <c r="H7" s="49">
        <f>Plantilla!AA6</f>
        <v>8.9499999999999993</v>
      </c>
      <c r="I7" s="49">
        <f>Plantilla!AB6</f>
        <v>7.95</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Plantilla!A9</f>
        <v>#7</v>
      </c>
      <c r="B8" s="52" t="str">
        <f>Plantilla!D9</f>
        <v>E. Romweber</v>
      </c>
      <c r="C8" s="3">
        <f>Plantilla!E9</f>
        <v>36</v>
      </c>
      <c r="D8" s="3">
        <f ca="1">Plantilla!F9</f>
        <v>4</v>
      </c>
      <c r="E8" s="49">
        <f>Plantilla!X9</f>
        <v>0</v>
      </c>
      <c r="F8" s="49">
        <f>Plantilla!Y9</f>
        <v>11.95</v>
      </c>
      <c r="G8" s="49">
        <f>Plantilla!Z9</f>
        <v>11.95</v>
      </c>
      <c r="H8" s="49">
        <f>Plantilla!AA9</f>
        <v>11.95</v>
      </c>
      <c r="I8" s="49">
        <f>Plantilla!AB9</f>
        <v>9.9499999999999993</v>
      </c>
      <c r="J8" s="49">
        <f>Plantilla!AC9</f>
        <v>5.95</v>
      </c>
      <c r="K8" s="49">
        <f>Plantilla!AD9</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31</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Plantilla!A25</f>
        <v>#5</v>
      </c>
      <c r="B12" s="52" t="str">
        <f>Plantilla!D25</f>
        <v>L. Bauman</v>
      </c>
      <c r="C12" s="3">
        <f>Plantilla!E25</f>
        <v>35</v>
      </c>
      <c r="D12" s="3">
        <f ca="1">Plantilla!F25</f>
        <v>78</v>
      </c>
      <c r="E12" s="49">
        <f>Plantilla!X25</f>
        <v>0</v>
      </c>
      <c r="F12" s="49">
        <f>Plantilla!Y25</f>
        <v>5.95</v>
      </c>
      <c r="G12" s="49">
        <f>Plantilla!Z25</f>
        <v>13.95</v>
      </c>
      <c r="H12" s="49">
        <f>Plantilla!AA25</f>
        <v>2.95</v>
      </c>
      <c r="I12" s="49">
        <f>Plantilla!AB25</f>
        <v>8.9499999999999993</v>
      </c>
      <c r="J12" s="49">
        <f>Plantilla!AC25</f>
        <v>5.95</v>
      </c>
      <c r="K12" s="49">
        <f>Plantilla!AD25</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Plantilla!A23</f>
        <v>#11</v>
      </c>
      <c r="B13" s="52" t="str">
        <f>Plantilla!D23</f>
        <v>K. Helms</v>
      </c>
      <c r="C13" s="3">
        <f>Plantilla!E23</f>
        <v>35</v>
      </c>
      <c r="D13" s="3">
        <f ca="1">Plantilla!F23</f>
        <v>63</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78</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Plantilla!A10</f>
        <v>#6</v>
      </c>
      <c r="B15" s="62" t="str">
        <f>Plantilla!D10</f>
        <v>S. Buschelman</v>
      </c>
      <c r="C15" s="3">
        <f>Plantilla!E10</f>
        <v>34</v>
      </c>
      <c r="D15" s="3">
        <f ca="1">Plantilla!F10</f>
        <v>75</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Plantilla!A26</f>
        <v>#9</v>
      </c>
      <c r="B17" s="86" t="str">
        <f>Plantilla!D26</f>
        <v>J. Limon</v>
      </c>
      <c r="C17" s="3">
        <f>Plantilla!E26</f>
        <v>35</v>
      </c>
      <c r="D17" s="3">
        <f ca="1">Plantilla!F26</f>
        <v>3</v>
      </c>
      <c r="E17" s="49">
        <f>Plantilla!X26</f>
        <v>0</v>
      </c>
      <c r="F17" s="49">
        <f>Plantilla!Y26</f>
        <v>6.8376190476190493</v>
      </c>
      <c r="G17" s="49">
        <f>Plantilla!Z26</f>
        <v>8.9499999999999993</v>
      </c>
      <c r="H17" s="49">
        <f>Plantilla!AA26</f>
        <v>7.95</v>
      </c>
      <c r="I17" s="49">
        <f>Plantilla!AB26</f>
        <v>9.9499999999999993</v>
      </c>
      <c r="J17" s="49">
        <f>Plantilla!AC26</f>
        <v>6.95</v>
      </c>
      <c r="K17" s="49">
        <f>Plantilla!AD26</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Plantilla!A27</f>
        <v>#15</v>
      </c>
      <c r="B18" s="86" t="str">
        <f>Plantilla!D27</f>
        <v>P .Trivadi</v>
      </c>
      <c r="C18" s="3">
        <f>Plantilla!E27</f>
        <v>32</v>
      </c>
      <c r="D18" s="3">
        <f ca="1">Plantilla!F27</f>
        <v>34</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Plantilla!A8</f>
        <v>#13</v>
      </c>
      <c r="B20" s="86" t="str">
        <f>Plantilla!D8</f>
        <v>F. Lasprilla</v>
      </c>
      <c r="C20" s="3">
        <f>Plantilla!E8</f>
        <v>32</v>
      </c>
      <c r="D20" s="3">
        <f ca="1">Plantilla!F8</f>
        <v>50</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Plantilla!A12</f>
        <v>#23</v>
      </c>
      <c r="B21" s="86" t="str">
        <f>Plantilla!D12</f>
        <v>W. Gelifini</v>
      </c>
      <c r="C21" s="3">
        <f>Plantilla!E12</f>
        <v>34</v>
      </c>
      <c r="D21" s="3">
        <f ca="1">Plantilla!F12</f>
        <v>28</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40</v>
      </c>
      <c r="E22" s="49">
        <f>Plantilla!X5</f>
        <v>7.95</v>
      </c>
      <c r="F22" s="49">
        <f>Plantilla!Y5</f>
        <v>6.95</v>
      </c>
      <c r="G22" s="49">
        <f>Plantilla!Z5</f>
        <v>0.95</v>
      </c>
      <c r="H22" s="49">
        <f>Plantilla!AA5</f>
        <v>0.95</v>
      </c>
      <c r="I22" s="49">
        <f>Plantilla!AB5</f>
        <v>1.95</v>
      </c>
      <c r="J22" s="49">
        <f>Plantilla!AC5</f>
        <v>0</v>
      </c>
      <c r="K22" s="49">
        <f>Plantilla!AD5</f>
        <v>13.95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Plantilla!A10</f>
        <v>#6</v>
      </c>
      <c r="B4" s="52" t="str">
        <f>Plantilla!D10</f>
        <v>S. Buschelman</v>
      </c>
      <c r="C4" s="86">
        <f>Plantilla!E10</f>
        <v>34</v>
      </c>
      <c r="D4" s="86">
        <f ca="1">Plantilla!F10</f>
        <v>75</v>
      </c>
      <c r="E4" s="49">
        <f>Plantilla!X10</f>
        <v>0</v>
      </c>
      <c r="F4" s="49">
        <f>Plantilla!Y10</f>
        <v>9.3036666666666648</v>
      </c>
      <c r="G4" s="49">
        <f>Plantilla!Z10</f>
        <v>14</v>
      </c>
      <c r="H4" s="49">
        <f>Plantilla!AA10</f>
        <v>12.945</v>
      </c>
      <c r="I4" s="49">
        <f>Plantilla!AB10</f>
        <v>9.9499999999999993</v>
      </c>
      <c r="J4" s="49">
        <f>Plantilla!AC10</f>
        <v>3.95</v>
      </c>
      <c r="K4" s="49">
        <f>Plantilla!AD10</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Plantilla!A25</f>
        <v>#5</v>
      </c>
      <c r="B5" s="52" t="str">
        <f>Plantilla!D25</f>
        <v>L. Bauman</v>
      </c>
      <c r="C5" s="86">
        <f>Plantilla!E25</f>
        <v>35</v>
      </c>
      <c r="D5" s="86">
        <f ca="1">Plantilla!F25</f>
        <v>78</v>
      </c>
      <c r="E5" s="49">
        <f>Plantilla!X25</f>
        <v>0</v>
      </c>
      <c r="F5" s="49">
        <f>Plantilla!Y25</f>
        <v>5.95</v>
      </c>
      <c r="G5" s="49">
        <f>Plantilla!Z25</f>
        <v>13.95</v>
      </c>
      <c r="H5" s="49">
        <f>Plantilla!AA25</f>
        <v>2.95</v>
      </c>
      <c r="I5" s="49">
        <f>Plantilla!AB25</f>
        <v>8.9499999999999993</v>
      </c>
      <c r="J5" s="49">
        <f>Plantilla!AC25</f>
        <v>5.95</v>
      </c>
      <c r="K5" s="49">
        <f>Plantilla!AD25</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Plantilla!A26</f>
        <v>#9</v>
      </c>
      <c r="B6" s="52" t="str">
        <f>Plantilla!D26</f>
        <v>J. Limon</v>
      </c>
      <c r="C6" s="86">
        <f>Plantilla!E26</f>
        <v>35</v>
      </c>
      <c r="D6" s="86">
        <f ca="1">Plantilla!F26</f>
        <v>3</v>
      </c>
      <c r="E6" s="49">
        <f>Plantilla!X26</f>
        <v>0</v>
      </c>
      <c r="F6" s="49">
        <f>Plantilla!Y26</f>
        <v>6.8376190476190493</v>
      </c>
      <c r="G6" s="49">
        <f>Plantilla!Z26</f>
        <v>8.9499999999999993</v>
      </c>
      <c r="H6" s="49">
        <f>Plantilla!AA26</f>
        <v>7.95</v>
      </c>
      <c r="I6" s="49">
        <f>Plantilla!AB26</f>
        <v>9.9499999999999993</v>
      </c>
      <c r="J6" s="49">
        <f>Plantilla!AC26</f>
        <v>6.95</v>
      </c>
      <c r="K6" s="49">
        <f>Plantilla!AD26</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Plantilla!A23</f>
        <v>#11</v>
      </c>
      <c r="B8" s="52" t="str">
        <f>Plantilla!D23</f>
        <v>K. Helms</v>
      </c>
      <c r="C8" s="86">
        <f>Plantilla!E23</f>
        <v>35</v>
      </c>
      <c r="D8" s="86">
        <f ca="1">Plantilla!F23</f>
        <v>63</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Plantilla!A24</f>
        <v>#10</v>
      </c>
      <c r="B10" s="299" t="str">
        <f>Plantilla!D24</f>
        <v>S. Zobbe</v>
      </c>
      <c r="C10" s="86">
        <f>Plantilla!E24</f>
        <v>32</v>
      </c>
      <c r="D10" s="86">
        <f ca="1">Plantilla!F24</f>
        <v>78</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Plantilla!A9</f>
        <v>#7</v>
      </c>
      <c r="B11" s="299" t="str">
        <f>Plantilla!D9</f>
        <v>E. Romweber</v>
      </c>
      <c r="C11" s="86">
        <f>Plantilla!E9</f>
        <v>36</v>
      </c>
      <c r="D11" s="86">
        <f ca="1">Plantilla!F9</f>
        <v>4</v>
      </c>
      <c r="E11" s="49">
        <f>Plantilla!X9</f>
        <v>0</v>
      </c>
      <c r="F11" s="49">
        <f>Plantilla!Y9</f>
        <v>11.95</v>
      </c>
      <c r="G11" s="49">
        <f>Plantilla!Z9</f>
        <v>11.95</v>
      </c>
      <c r="H11" s="49">
        <f>Plantilla!AA9</f>
        <v>11.95</v>
      </c>
      <c r="I11" s="49">
        <f>Plantilla!AB9</f>
        <v>9.9499999999999993</v>
      </c>
      <c r="J11" s="49">
        <f>Plantilla!AC9</f>
        <v>5.95</v>
      </c>
      <c r="K11" s="49">
        <f>Plantilla!AD9</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Plantilla!A7</f>
        <v>#24</v>
      </c>
      <c r="B13" s="62" t="str">
        <f>Plantilla!D7</f>
        <v>B. Bartolache</v>
      </c>
      <c r="C13" s="86">
        <f>Plantilla!E7</f>
        <v>36</v>
      </c>
      <c r="D13" s="86">
        <f ca="1">Plantilla!F7</f>
        <v>27</v>
      </c>
      <c r="E13" s="49">
        <f>Plantilla!X7</f>
        <v>0</v>
      </c>
      <c r="F13" s="49">
        <f>Plantilla!Y7</f>
        <v>11.95</v>
      </c>
      <c r="G13" s="49">
        <f>Plantilla!Z7</f>
        <v>5.95</v>
      </c>
      <c r="H13" s="49">
        <f>Plantilla!AA7</f>
        <v>6.95</v>
      </c>
      <c r="I13" s="49">
        <f>Plantilla!AB7</f>
        <v>7.95</v>
      </c>
      <c r="J13" s="49">
        <f>Plantilla!AC7</f>
        <v>1.95</v>
      </c>
      <c r="K13" s="49">
        <f>Plantilla!AD7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42</v>
      </c>
      <c r="E14" s="49">
        <f>Plantilla!X6</f>
        <v>0</v>
      </c>
      <c r="F14" s="49">
        <f>Plantilla!Y6</f>
        <v>11.95</v>
      </c>
      <c r="G14" s="49">
        <f>Plantilla!Z6</f>
        <v>11.75</v>
      </c>
      <c r="H14" s="49">
        <f>Plantilla!AA6</f>
        <v>8.9499999999999993</v>
      </c>
      <c r="I14" s="49">
        <f>Plantilla!AB6</f>
        <v>7.95</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Plantilla!A11</f>
        <v>#12</v>
      </c>
      <c r="B16" s="62" t="str">
        <f>Plantilla!D11</f>
        <v>E. Gross</v>
      </c>
      <c r="C16" s="86">
        <f>Plantilla!E11</f>
        <v>35</v>
      </c>
      <c r="D16" s="86">
        <f ca="1">Plantilla!F11</f>
        <v>103</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Plantilla!A27</f>
        <v>#15</v>
      </c>
      <c r="B18" s="86" t="str">
        <f>Plantilla!D27</f>
        <v>P .Trivadi</v>
      </c>
      <c r="C18" s="86">
        <f>Plantilla!E27</f>
        <v>32</v>
      </c>
      <c r="D18" s="86">
        <f ca="1">Plantilla!F27</f>
        <v>34</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31</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40</v>
      </c>
      <c r="E20" s="49">
        <f>Plantilla!X5</f>
        <v>7.95</v>
      </c>
      <c r="F20" s="49">
        <f>Plantilla!Y5</f>
        <v>6.95</v>
      </c>
      <c r="G20" s="49">
        <f>Plantilla!Z5</f>
        <v>0.95</v>
      </c>
      <c r="H20" s="49">
        <f>Plantilla!AA5</f>
        <v>0.95</v>
      </c>
      <c r="I20" s="49">
        <f>Plantilla!AB5</f>
        <v>1.95</v>
      </c>
      <c r="J20" s="49">
        <f>Plantilla!AC5</f>
        <v>0</v>
      </c>
      <c r="K20" s="49">
        <f>Plantilla!AD5</f>
        <v>13.95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Plantilla!A8</f>
        <v>#13</v>
      </c>
      <c r="B21" s="86" t="str">
        <f>Plantilla!D8</f>
        <v>F. Lasprilla</v>
      </c>
      <c r="C21" s="86">
        <f>Plantilla!E8</f>
        <v>32</v>
      </c>
      <c r="D21" s="86">
        <f ca="1">Plantilla!F8</f>
        <v>50</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Plantilla!A12</f>
        <v>#23</v>
      </c>
      <c r="B22" s="86" t="str">
        <f>Plantilla!D12</f>
        <v>W. Gelifini</v>
      </c>
      <c r="C22" s="86">
        <f>Plantilla!E12</f>
        <v>34</v>
      </c>
      <c r="D22" s="86">
        <f ca="1">Plantilla!F12</f>
        <v>28</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Plantilla!A26</f>
        <v>#9</v>
      </c>
      <c r="B4" s="298" t="str">
        <f>Plantilla!D26</f>
        <v>J. Limon</v>
      </c>
      <c r="C4" s="86">
        <f>Plantilla!E26</f>
        <v>35</v>
      </c>
      <c r="D4" s="86">
        <f ca="1">Plantilla!F26</f>
        <v>3</v>
      </c>
      <c r="E4" s="49">
        <f>Plantilla!X26</f>
        <v>0</v>
      </c>
      <c r="F4" s="49">
        <f>Plantilla!Y26</f>
        <v>6.8376190476190493</v>
      </c>
      <c r="G4" s="49">
        <f>Plantilla!Z26</f>
        <v>8.9499999999999993</v>
      </c>
      <c r="H4" s="49">
        <f>Plantilla!AA26</f>
        <v>7.95</v>
      </c>
      <c r="I4" s="49">
        <f>Plantilla!AB26</f>
        <v>9.9499999999999993</v>
      </c>
      <c r="J4" s="49">
        <f>Plantilla!AC26</f>
        <v>6.95</v>
      </c>
      <c r="K4" s="49">
        <f>Plantilla!AD26</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Plantilla!A25</f>
        <v>#5</v>
      </c>
      <c r="B5" s="298" t="str">
        <f>Plantilla!D25</f>
        <v>L. Bauman</v>
      </c>
      <c r="C5" s="86">
        <f>Plantilla!E25</f>
        <v>35</v>
      </c>
      <c r="D5" s="86">
        <f ca="1">Plantilla!F25</f>
        <v>78</v>
      </c>
      <c r="E5" s="49">
        <f>Plantilla!X25</f>
        <v>0</v>
      </c>
      <c r="F5" s="49">
        <f>Plantilla!Y25</f>
        <v>5.95</v>
      </c>
      <c r="G5" s="49">
        <f>Plantilla!Z25</f>
        <v>13.95</v>
      </c>
      <c r="H5" s="49">
        <f>Plantilla!AA25</f>
        <v>2.95</v>
      </c>
      <c r="I5" s="49">
        <f>Plantilla!AB25</f>
        <v>8.9499999999999993</v>
      </c>
      <c r="J5" s="49">
        <f>Plantilla!AC25</f>
        <v>5.95</v>
      </c>
      <c r="K5" s="49">
        <f>Plantilla!AD25</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Plantilla!A10</f>
        <v>#6</v>
      </c>
      <c r="B6" s="298" t="str">
        <f>Plantilla!D10</f>
        <v>S. Buschelman</v>
      </c>
      <c r="C6" s="86">
        <f>Plantilla!E10</f>
        <v>34</v>
      </c>
      <c r="D6" s="86">
        <f ca="1">Plantilla!F10</f>
        <v>75</v>
      </c>
      <c r="E6" s="49">
        <f>Plantilla!X10</f>
        <v>0</v>
      </c>
      <c r="F6" s="49">
        <f>Plantilla!Y10</f>
        <v>9.3036666666666648</v>
      </c>
      <c r="G6" s="49">
        <f>Plantilla!Z10</f>
        <v>14</v>
      </c>
      <c r="H6" s="49">
        <f>Plantilla!AA10</f>
        <v>12.945</v>
      </c>
      <c r="I6" s="49">
        <f>Plantilla!AB10</f>
        <v>9.9499999999999993</v>
      </c>
      <c r="J6" s="49">
        <f>Plantilla!AC10</f>
        <v>3.95</v>
      </c>
      <c r="K6" s="49">
        <f>Plantilla!AD10</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Plantilla!A23</f>
        <v>#11</v>
      </c>
      <c r="B9" s="298" t="str">
        <f>Plantilla!D23</f>
        <v>K. Helms</v>
      </c>
      <c r="C9" s="86">
        <f>Plantilla!E23</f>
        <v>35</v>
      </c>
      <c r="D9" s="86">
        <f ca="1">Plantilla!F23</f>
        <v>63</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Plantilla!A24</f>
        <v>#10</v>
      </c>
      <c r="B10" s="298" t="str">
        <f>Plantilla!D24</f>
        <v>S. Zobbe</v>
      </c>
      <c r="C10" s="86">
        <f>Plantilla!E24</f>
        <v>32</v>
      </c>
      <c r="D10" s="86">
        <f ca="1">Plantilla!F24</f>
        <v>78</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Plantilla!A9</f>
        <v>#7</v>
      </c>
      <c r="B11" s="298" t="str">
        <f>Plantilla!D9</f>
        <v>E. Romweber</v>
      </c>
      <c r="C11" s="86">
        <f>Plantilla!E9</f>
        <v>36</v>
      </c>
      <c r="D11" s="86">
        <f ca="1">Plantilla!F9</f>
        <v>4</v>
      </c>
      <c r="E11" s="49">
        <f>Plantilla!X9</f>
        <v>0</v>
      </c>
      <c r="F11" s="49">
        <f>Plantilla!Y9</f>
        <v>11.95</v>
      </c>
      <c r="G11" s="49">
        <f>Plantilla!Z9</f>
        <v>11.95</v>
      </c>
      <c r="H11" s="49">
        <f>Plantilla!AA9</f>
        <v>11.95</v>
      </c>
      <c r="I11" s="49">
        <f>Plantilla!AB9</f>
        <v>9.9499999999999993</v>
      </c>
      <c r="J11" s="49">
        <f>Plantilla!AC9</f>
        <v>5.95</v>
      </c>
      <c r="K11" s="49">
        <f>Plantilla!AD9</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Plantilla!A27</f>
        <v>#15</v>
      </c>
      <c r="B13" s="298" t="str">
        <f>Plantilla!D27</f>
        <v>P .Trivadi</v>
      </c>
      <c r="C13" s="86">
        <f>Plantilla!E27</f>
        <v>32</v>
      </c>
      <c r="D13" s="86">
        <f ca="1">Plantilla!F27</f>
        <v>34</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31</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42</v>
      </c>
      <c r="E17" s="49">
        <f>Plantilla!X6</f>
        <v>0</v>
      </c>
      <c r="F17" s="49">
        <f>Plantilla!Y6</f>
        <v>11.95</v>
      </c>
      <c r="G17" s="49">
        <f>Plantilla!Z6</f>
        <v>11.75</v>
      </c>
      <c r="H17" s="49">
        <f>Plantilla!AA6</f>
        <v>8.9499999999999993</v>
      </c>
      <c r="I17" s="49">
        <f>Plantilla!AB6</f>
        <v>7.95</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Plantilla!A11</f>
        <v>#12</v>
      </c>
      <c r="B18" s="298" t="str">
        <f>Plantilla!D11</f>
        <v>E. Gross</v>
      </c>
      <c r="C18" s="86">
        <f>Plantilla!E11</f>
        <v>35</v>
      </c>
      <c r="D18" s="86">
        <f ca="1">Plantilla!F11</f>
        <v>103</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Plantilla!A7</f>
        <v>#24</v>
      </c>
      <c r="B19" s="298" t="str">
        <f>Plantilla!D7</f>
        <v>B. Bartolache</v>
      </c>
      <c r="C19" s="86">
        <f>Plantilla!E7</f>
        <v>36</v>
      </c>
      <c r="D19" s="86">
        <f ca="1">Plantilla!F7</f>
        <v>27</v>
      </c>
      <c r="E19" s="49">
        <f>Plantilla!X7</f>
        <v>0</v>
      </c>
      <c r="F19" s="49">
        <f>Plantilla!Y7</f>
        <v>11.95</v>
      </c>
      <c r="G19" s="49">
        <f>Plantilla!Z7</f>
        <v>5.95</v>
      </c>
      <c r="H19" s="49">
        <f>Plantilla!AA7</f>
        <v>6.95</v>
      </c>
      <c r="I19" s="49">
        <f>Plantilla!AB7</f>
        <v>7.95</v>
      </c>
      <c r="J19" s="49">
        <f>Plantilla!AC7</f>
        <v>1.95</v>
      </c>
      <c r="K19" s="49">
        <f>Plantilla!AD7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40</v>
      </c>
      <c r="E20" s="49">
        <f>Plantilla!X5</f>
        <v>7.95</v>
      </c>
      <c r="F20" s="49">
        <f>Plantilla!Y5</f>
        <v>6.95</v>
      </c>
      <c r="G20" s="49">
        <f>Plantilla!Z5</f>
        <v>0.95</v>
      </c>
      <c r="H20" s="49">
        <f>Plantilla!AA5</f>
        <v>0.95</v>
      </c>
      <c r="I20" s="49">
        <f>Plantilla!AB5</f>
        <v>1.95</v>
      </c>
      <c r="J20" s="49">
        <f>Plantilla!AC5</f>
        <v>0</v>
      </c>
      <c r="K20" s="49">
        <f>Plantilla!AD5</f>
        <v>13.95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Plantilla!A8</f>
        <v>#13</v>
      </c>
      <c r="B21" s="86" t="str">
        <f>Plantilla!D8</f>
        <v>F. Lasprilla</v>
      </c>
      <c r="C21" s="86">
        <f>Plantilla!E8</f>
        <v>32</v>
      </c>
      <c r="D21" s="86">
        <f ca="1">Plantilla!F8</f>
        <v>50</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Plantilla!A12</f>
        <v>#23</v>
      </c>
      <c r="B22" s="86" t="str">
        <f>Plantilla!D12</f>
        <v>W. Gelifini</v>
      </c>
      <c r="C22" s="86">
        <f>Plantilla!E12</f>
        <v>34</v>
      </c>
      <c r="D22" s="86">
        <f ca="1">Plantilla!F12</f>
        <v>28</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Plantilla!A7</f>
        <v>#24</v>
      </c>
      <c r="B5" s="298" t="str">
        <f>Plantilla!D7</f>
        <v>B. Bartolache</v>
      </c>
      <c r="C5" s="86">
        <f>Plantilla!E7</f>
        <v>36</v>
      </c>
      <c r="D5" s="86">
        <f ca="1">Plantilla!F7</f>
        <v>27</v>
      </c>
      <c r="E5" s="49">
        <f>Plantilla!X7</f>
        <v>0</v>
      </c>
      <c r="F5" s="49">
        <f>Plantilla!Y7</f>
        <v>11.95</v>
      </c>
      <c r="G5" s="49">
        <f>Plantilla!Z7</f>
        <v>5.95</v>
      </c>
      <c r="H5" s="49">
        <f>Plantilla!AA7</f>
        <v>6.95</v>
      </c>
      <c r="I5" s="49">
        <f>Plantilla!AB7</f>
        <v>7.95</v>
      </c>
      <c r="J5" s="49">
        <f>Plantilla!AC7</f>
        <v>1.95</v>
      </c>
      <c r="K5" s="49">
        <f>Plantilla!AD7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Plantilla!A24</f>
        <v>#10</v>
      </c>
      <c r="B6" s="298" t="str">
        <f>Plantilla!D24</f>
        <v>S. Zobbe</v>
      </c>
      <c r="C6" s="86">
        <f>Plantilla!E24</f>
        <v>32</v>
      </c>
      <c r="D6" s="86">
        <f ca="1">Plantilla!F24</f>
        <v>78</v>
      </c>
      <c r="E6" s="49">
        <f>Plantilla!X24</f>
        <v>0</v>
      </c>
      <c r="F6" s="49">
        <f>Plantilla!Y24</f>
        <v>8.3599999999999977</v>
      </c>
      <c r="G6" s="49">
        <f>Plantilla!Z24</f>
        <v>12.253412698412699</v>
      </c>
      <c r="H6" s="49">
        <f>Plantilla!AA24</f>
        <v>12.95</v>
      </c>
      <c r="I6" s="49">
        <f>Plantilla!AB24</f>
        <v>10.24</v>
      </c>
      <c r="J6" s="49">
        <f>Plantilla!AC24</f>
        <v>6.95</v>
      </c>
      <c r="K6" s="49">
        <f>Plantilla!AD24</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42</v>
      </c>
      <c r="E7" s="49">
        <f>Plantilla!X6</f>
        <v>0</v>
      </c>
      <c r="F7" s="49">
        <f>Plantilla!Y6</f>
        <v>11.95</v>
      </c>
      <c r="G7" s="49">
        <f>Plantilla!Z6</f>
        <v>11.75</v>
      </c>
      <c r="H7" s="49">
        <f>Plantilla!AA6</f>
        <v>8.9499999999999993</v>
      </c>
      <c r="I7" s="49">
        <f>Plantilla!AB6</f>
        <v>7.95</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Plantilla!A9</f>
        <v>#7</v>
      </c>
      <c r="B8" s="299" t="str">
        <f>Plantilla!D9</f>
        <v>E. Romweber</v>
      </c>
      <c r="C8" s="86">
        <f>Plantilla!E9</f>
        <v>36</v>
      </c>
      <c r="D8" s="86">
        <f ca="1">Plantilla!F9</f>
        <v>4</v>
      </c>
      <c r="E8" s="49">
        <f>Plantilla!X9</f>
        <v>0</v>
      </c>
      <c r="F8" s="49">
        <f>Plantilla!Y9</f>
        <v>11.95</v>
      </c>
      <c r="G8" s="49">
        <f>Plantilla!Z9</f>
        <v>11.95</v>
      </c>
      <c r="H8" s="49">
        <f>Plantilla!AA9</f>
        <v>11.95</v>
      </c>
      <c r="I8" s="49">
        <f>Plantilla!AB9</f>
        <v>9.9499999999999993</v>
      </c>
      <c r="J8" s="49">
        <f>Plantilla!AC9</f>
        <v>5.95</v>
      </c>
      <c r="K8" s="49">
        <f>Plantilla!AD9</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Plantilla!A23</f>
        <v>#11</v>
      </c>
      <c r="B9" s="299" t="str">
        <f>Plantilla!D23</f>
        <v>K. Helms</v>
      </c>
      <c r="C9" s="86">
        <f>Plantilla!E23</f>
        <v>35</v>
      </c>
      <c r="D9" s="86">
        <f ca="1">Plantilla!F23</f>
        <v>63</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Plantilla!A10</f>
        <v>#6</v>
      </c>
      <c r="B11" s="299" t="str">
        <f>Plantilla!D10</f>
        <v>S. Buschelman</v>
      </c>
      <c r="C11" s="86">
        <f>Plantilla!E10</f>
        <v>34</v>
      </c>
      <c r="D11" s="86">
        <f ca="1">Plantilla!F10</f>
        <v>75</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78</v>
      </c>
      <c r="E14" s="49">
        <f>Plantilla!X25</f>
        <v>0</v>
      </c>
      <c r="F14" s="49">
        <f>Plantilla!Y25</f>
        <v>5.95</v>
      </c>
      <c r="G14" s="49">
        <f>Plantilla!Z25</f>
        <v>13.95</v>
      </c>
      <c r="H14" s="49">
        <f>Plantilla!AA25</f>
        <v>2.95</v>
      </c>
      <c r="I14" s="49">
        <f>Plantilla!AB25</f>
        <v>8.9499999999999993</v>
      </c>
      <c r="J14" s="49">
        <f>Plantilla!AC25</f>
        <v>5.95</v>
      </c>
      <c r="K14" s="49">
        <f>Plantilla!AD25</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Plantilla!A26</f>
        <v>#9</v>
      </c>
      <c r="B16" s="62" t="str">
        <f>Plantilla!D26</f>
        <v>J. Limon</v>
      </c>
      <c r="C16" s="86">
        <f>Plantilla!E26</f>
        <v>35</v>
      </c>
      <c r="D16" s="86">
        <f ca="1">Plantilla!F26</f>
        <v>3</v>
      </c>
      <c r="E16" s="49">
        <f>Plantilla!X26</f>
        <v>0</v>
      </c>
      <c r="F16" s="49">
        <f>Plantilla!Y26</f>
        <v>6.8376190476190493</v>
      </c>
      <c r="G16" s="49">
        <f>Plantilla!Z26</f>
        <v>8.9499999999999993</v>
      </c>
      <c r="H16" s="49">
        <f>Plantilla!AA26</f>
        <v>7.95</v>
      </c>
      <c r="I16" s="49">
        <f>Plantilla!AB26</f>
        <v>9.9499999999999993</v>
      </c>
      <c r="J16" s="49">
        <f>Plantilla!AC26</f>
        <v>6.95</v>
      </c>
      <c r="K16" s="49">
        <f>Plantilla!AD26</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Plantilla!A27</f>
        <v>#15</v>
      </c>
      <c r="B17" s="62" t="str">
        <f>Plantilla!D27</f>
        <v>P .Trivadi</v>
      </c>
      <c r="C17" s="86">
        <f>Plantilla!E27</f>
        <v>32</v>
      </c>
      <c r="D17" s="86">
        <f ca="1">Plantilla!F27</f>
        <v>34</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31</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Plantilla!A11</f>
        <v>#12</v>
      </c>
      <c r="B19" s="86" t="str">
        <f>Plantilla!D11</f>
        <v>E. Gross</v>
      </c>
      <c r="C19" s="86">
        <f>Plantilla!E11</f>
        <v>35</v>
      </c>
      <c r="D19" s="86">
        <f ca="1">Plantilla!F11</f>
        <v>103</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40</v>
      </c>
      <c r="E20" s="49">
        <f>Plantilla!X5</f>
        <v>7.95</v>
      </c>
      <c r="F20" s="49">
        <f>Plantilla!Y5</f>
        <v>6.95</v>
      </c>
      <c r="G20" s="49">
        <f>Plantilla!Z5</f>
        <v>0.95</v>
      </c>
      <c r="H20" s="49">
        <f>Plantilla!AA5</f>
        <v>0.95</v>
      </c>
      <c r="I20" s="49">
        <f>Plantilla!AB5</f>
        <v>1.95</v>
      </c>
      <c r="J20" s="49">
        <f>Plantilla!AC5</f>
        <v>0</v>
      </c>
      <c r="K20" s="49">
        <f>Plantilla!AD5</f>
        <v>13.95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Plantilla!A8</f>
        <v>#13</v>
      </c>
      <c r="B21" s="86" t="str">
        <f>Plantilla!D8</f>
        <v>F. Lasprilla</v>
      </c>
      <c r="C21" s="86">
        <f>Plantilla!E8</f>
        <v>32</v>
      </c>
      <c r="D21" s="86">
        <f ca="1">Plantilla!F8</f>
        <v>50</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Plantilla!A12</f>
        <v>#23</v>
      </c>
      <c r="B22" s="86" t="str">
        <f>Plantilla!D12</f>
        <v>W. Gelifini</v>
      </c>
      <c r="C22" s="86">
        <f>Plantilla!E12</f>
        <v>34</v>
      </c>
      <c r="D22" s="86">
        <f ca="1">Plantilla!F12</f>
        <v>28</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700" t="s">
        <v>11</v>
      </c>
      <c r="E2" s="700"/>
      <c r="F2" s="701" t="s">
        <v>12</v>
      </c>
      <c r="G2" s="701"/>
      <c r="H2" s="702" t="s">
        <v>13</v>
      </c>
      <c r="I2" s="702"/>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tabSelected="1" zoomScale="110" zoomScaleNormal="110" workbookViewId="0">
      <pane xSplit="9" ySplit="3" topLeftCell="J4" activePane="bottomRight" state="frozen"/>
      <selection pane="topRight" activeCell="J1" sqref="J1"/>
      <selection pane="bottomLeft" activeCell="A5" sqref="A5"/>
      <selection pane="bottomRight" activeCell="F10" sqref="F10"/>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49" bestFit="1" customWidth="1"/>
    <col min="34" max="34" width="6.5703125" style="649" bestFit="1" customWidth="1"/>
    <col min="35" max="36" width="7.5703125" style="649" bestFit="1" customWidth="1"/>
    <col min="37" max="39" width="6.5703125" style="649" bestFit="1" customWidth="1"/>
    <col min="40" max="40" width="7" style="649"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43669</v>
      </c>
      <c r="E1" s="658">
        <v>41471</v>
      </c>
      <c r="F1" s="658"/>
      <c r="G1" s="658"/>
      <c r="H1" s="73"/>
      <c r="I1" s="73"/>
      <c r="J1" s="73"/>
      <c r="K1" s="74"/>
      <c r="L1" s="73"/>
      <c r="M1" s="74"/>
      <c r="N1" s="74"/>
      <c r="O1" s="74"/>
      <c r="P1" s="74"/>
      <c r="Q1" s="270"/>
      <c r="R1" s="74"/>
      <c r="S1" s="74"/>
      <c r="T1" s="73"/>
      <c r="U1" s="73"/>
      <c r="V1" s="73"/>
      <c r="W1" s="73"/>
      <c r="X1" s="104"/>
      <c r="Y1" s="73"/>
      <c r="Z1" s="73"/>
      <c r="AA1" s="73"/>
      <c r="AB1" s="73"/>
      <c r="AC1" s="73"/>
      <c r="AD1" s="73"/>
      <c r="AE1" s="104"/>
      <c r="AF1" s="642"/>
      <c r="AG1" s="642"/>
      <c r="AH1" s="643"/>
      <c r="AI1" s="643"/>
      <c r="AJ1" s="644"/>
      <c r="AK1" s="643"/>
      <c r="AL1" s="643"/>
      <c r="AM1" s="643"/>
      <c r="AN1" s="643"/>
      <c r="AO1" s="73"/>
      <c r="AP1" s="73"/>
      <c r="AQ1" s="73"/>
      <c r="AR1" s="73"/>
      <c r="AS1" s="73"/>
      <c r="AT1" s="73"/>
      <c r="AU1" s="73"/>
      <c r="AV1" s="73"/>
      <c r="AW1" s="73"/>
      <c r="AX1" s="73"/>
      <c r="AY1" s="73"/>
      <c r="AZ1" s="73"/>
      <c r="BA1" s="73"/>
      <c r="BB1" s="73"/>
      <c r="BC1" s="73"/>
      <c r="BD1" s="73"/>
      <c r="BE1" s="73"/>
      <c r="BF1" s="73"/>
    </row>
    <row r="2" spans="1:63" s="332" customFormat="1" x14ac:dyDescent="0.25">
      <c r="A2" s="332">
        <v>16</v>
      </c>
      <c r="B2" s="333"/>
      <c r="C2" s="334"/>
      <c r="D2" s="335"/>
      <c r="E2" s="336"/>
      <c r="F2" s="336"/>
      <c r="I2" s="337">
        <f>AVERAGE(I4:I27)</f>
        <v>8.25</v>
      </c>
      <c r="J2" s="336"/>
      <c r="K2" s="336"/>
      <c r="M2" s="337">
        <f>AVERAGE(M4:M27)</f>
        <v>4.8833333333333337</v>
      </c>
      <c r="N2" s="336"/>
      <c r="O2" s="336"/>
      <c r="P2" s="336"/>
      <c r="Q2" s="337">
        <f t="shared" ref="Q2:V2" si="0">AVERAGE(Q4:Q27)</f>
        <v>5.5</v>
      </c>
      <c r="R2" s="338">
        <f t="shared" si="0"/>
        <v>0.88239113060968755</v>
      </c>
      <c r="S2" s="338">
        <f t="shared" si="0"/>
        <v>0.95126412886239819</v>
      </c>
      <c r="T2" s="339">
        <f t="shared" si="0"/>
        <v>16914.583333333332</v>
      </c>
      <c r="U2" s="339">
        <f t="shared" si="0"/>
        <v>-245.83333333333334</v>
      </c>
      <c r="V2" s="339">
        <f t="shared" si="0"/>
        <v>3693.1666666666665</v>
      </c>
      <c r="W2" s="340"/>
      <c r="X2" s="341">
        <f>(X4+X5)/2</f>
        <v>12.308333333333334</v>
      </c>
      <c r="Y2" s="341">
        <f>AVERAGE(Y4:Y12)</f>
        <v>9.9844320987654314</v>
      </c>
      <c r="Z2" s="341">
        <f>AVERAGE(Z13:Z18)</f>
        <v>8.0861111111111104</v>
      </c>
      <c r="AA2" s="341">
        <f>AVERAGE(AA19:AA22)</f>
        <v>7</v>
      </c>
      <c r="AB2" s="341">
        <f>AVERAGE(AB5:AB27)</f>
        <v>6.7197101449275349</v>
      </c>
      <c r="AC2" s="341">
        <f>AVERAGE(AC23:AC27)</f>
        <v>6.35</v>
      </c>
      <c r="AD2" s="341">
        <f>AVERAGE(AD4:AD27)</f>
        <v>10.762129629629628</v>
      </c>
      <c r="AE2" s="340"/>
      <c r="AF2" s="645"/>
      <c r="AG2" s="645"/>
      <c r="AH2" s="646"/>
      <c r="AI2" s="646"/>
      <c r="AJ2" s="646"/>
      <c r="AK2" s="646"/>
      <c r="AL2" s="646"/>
      <c r="AM2" s="646"/>
      <c r="AN2" s="646"/>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5" t="s">
        <v>422</v>
      </c>
    </row>
    <row r="4" spans="1:63" x14ac:dyDescent="0.25">
      <c r="A4" s="131" t="s">
        <v>170</v>
      </c>
      <c r="B4" s="131" t="s">
        <v>1</v>
      </c>
      <c r="C4" s="132">
        <f ca="1">((34*112)-(E4*112)-(F4))/112</f>
        <v>-1.2767857142857142</v>
      </c>
      <c r="D4" s="639" t="s">
        <v>344</v>
      </c>
      <c r="E4" s="133">
        <v>35</v>
      </c>
      <c r="F4" s="138">
        <f ca="1">-42406+$D$1-112-112-112-112-112-112-112-112-112-112-112</f>
        <v>31</v>
      </c>
      <c r="G4" s="134"/>
      <c r="H4" s="309">
        <v>6</v>
      </c>
      <c r="I4" s="102">
        <v>23.9</v>
      </c>
      <c r="J4" s="185">
        <f>LOG(I4+1)*4/3</f>
        <v>1.8615991294609817</v>
      </c>
      <c r="K4" s="98">
        <f t="shared" ref="K4" si="1">(H4)*(H4)*(I4)</f>
        <v>860.4</v>
      </c>
      <c r="L4" s="98">
        <f t="shared" ref="L4" si="2">(H4+1)*(H4+1)*I4</f>
        <v>1171.0999999999999</v>
      </c>
      <c r="M4" s="135">
        <v>4.5999999999999996</v>
      </c>
      <c r="N4" s="178">
        <f>M4*10+19</f>
        <v>65</v>
      </c>
      <c r="O4" s="303">
        <v>42468</v>
      </c>
      <c r="P4" s="304">
        <f ca="1">IF((TODAY()-O4)&gt;335,1,((TODAY()-O4)^0.64)/(336^0.64))</f>
        <v>1</v>
      </c>
      <c r="Q4" s="178">
        <v>6</v>
      </c>
      <c r="R4" s="199">
        <f>(Q4/7)^0.5</f>
        <v>0.92582009977255142</v>
      </c>
      <c r="S4" s="199">
        <f>IF(Q4=7,1,((Q4+0.99)/7)^0.5)</f>
        <v>0.99928545900129484</v>
      </c>
      <c r="T4" s="111">
        <v>40870</v>
      </c>
      <c r="U4" s="268">
        <f t="shared" ref="U4:U22" si="3">T4-BG4</f>
        <v>-2890</v>
      </c>
      <c r="V4" s="111">
        <v>13512</v>
      </c>
      <c r="W4" s="108">
        <f t="shared" ref="W4:W28" si="4">T4/V4</f>
        <v>3.0247187685020722</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47">
        <f ca="1">(Z4+P4+J4)*(Q4/7)^0.5</f>
        <v>4.5657735980757925</v>
      </c>
      <c r="AG4" s="647">
        <f ca="1">(Z4+P4+J4)*(IF(Q4=7, (Q4/7)^0.5, ((Q4+1)/7)^0.5))</f>
        <v>4.93159912946098</v>
      </c>
      <c r="AH4" s="108">
        <f ca="1">(((Y4+P4+J4)+(AB4+P4+J4)*2)/8)*(Q4/7)^0.5</f>
        <v>2.5963232945612096</v>
      </c>
      <c r="AI4" s="108">
        <f ca="1">(1.66*(AC4+J4+P4)+0.55*(AD4+J4+P4)-7.6)*(Q4/7)^0.5</f>
        <v>8.0862368817698602</v>
      </c>
      <c r="AJ4" s="108">
        <f ca="1">((AD4+J4+P4)*0.7+(AC4+J4+P4)*0.3)*(Q4/7)^0.5</f>
        <v>14.444274062648915</v>
      </c>
      <c r="AK4" s="108">
        <f ca="1">(0.5*(AC4+P4+J4)+ 0.3*(AD4+P4+J4))/10</f>
        <v>0.77492793035687835</v>
      </c>
      <c r="AL4" s="108">
        <f ca="1">(0.4*(Y4+P4+J4)+0.3*(AD4+P4+J4))/10</f>
        <v>1.2243119390622685</v>
      </c>
      <c r="AM4" s="648">
        <f ca="1">(AD4+P4+(LOG(I4)*4/3))*(Q4/7)^0.5</f>
        <v>19.477277225209093</v>
      </c>
      <c r="AN4" s="648">
        <f ca="1">(AD4+P4+(LOG(I4)*4/3))*(IF(Q4=7, (Q4/7)^0.5, ((Q4+1)/7)^0.5))</f>
        <v>21.037863867930849</v>
      </c>
      <c r="AO4" s="178">
        <v>2</v>
      </c>
      <c r="AP4" s="178">
        <v>2</v>
      </c>
      <c r="AQ4" s="241">
        <f>IF(AO4=4,IF(AP4=0,0.137+0.0697,0.137+0.02),IF(AO4=3,IF(AP4=0,0.0958+0.0697,0.0958+0.02),IF(AO4=2,IF(AP4=0,0.0415+0.0697,0.0415+0.02),IF(AO4=1,IF(AP4=0,0.0294+0.0697,0.0294+0.02),IF(AO4=0,IF(AP4=0,0.0063+0.0697,0.0063+0.02))))))</f>
        <v>6.1499999999999999E-2</v>
      </c>
      <c r="AR4" s="313"/>
      <c r="AS4" s="313"/>
      <c r="AT4" s="313"/>
      <c r="AU4" s="313"/>
      <c r="AV4" s="241"/>
      <c r="AW4" s="241"/>
      <c r="AX4" s="241"/>
      <c r="AY4" s="241"/>
      <c r="AZ4" s="241"/>
      <c r="BA4" s="241"/>
      <c r="BB4" s="241"/>
      <c r="BC4" s="241"/>
      <c r="BD4" s="241"/>
      <c r="BE4" s="241"/>
      <c r="BF4" s="241"/>
      <c r="BG4" s="111">
        <v>43760</v>
      </c>
      <c r="BH4" s="316"/>
      <c r="BJ4" s="136"/>
      <c r="BK4" s="139"/>
    </row>
    <row r="5" spans="1:63" s="81" customFormat="1" x14ac:dyDescent="0.25">
      <c r="A5" s="131" t="s">
        <v>429</v>
      </c>
      <c r="B5" s="131" t="s">
        <v>1</v>
      </c>
      <c r="C5" s="132">
        <f ca="1">((34*112)-(E5*112)-(F5))/112</f>
        <v>-5.3571428571428568</v>
      </c>
      <c r="D5" s="639" t="s">
        <v>93</v>
      </c>
      <c r="E5" s="133">
        <v>39</v>
      </c>
      <c r="F5" s="138">
        <f ca="1">82-41471+$D$1-112-112-112-112-112-112-112-112-112-112-112-112-112-112-112-112-112-112-112-112</f>
        <v>40</v>
      </c>
      <c r="G5" s="134" t="s">
        <v>220</v>
      </c>
      <c r="H5" s="130">
        <v>3</v>
      </c>
      <c r="I5" s="102">
        <v>8.4</v>
      </c>
      <c r="J5" s="185">
        <f t="shared" ref="J5:J22" si="5">LOG(I5+1)*4/3</f>
        <v>1.2975038047995981</v>
      </c>
      <c r="K5" s="98">
        <f t="shared" ref="K5:K22" si="6">(H5)*(H5)*(I5)</f>
        <v>75.600000000000009</v>
      </c>
      <c r="L5" s="98">
        <f t="shared" ref="L5:L22" si="7">(H5+1)*(H5+1)*I5</f>
        <v>134.4</v>
      </c>
      <c r="M5" s="135">
        <v>2.9</v>
      </c>
      <c r="N5" s="178">
        <f t="shared" ref="N5:N22" si="8">M5*10+19</f>
        <v>48</v>
      </c>
      <c r="O5" s="178" t="s">
        <v>256</v>
      </c>
      <c r="P5" s="304">
        <v>1.5</v>
      </c>
      <c r="Q5" s="178">
        <v>4</v>
      </c>
      <c r="R5" s="199">
        <f t="shared" ref="R5:R22" si="9">(Q5/7)^0.5</f>
        <v>0.7559289460184544</v>
      </c>
      <c r="S5" s="199">
        <f t="shared" ref="S5:S22" si="10">IF(Q5=7,1,((Q5+0.99)/7)^0.5)</f>
        <v>0.84430867747355465</v>
      </c>
      <c r="T5" s="111">
        <v>560</v>
      </c>
      <c r="U5" s="268">
        <f t="shared" si="3"/>
        <v>-30</v>
      </c>
      <c r="V5" s="111">
        <v>450</v>
      </c>
      <c r="W5" s="108">
        <f t="shared" si="4"/>
        <v>1.2444444444444445</v>
      </c>
      <c r="X5" s="184">
        <v>7.95</v>
      </c>
      <c r="Y5" s="185">
        <v>6.95</v>
      </c>
      <c r="Z5" s="184">
        <v>0.95</v>
      </c>
      <c r="AA5" s="185">
        <v>0.95</v>
      </c>
      <c r="AB5" s="184">
        <v>1.95</v>
      </c>
      <c r="AC5" s="185">
        <v>0</v>
      </c>
      <c r="AD5" s="184">
        <v>13.95</v>
      </c>
      <c r="AE5" s="312">
        <v>426</v>
      </c>
      <c r="AF5" s="647">
        <f t="shared" ref="AF5:AF22" si="11">(Z5+P5+J5)*(Q5/7)^0.5</f>
        <v>2.8328466013623084</v>
      </c>
      <c r="AG5" s="647">
        <f t="shared" ref="AG5:AG22" si="12">(Z5+P5+J5)*(IF(Q5=7, (Q5/7)^0.5, ((Q5+1)/7)^0.5))</f>
        <v>3.1672187852376847</v>
      </c>
      <c r="AH5" s="108">
        <f t="shared" ref="AH5:AH22" si="13">(((Y5+P5+J5)+(AB5+P5+J5)*2)/8)*(Q5/7)^0.5</f>
        <v>1.8182464215293199</v>
      </c>
      <c r="AI5" s="108">
        <f t="shared" ref="AI5:AI22" si="14">(1.66*(AC5+J5+P5)+0.55*(AD5+J5+P5)-7.6)*(Q5/7)^0.5</f>
        <v>4.7283230154312932</v>
      </c>
      <c r="AJ5" s="108">
        <f t="shared" ref="AJ5:AJ22" si="15">((AD5+J5+P5)*0.7+(AC5+J5+P5)*0.3)*(Q5/7)^0.5</f>
        <v>9.4963602605149848</v>
      </c>
      <c r="AK5" s="108">
        <f t="shared" ref="AK5:AK22" si="16">(0.5*(AC5+P5+J5)+ 0.3*(AD5+P5+J5))/10</f>
        <v>0.64230030438396779</v>
      </c>
      <c r="AL5" s="108">
        <f t="shared" ref="AL5:AL22" si="17">(0.4*(Y5+P5+J5)+0.3*(AD5+P5+J5))/10</f>
        <v>0.89232526633597187</v>
      </c>
      <c r="AM5" s="648">
        <f t="shared" ref="AM5:AM22" si="18">(AD5+P5+(LOG(I5)*4/3))*(Q5/7)^0.5</f>
        <v>12.61068817137105</v>
      </c>
      <c r="AN5" s="648">
        <f t="shared" ref="AN5:AN22" si="19">(AD5+P5+(LOG(I5)*4/3))*(IF(Q5=7, (Q5/7)^0.5, ((Q5+1)/7)^0.5))</f>
        <v>14.099177997119094</v>
      </c>
      <c r="AO5" s="178">
        <v>4</v>
      </c>
      <c r="AP5" s="178">
        <v>3</v>
      </c>
      <c r="AQ5" s="241">
        <f t="shared" ref="AQ5:AQ22" si="20">IF(AO5=4,IF(AP5=0,0.137+0.0697,0.137+0.02),IF(AO5=3,IF(AP5=0,0.0958+0.0697,0.0958+0.02),IF(AO5=2,IF(AP5=0,0.0415+0.0697,0.0415+0.02),IF(AO5=1,IF(AP5=0,0.0294+0.0697,0.0294+0.02),IF(AO5=0,IF(AP5=0,0.0063+0.0697,0.0063+0.02))))))</f>
        <v>0.157</v>
      </c>
      <c r="AR5" s="313"/>
      <c r="AS5" s="313"/>
      <c r="AT5" s="313"/>
      <c r="AU5" s="313"/>
      <c r="AV5" s="241"/>
      <c r="AW5" s="241"/>
      <c r="AX5" s="241"/>
      <c r="AY5" s="241"/>
      <c r="AZ5" s="241"/>
      <c r="BA5" s="241"/>
      <c r="BB5" s="241"/>
      <c r="BC5" s="241"/>
      <c r="BD5" s="241"/>
      <c r="BE5" s="241"/>
      <c r="BF5" s="241"/>
      <c r="BG5" s="111">
        <v>590</v>
      </c>
      <c r="BH5" s="316"/>
      <c r="BJ5" s="136"/>
      <c r="BK5" s="139"/>
    </row>
    <row r="6" spans="1:63" s="69" customFormat="1" x14ac:dyDescent="0.25">
      <c r="A6" s="131" t="s">
        <v>222</v>
      </c>
      <c r="B6" s="131" t="s">
        <v>2</v>
      </c>
      <c r="C6" s="132">
        <f t="shared" ref="C6:C22" ca="1" si="21">((34*112)-(E6*112)-(F6))/112</f>
        <v>-2.375</v>
      </c>
      <c r="D6" s="639" t="s">
        <v>95</v>
      </c>
      <c r="E6" s="133">
        <v>36</v>
      </c>
      <c r="F6" s="138">
        <f ca="1">84-41471+$D$1-112-112-112-112-112-112-112-112-112-112-112-112-112-112-112-112-112-112-112-112</f>
        <v>42</v>
      </c>
      <c r="G6" s="134"/>
      <c r="H6" s="137">
        <v>4</v>
      </c>
      <c r="I6" s="102">
        <v>18.3</v>
      </c>
      <c r="J6" s="185">
        <f t="shared" si="5"/>
        <v>1.7140764120103651</v>
      </c>
      <c r="K6" s="98">
        <f t="shared" si="6"/>
        <v>292.8</v>
      </c>
      <c r="L6" s="98">
        <f t="shared" si="7"/>
        <v>457.5</v>
      </c>
      <c r="M6" s="135">
        <v>4.0999999999999996</v>
      </c>
      <c r="N6" s="178">
        <f t="shared" si="8"/>
        <v>60</v>
      </c>
      <c r="O6" s="178" t="s">
        <v>256</v>
      </c>
      <c r="P6" s="304">
        <v>1.5</v>
      </c>
      <c r="Q6" s="178">
        <v>7</v>
      </c>
      <c r="R6" s="199">
        <f t="shared" si="9"/>
        <v>1</v>
      </c>
      <c r="S6" s="199">
        <f t="shared" si="10"/>
        <v>1</v>
      </c>
      <c r="T6" s="111">
        <v>12800</v>
      </c>
      <c r="U6" s="268">
        <f t="shared" si="3"/>
        <v>-720</v>
      </c>
      <c r="V6" s="111">
        <v>2980</v>
      </c>
      <c r="W6" s="108">
        <f t="shared" si="4"/>
        <v>4.2953020134228188</v>
      </c>
      <c r="X6" s="184">
        <v>0</v>
      </c>
      <c r="Y6" s="185">
        <v>11.95</v>
      </c>
      <c r="Z6" s="184">
        <v>11.75</v>
      </c>
      <c r="AA6" s="185">
        <v>8.9499999999999993</v>
      </c>
      <c r="AB6" s="184">
        <v>7.95</v>
      </c>
      <c r="AC6" s="185">
        <v>0.95</v>
      </c>
      <c r="AD6" s="184">
        <f>10.7+0.5+0.5*77/90+0.5+0.45+0.45+0.4+0.35+0.35+0.3+0.35+0.3+0.3+0.3+0.25+0.25+0.2+0.2+0.2+0.2+0.2</f>
        <v>17.177777777777774</v>
      </c>
      <c r="AE6" s="312">
        <v>1444</v>
      </c>
      <c r="AF6" s="647">
        <f t="shared" si="11"/>
        <v>14.964076412010366</v>
      </c>
      <c r="AG6" s="647">
        <f t="shared" si="12"/>
        <v>14.964076412010366</v>
      </c>
      <c r="AH6" s="108">
        <f t="shared" si="13"/>
        <v>4.6865286545038867</v>
      </c>
      <c r="AI6" s="108">
        <f t="shared" si="14"/>
        <v>10.527886648320683</v>
      </c>
      <c r="AJ6" s="108">
        <f t="shared" si="15"/>
        <v>15.523520856454805</v>
      </c>
      <c r="AK6" s="108">
        <f t="shared" si="16"/>
        <v>0.8199594462941624</v>
      </c>
      <c r="AL6" s="108">
        <f t="shared" si="17"/>
        <v>1.2183186821740588</v>
      </c>
      <c r="AM6" s="648">
        <f t="shared" si="18"/>
        <v>20.361045897418347</v>
      </c>
      <c r="AN6" s="648">
        <f t="shared" si="19"/>
        <v>20.361045897418347</v>
      </c>
      <c r="AO6" s="178">
        <v>2</v>
      </c>
      <c r="AP6" s="178">
        <v>3</v>
      </c>
      <c r="AQ6" s="241">
        <f t="shared" si="20"/>
        <v>6.1499999999999999E-2</v>
      </c>
      <c r="AR6" s="313"/>
      <c r="AS6" s="313"/>
      <c r="AT6" s="313"/>
      <c r="AU6" s="313"/>
      <c r="AV6" s="241"/>
      <c r="AW6" s="241"/>
      <c r="AX6" s="241"/>
      <c r="AY6" s="241"/>
      <c r="AZ6" s="241"/>
      <c r="BA6" s="241"/>
      <c r="BB6" s="241"/>
      <c r="BC6" s="241"/>
      <c r="BD6" s="241"/>
      <c r="BE6" s="241"/>
      <c r="BF6" s="241"/>
      <c r="BG6" s="111">
        <v>13520</v>
      </c>
      <c r="BH6" s="316"/>
      <c r="BJ6" s="136"/>
      <c r="BK6" s="139"/>
    </row>
    <row r="7" spans="1:63" s="70" customFormat="1" x14ac:dyDescent="0.25">
      <c r="A7" s="131" t="s">
        <v>428</v>
      </c>
      <c r="B7" s="79" t="s">
        <v>2</v>
      </c>
      <c r="C7" s="132">
        <f t="shared" ca="1" si="21"/>
        <v>-2.2410714285714284</v>
      </c>
      <c r="D7" s="639" t="s">
        <v>98</v>
      </c>
      <c r="E7" s="57">
        <v>36</v>
      </c>
      <c r="F7" s="58">
        <f ca="1">69-41471+$D$1-112-112-112-112-112-112-112-112-112-112-112-112-112-112-112-112-112-112-112-112</f>
        <v>27</v>
      </c>
      <c r="G7" s="80"/>
      <c r="H7" s="130">
        <v>3</v>
      </c>
      <c r="I7" s="59">
        <v>11.8</v>
      </c>
      <c r="J7" s="185">
        <f t="shared" si="5"/>
        <v>1.4762799595304912</v>
      </c>
      <c r="K7" s="98">
        <f t="shared" si="6"/>
        <v>106.2</v>
      </c>
      <c r="L7" s="98">
        <f t="shared" si="7"/>
        <v>188.8</v>
      </c>
      <c r="M7" s="92">
        <v>4.0999999999999996</v>
      </c>
      <c r="N7" s="178">
        <f t="shared" si="8"/>
        <v>60</v>
      </c>
      <c r="O7" s="178" t="s">
        <v>256</v>
      </c>
      <c r="P7" s="304">
        <v>1.5</v>
      </c>
      <c r="Q7" s="179">
        <v>7</v>
      </c>
      <c r="R7" s="199">
        <f t="shared" si="9"/>
        <v>1</v>
      </c>
      <c r="S7" s="199">
        <f t="shared" si="10"/>
        <v>1</v>
      </c>
      <c r="T7" s="111">
        <v>3500</v>
      </c>
      <c r="U7" s="268">
        <f t="shared" si="3"/>
        <v>-210</v>
      </c>
      <c r="V7" s="269">
        <v>1220</v>
      </c>
      <c r="W7" s="108">
        <f t="shared" si="4"/>
        <v>2.8688524590163933</v>
      </c>
      <c r="X7" s="184">
        <v>0</v>
      </c>
      <c r="Y7" s="185">
        <v>11.95</v>
      </c>
      <c r="Z7" s="184">
        <v>5.95</v>
      </c>
      <c r="AA7" s="185">
        <v>6.95</v>
      </c>
      <c r="AB7" s="184">
        <v>7.95</v>
      </c>
      <c r="AC7" s="185">
        <v>1.95</v>
      </c>
      <c r="AD7" s="184">
        <v>16</v>
      </c>
      <c r="AE7" s="312">
        <v>1072</v>
      </c>
      <c r="AF7" s="647">
        <f t="shared" si="11"/>
        <v>8.9262799595304916</v>
      </c>
      <c r="AG7" s="647">
        <f t="shared" si="12"/>
        <v>8.9262799595304916</v>
      </c>
      <c r="AH7" s="108">
        <f t="shared" si="13"/>
        <v>4.5973549848239337</v>
      </c>
      <c r="AI7" s="108">
        <f t="shared" si="14"/>
        <v>11.014578710562388</v>
      </c>
      <c r="AJ7" s="108">
        <f t="shared" si="15"/>
        <v>14.761279959530491</v>
      </c>
      <c r="AK7" s="108">
        <f t="shared" si="16"/>
        <v>0.81560239676243929</v>
      </c>
      <c r="AL7" s="108">
        <f t="shared" si="17"/>
        <v>1.1663395971671342</v>
      </c>
      <c r="AM7" s="648">
        <f t="shared" si="18"/>
        <v>18.9291760097415</v>
      </c>
      <c r="AN7" s="648">
        <f t="shared" si="19"/>
        <v>18.9291760097415</v>
      </c>
      <c r="AO7" s="179">
        <v>3</v>
      </c>
      <c r="AP7" s="179">
        <v>2</v>
      </c>
      <c r="AQ7" s="241">
        <f t="shared" si="20"/>
        <v>0.1158</v>
      </c>
      <c r="AR7" s="313"/>
      <c r="AS7" s="313"/>
      <c r="AT7" s="313"/>
      <c r="AU7" s="313"/>
      <c r="AV7" s="241"/>
      <c r="AW7" s="241"/>
      <c r="AX7" s="241"/>
      <c r="AY7" s="241"/>
      <c r="AZ7" s="241"/>
      <c r="BA7" s="241"/>
      <c r="BB7" s="241"/>
      <c r="BC7" s="241"/>
      <c r="BD7" s="241"/>
      <c r="BE7" s="241"/>
      <c r="BF7" s="241"/>
      <c r="BG7" s="111">
        <v>3710</v>
      </c>
      <c r="BH7" s="316"/>
      <c r="BJ7" s="136"/>
      <c r="BK7" s="139"/>
    </row>
    <row r="8" spans="1:63" s="82" customFormat="1" x14ac:dyDescent="0.25">
      <c r="A8" s="99" t="s">
        <v>216</v>
      </c>
      <c r="B8" s="79" t="s">
        <v>2</v>
      </c>
      <c r="C8" s="132">
        <f t="shared" ca="1" si="21"/>
        <v>1.5535714285714286</v>
      </c>
      <c r="D8" s="639" t="s">
        <v>258</v>
      </c>
      <c r="E8" s="57">
        <v>32</v>
      </c>
      <c r="F8" s="58">
        <f ca="1">75-41471+$D$1-24-112-10-112-112+6-112-112-112+45-112-112-112-112-112-112-112-112-112-112-112-112-112-112</f>
        <v>50</v>
      </c>
      <c r="G8" s="80"/>
      <c r="H8" s="137">
        <v>4</v>
      </c>
      <c r="I8" s="59">
        <v>6.4</v>
      </c>
      <c r="J8" s="185">
        <f t="shared" si="5"/>
        <v>1.1589756263079682</v>
      </c>
      <c r="K8" s="98">
        <f t="shared" si="6"/>
        <v>102.4</v>
      </c>
      <c r="L8" s="98">
        <f t="shared" si="7"/>
        <v>160</v>
      </c>
      <c r="M8" s="92">
        <v>5.3</v>
      </c>
      <c r="N8" s="178">
        <f t="shared" si="8"/>
        <v>72</v>
      </c>
      <c r="O8" s="178" t="s">
        <v>256</v>
      </c>
      <c r="P8" s="304">
        <v>1.5</v>
      </c>
      <c r="Q8" s="179">
        <v>5</v>
      </c>
      <c r="R8" s="199">
        <f t="shared" si="9"/>
        <v>0.84515425472851657</v>
      </c>
      <c r="S8" s="199">
        <f t="shared" si="10"/>
        <v>0.92504826128926143</v>
      </c>
      <c r="T8" s="269">
        <v>11400</v>
      </c>
      <c r="U8" s="268">
        <f t="shared" si="3"/>
        <v>-290</v>
      </c>
      <c r="V8" s="269">
        <v>1710</v>
      </c>
      <c r="W8" s="108">
        <f t="shared" si="4"/>
        <v>6.666666666666667</v>
      </c>
      <c r="X8" s="184">
        <v>0</v>
      </c>
      <c r="Y8" s="185">
        <f>6.51+0.25+0.25+0.25+0.2+0.2+0.2+0.2+0.19+0.19+0.17+0.16+0.16+0.03+0.16+0.15*33/90+0.14+0.13+0.13*36/90+0.02+0.12*32/90+0.02+0.02+0.15*3/90</f>
        <v>9.6046666666666667</v>
      </c>
      <c r="Z8" s="184">
        <v>8</v>
      </c>
      <c r="AA8" s="185">
        <f>5.8+0.05+0.05+0.05+0.05+0.04+0.04+0.03+0.02+0.02+0.01</f>
        <v>6.1599999999999984</v>
      </c>
      <c r="AB8" s="184">
        <f>4.28+(0.4/3)+0.4+0.4+0.35+0.35+0.35+0.35+0.3+0.3+0.25+0.25+0.25+0.2+0.04+0.17+0.16+0.03+0.15+0.13+0.02</f>
        <v>8.8633333333333315</v>
      </c>
      <c r="AC8" s="185">
        <v>2.95</v>
      </c>
      <c r="AD8" s="184">
        <f>9+1*5/90+0.85+0.85*30/90+0.65+0.55+0.5+0.4+0.35+0.35+0.25+0.25*35/90</f>
        <v>13.33611111111111</v>
      </c>
      <c r="AE8" s="312">
        <v>1029</v>
      </c>
      <c r="AF8" s="647">
        <f t="shared" si="11"/>
        <v>9.008478601621734</v>
      </c>
      <c r="AG8" s="647">
        <f t="shared" si="12"/>
        <v>9.8682938778216371</v>
      </c>
      <c r="AH8" s="108">
        <f t="shared" si="13"/>
        <v>3.73011579318135</v>
      </c>
      <c r="AI8" s="108">
        <f t="shared" si="14"/>
        <v>8.8810476113509687</v>
      </c>
      <c r="AJ8" s="108">
        <f t="shared" si="15"/>
        <v>10.884955812189798</v>
      </c>
      <c r="AK8" s="108">
        <f t="shared" si="16"/>
        <v>0.76030138343797071</v>
      </c>
      <c r="AL8" s="108">
        <f t="shared" si="17"/>
        <v>0.97039829384155785</v>
      </c>
      <c r="AM8" s="648">
        <f t="shared" si="18"/>
        <v>13.447264342633117</v>
      </c>
      <c r="AN8" s="648">
        <f t="shared" si="19"/>
        <v>14.730740034390074</v>
      </c>
      <c r="AO8" s="179">
        <v>3</v>
      </c>
      <c r="AP8" s="179">
        <v>2</v>
      </c>
      <c r="AQ8" s="241">
        <f t="shared" si="20"/>
        <v>0.1158</v>
      </c>
      <c r="AR8" s="313"/>
      <c r="AS8" s="313"/>
      <c r="AT8" s="313"/>
      <c r="AU8" s="313"/>
      <c r="AV8" s="241"/>
      <c r="AW8" s="241"/>
      <c r="AX8" s="241"/>
      <c r="AY8" s="241"/>
      <c r="AZ8" s="241"/>
      <c r="BA8" s="241"/>
      <c r="BB8" s="241"/>
      <c r="BC8" s="241"/>
      <c r="BD8" s="241"/>
      <c r="BE8" s="241"/>
      <c r="BF8" s="241"/>
      <c r="BG8" s="269">
        <v>11690</v>
      </c>
      <c r="BH8" s="317"/>
      <c r="BJ8" s="136"/>
      <c r="BK8" s="139"/>
    </row>
    <row r="9" spans="1:63" s="82" customFormat="1" x14ac:dyDescent="0.25">
      <c r="A9" s="131" t="s">
        <v>175</v>
      </c>
      <c r="B9" s="131" t="s">
        <v>2</v>
      </c>
      <c r="C9" s="132">
        <f t="shared" ca="1" si="21"/>
        <v>-2.0357142857142856</v>
      </c>
      <c r="D9" s="639" t="s">
        <v>364</v>
      </c>
      <c r="E9" s="133">
        <v>36</v>
      </c>
      <c r="F9" s="58">
        <f ca="1">46-41471+$D$1-112-112-112-112-112-112-112-112-112-112-112-112-112-112-112-112-112-112-112-112</f>
        <v>4</v>
      </c>
      <c r="G9" s="134" t="s">
        <v>96</v>
      </c>
      <c r="H9" s="130">
        <v>0</v>
      </c>
      <c r="I9" s="102">
        <v>17.399999999999999</v>
      </c>
      <c r="J9" s="185">
        <f t="shared" si="5"/>
        <v>1.6864237640127151</v>
      </c>
      <c r="K9" s="98">
        <f t="shared" si="6"/>
        <v>0</v>
      </c>
      <c r="L9" s="98">
        <f t="shared" si="7"/>
        <v>17.399999999999999</v>
      </c>
      <c r="M9" s="135">
        <v>4.2</v>
      </c>
      <c r="N9" s="178">
        <f t="shared" si="8"/>
        <v>61</v>
      </c>
      <c r="O9" s="178" t="s">
        <v>256</v>
      </c>
      <c r="P9" s="304">
        <v>1.5</v>
      </c>
      <c r="Q9" s="178">
        <v>6</v>
      </c>
      <c r="R9" s="199">
        <f t="shared" si="9"/>
        <v>0.92582009977255142</v>
      </c>
      <c r="S9" s="199">
        <f t="shared" si="10"/>
        <v>0.99928545900129484</v>
      </c>
      <c r="T9" s="111">
        <v>21690</v>
      </c>
      <c r="U9" s="268">
        <f t="shared" si="3"/>
        <v>-1830</v>
      </c>
      <c r="V9" s="111">
        <v>5520</v>
      </c>
      <c r="W9" s="108">
        <f t="shared" si="4"/>
        <v>3.9293478260869565</v>
      </c>
      <c r="X9" s="184">
        <v>0</v>
      </c>
      <c r="Y9" s="185">
        <v>11.95</v>
      </c>
      <c r="Z9" s="184">
        <v>11.95</v>
      </c>
      <c r="AA9" s="185">
        <v>11.95</v>
      </c>
      <c r="AB9" s="184">
        <v>9.9499999999999993</v>
      </c>
      <c r="AC9" s="185">
        <v>5.95</v>
      </c>
      <c r="AD9" s="184">
        <f>10.8+0.67+0.55+0.55+0.45+0.45+0.4+0.4+0.35+0.35+0.33+0.33+0.3+0.3+0.25+0.25+0.2+0.2+0.2+0.2</f>
        <v>17.529999999999998</v>
      </c>
      <c r="AE9" s="312">
        <v>1771</v>
      </c>
      <c r="AF9" s="647">
        <f t="shared" si="11"/>
        <v>14.01360535939787</v>
      </c>
      <c r="AG9" s="647">
        <f t="shared" si="12"/>
        <v>15.136423764012715</v>
      </c>
      <c r="AH9" s="108">
        <f t="shared" si="13"/>
        <v>4.7921919598879255</v>
      </c>
      <c r="AI9" s="108">
        <f t="shared" si="14"/>
        <v>17.554008778465249</v>
      </c>
      <c r="AJ9" s="108">
        <f t="shared" si="15"/>
        <v>15.963382489518862</v>
      </c>
      <c r="AK9" s="108">
        <f t="shared" si="16"/>
        <v>1.078313901121017</v>
      </c>
      <c r="AL9" s="108">
        <f t="shared" si="17"/>
        <v>1.2269496634808901</v>
      </c>
      <c r="AM9" s="648">
        <f t="shared" si="18"/>
        <v>19.149723737095329</v>
      </c>
      <c r="AN9" s="648">
        <f t="shared" si="19"/>
        <v>20.684065664376796</v>
      </c>
      <c r="AO9" s="178">
        <v>1</v>
      </c>
      <c r="AP9" s="178">
        <v>2</v>
      </c>
      <c r="AQ9" s="241">
        <f t="shared" si="20"/>
        <v>4.9399999999999999E-2</v>
      </c>
      <c r="AR9" s="313"/>
      <c r="AS9" s="313"/>
      <c r="AT9" s="313"/>
      <c r="AU9" s="313"/>
      <c r="AV9" s="241"/>
      <c r="AW9" s="241"/>
      <c r="AX9" s="241"/>
      <c r="AY9" s="241"/>
      <c r="AZ9" s="241"/>
      <c r="BA9" s="241"/>
      <c r="BB9" s="241"/>
      <c r="BC9" s="241"/>
      <c r="BD9" s="241"/>
      <c r="BE9" s="241"/>
      <c r="BF9" s="241"/>
      <c r="BG9" s="111">
        <v>23520</v>
      </c>
      <c r="BH9" s="316"/>
      <c r="BJ9" s="136"/>
      <c r="BK9" s="139"/>
    </row>
    <row r="10" spans="1:63" s="82" customFormat="1" x14ac:dyDescent="0.25">
      <c r="A10" s="131" t="s">
        <v>173</v>
      </c>
      <c r="B10" s="79" t="s">
        <v>2</v>
      </c>
      <c r="C10" s="132">
        <f t="shared" ca="1" si="21"/>
        <v>-0.6696428571428571</v>
      </c>
      <c r="D10" s="639" t="s">
        <v>291</v>
      </c>
      <c r="E10" s="57">
        <v>34</v>
      </c>
      <c r="F10" s="58">
        <f ca="1">7-41471+$D$1-112-111-3-112-112-112-112-112-112-112-112-112-112-112-112-112-112-112-112-112</f>
        <v>75</v>
      </c>
      <c r="G10" s="134" t="s">
        <v>94</v>
      </c>
      <c r="H10" s="130">
        <v>3</v>
      </c>
      <c r="I10" s="59">
        <v>14.9</v>
      </c>
      <c r="J10" s="185">
        <f t="shared" si="5"/>
        <v>1.6018628324272688</v>
      </c>
      <c r="K10" s="98">
        <f t="shared" si="6"/>
        <v>134.1</v>
      </c>
      <c r="L10" s="98">
        <f t="shared" si="7"/>
        <v>238.4</v>
      </c>
      <c r="M10" s="92">
        <v>4.8</v>
      </c>
      <c r="N10" s="178">
        <f t="shared" si="8"/>
        <v>67</v>
      </c>
      <c r="O10" s="178" t="s">
        <v>256</v>
      </c>
      <c r="P10" s="304">
        <v>1.5</v>
      </c>
      <c r="Q10" s="179">
        <v>5</v>
      </c>
      <c r="R10" s="199">
        <f t="shared" si="9"/>
        <v>0.84515425472851657</v>
      </c>
      <c r="S10" s="199">
        <f t="shared" si="10"/>
        <v>0.92504826128926143</v>
      </c>
      <c r="T10" s="111">
        <v>26240</v>
      </c>
      <c r="U10" s="268">
        <f t="shared" si="3"/>
        <v>-3190</v>
      </c>
      <c r="V10" s="269">
        <v>12280</v>
      </c>
      <c r="W10" s="108">
        <f t="shared" si="4"/>
        <v>2.1368078175895766</v>
      </c>
      <c r="X10" s="184">
        <v>0</v>
      </c>
      <c r="Y10" s="185">
        <f>5.6+0.26+0.26+0.26+(0.26*23/90)+(0.05*(90-23)/90)+0.26+0.26+0.23+0.23+0.22+0.15+0.15+0.14+0.13+0.13+0.13+0.12+0.12+0.12+0.02+0.1+0.1+0.1+0.01+0.1</f>
        <v>9.3036666666666648</v>
      </c>
      <c r="Z10" s="184">
        <v>14</v>
      </c>
      <c r="AA10" s="185">
        <f>11.58+0.17+(0.17/2)+0.17+0.15+0.03+0.15+0.14+0.13+0.12+0.11+0.11</f>
        <v>12.945</v>
      </c>
      <c r="AB10" s="184">
        <v>9.9499999999999993</v>
      </c>
      <c r="AC10" s="185">
        <v>3.95</v>
      </c>
      <c r="AD10" s="184">
        <v>16</v>
      </c>
      <c r="AE10" s="312">
        <v>1856</v>
      </c>
      <c r="AF10" s="647">
        <f t="shared" si="11"/>
        <v>14.453712136609386</v>
      </c>
      <c r="AG10" s="647">
        <f t="shared" si="12"/>
        <v>15.833248353814303</v>
      </c>
      <c r="AH10" s="108">
        <f t="shared" si="13"/>
        <v>4.0682826060296433</v>
      </c>
      <c r="AI10" s="108">
        <f t="shared" si="14"/>
        <v>12.349492734535543</v>
      </c>
      <c r="AJ10" s="108">
        <f t="shared" si="15"/>
        <v>13.088788015222832</v>
      </c>
      <c r="AK10" s="108">
        <f t="shared" si="16"/>
        <v>0.92564902659418158</v>
      </c>
      <c r="AL10" s="108">
        <f t="shared" si="17"/>
        <v>1.0692770649365755</v>
      </c>
      <c r="AM10" s="648">
        <f t="shared" si="18"/>
        <v>16.112230612865979</v>
      </c>
      <c r="AN10" s="648">
        <f t="shared" si="19"/>
        <v>17.650064316783968</v>
      </c>
      <c r="AO10" s="179">
        <v>3</v>
      </c>
      <c r="AP10" s="179">
        <v>3</v>
      </c>
      <c r="AQ10" s="241">
        <f t="shared" si="20"/>
        <v>0.1158</v>
      </c>
      <c r="AR10" s="313"/>
      <c r="AS10" s="313"/>
      <c r="AT10" s="313"/>
      <c r="AU10" s="313"/>
      <c r="AV10" s="241"/>
      <c r="AW10" s="241"/>
      <c r="AX10" s="241"/>
      <c r="AY10" s="241"/>
      <c r="AZ10" s="241"/>
      <c r="BA10" s="241"/>
      <c r="BB10" s="241"/>
      <c r="BC10" s="241"/>
      <c r="BD10" s="241"/>
      <c r="BE10" s="241"/>
      <c r="BF10" s="241"/>
      <c r="BG10" s="111">
        <v>29430</v>
      </c>
      <c r="BH10" s="316"/>
      <c r="BJ10" s="136"/>
      <c r="BK10" s="139"/>
    </row>
    <row r="11" spans="1:63" s="2" customFormat="1" x14ac:dyDescent="0.25">
      <c r="A11" s="131" t="s">
        <v>171</v>
      </c>
      <c r="B11" s="131" t="s">
        <v>2</v>
      </c>
      <c r="C11" s="132">
        <f t="shared" ca="1" si="21"/>
        <v>-1.9196428571428572</v>
      </c>
      <c r="D11" s="639" t="s">
        <v>97</v>
      </c>
      <c r="E11" s="133">
        <v>35</v>
      </c>
      <c r="F11" s="138">
        <f ca="1">33-41471+$D$1-112-112-112-112-112-112-112-112-112-112-112-112-112-112-112-112-112-112-112</f>
        <v>103</v>
      </c>
      <c r="G11" s="134"/>
      <c r="H11" s="130">
        <v>3</v>
      </c>
      <c r="I11" s="102">
        <v>13.2</v>
      </c>
      <c r="J11" s="185">
        <f t="shared" si="5"/>
        <v>1.5363844591774087</v>
      </c>
      <c r="K11" s="98">
        <f t="shared" si="6"/>
        <v>118.8</v>
      </c>
      <c r="L11" s="98">
        <f t="shared" si="7"/>
        <v>211.2</v>
      </c>
      <c r="M11" s="135">
        <v>4.2</v>
      </c>
      <c r="N11" s="178">
        <f t="shared" si="8"/>
        <v>61</v>
      </c>
      <c r="O11" s="178" t="s">
        <v>256</v>
      </c>
      <c r="P11" s="304">
        <v>1.5</v>
      </c>
      <c r="Q11" s="178">
        <v>6</v>
      </c>
      <c r="R11" s="199">
        <f t="shared" si="9"/>
        <v>0.92582009977255142</v>
      </c>
      <c r="S11" s="199">
        <f t="shared" si="10"/>
        <v>0.99928545900129484</v>
      </c>
      <c r="T11" s="111">
        <v>8330</v>
      </c>
      <c r="U11" s="268">
        <f t="shared" si="3"/>
        <v>-650</v>
      </c>
      <c r="V11" s="111">
        <v>4400</v>
      </c>
      <c r="W11" s="108">
        <f t="shared" si="4"/>
        <v>1.8931818181818181</v>
      </c>
      <c r="X11" s="184">
        <v>0</v>
      </c>
      <c r="Y11" s="185">
        <f>7.5+0.2+0.2+0.2+0.2+0.2+0.16+0.16+0.14+0.14+0.13+0.13+0.12+0.12+0.12+0.12+0.11+0.1+0.1+0.1+0.1+0.1+0.1</f>
        <v>10.549999999999995</v>
      </c>
      <c r="Z11" s="184">
        <v>12.95</v>
      </c>
      <c r="AA11" s="185">
        <v>3.95</v>
      </c>
      <c r="AB11" s="184">
        <v>8.9499999999999993</v>
      </c>
      <c r="AC11" s="185">
        <v>0.95</v>
      </c>
      <c r="AD11" s="184">
        <v>17.3</v>
      </c>
      <c r="AE11" s="312">
        <v>1364</v>
      </c>
      <c r="AF11" s="647">
        <f t="shared" si="11"/>
        <v>14.800516054997994</v>
      </c>
      <c r="AG11" s="647">
        <f t="shared" si="12"/>
        <v>15.986384459177408</v>
      </c>
      <c r="AH11" s="108">
        <f t="shared" si="13"/>
        <v>4.34662739091993</v>
      </c>
      <c r="AI11" s="108">
        <f t="shared" si="14"/>
        <v>9.4455959245107834</v>
      </c>
      <c r="AJ11" s="108">
        <f t="shared" si="15"/>
        <v>14.286685899624228</v>
      </c>
      <c r="AK11" s="108">
        <f t="shared" si="16"/>
        <v>0.80941075673419272</v>
      </c>
      <c r="AL11" s="108">
        <f t="shared" si="17"/>
        <v>1.1535469121424184</v>
      </c>
      <c r="AM11" s="648">
        <f t="shared" si="18"/>
        <v>18.788684367445995</v>
      </c>
      <c r="AN11" s="648">
        <f t="shared" si="19"/>
        <v>20.294098574941135</v>
      </c>
      <c r="AO11" s="178">
        <v>4</v>
      </c>
      <c r="AP11" s="178">
        <v>1</v>
      </c>
      <c r="AQ11" s="241">
        <f t="shared" si="20"/>
        <v>0.157</v>
      </c>
      <c r="AR11" s="313"/>
      <c r="AS11" s="313"/>
      <c r="AT11" s="313"/>
      <c r="AU11" s="313"/>
      <c r="AV11" s="241"/>
      <c r="AW11" s="241"/>
      <c r="AX11" s="241"/>
      <c r="AY11" s="241"/>
      <c r="AZ11" s="241"/>
      <c r="BA11" s="241"/>
      <c r="BB11" s="241"/>
      <c r="BC11" s="241"/>
      <c r="BD11" s="241"/>
      <c r="BE11" s="241"/>
      <c r="BF11" s="241"/>
      <c r="BG11" s="111">
        <v>8980</v>
      </c>
      <c r="BH11" s="316"/>
      <c r="BJ11" s="136"/>
      <c r="BK11" s="139"/>
    </row>
    <row r="12" spans="1:63" s="82" customFormat="1" ht="14.25" customHeight="1" x14ac:dyDescent="0.25">
      <c r="A12" s="100" t="s">
        <v>427</v>
      </c>
      <c r="B12" s="79" t="s">
        <v>2</v>
      </c>
      <c r="C12" s="132">
        <f t="shared" ca="1" si="21"/>
        <v>-0.25</v>
      </c>
      <c r="D12" s="639" t="s">
        <v>181</v>
      </c>
      <c r="E12" s="57">
        <v>34</v>
      </c>
      <c r="F12" s="58">
        <f ca="1">59-41471+$D$1-325-112-112-112-112-112-112-112-112-112-112-112-112-112-112-112-112-112</f>
        <v>28</v>
      </c>
      <c r="G12" s="80"/>
      <c r="H12" s="130">
        <v>2</v>
      </c>
      <c r="I12" s="59">
        <v>4.5</v>
      </c>
      <c r="J12" s="185">
        <f t="shared" si="5"/>
        <v>0.98715025265899181</v>
      </c>
      <c r="K12" s="98">
        <f t="shared" si="6"/>
        <v>18</v>
      </c>
      <c r="L12" s="98">
        <f t="shared" si="7"/>
        <v>40.5</v>
      </c>
      <c r="M12" s="92">
        <v>4.9000000000000004</v>
      </c>
      <c r="N12" s="178">
        <f t="shared" si="8"/>
        <v>68</v>
      </c>
      <c r="O12" s="178" t="s">
        <v>256</v>
      </c>
      <c r="P12" s="304">
        <v>1.5</v>
      </c>
      <c r="Q12" s="179">
        <v>5</v>
      </c>
      <c r="R12" s="199">
        <f t="shared" si="9"/>
        <v>0.84515425472851657</v>
      </c>
      <c r="S12" s="199">
        <f t="shared" si="10"/>
        <v>0.92504826128926143</v>
      </c>
      <c r="T12" s="111">
        <v>2440</v>
      </c>
      <c r="U12" s="268">
        <f t="shared" si="3"/>
        <v>-280</v>
      </c>
      <c r="V12" s="269">
        <v>1190</v>
      </c>
      <c r="W12" s="108">
        <f t="shared" si="4"/>
        <v>2.0504201680672267</v>
      </c>
      <c r="X12" s="184">
        <v>0</v>
      </c>
      <c r="Y12" s="185">
        <f>4.45+0.06+0.2+0.06+0.06+(0.06*68/90)+0.06+0.06+0.06+0.04+(0.22*35/90)+0.04+0.04+0.04+0.04+0.04+0.04*0.5+0.2*66/90+0.02+0.12*33/90+0.02+0.02</f>
        <v>5.6515555555555519</v>
      </c>
      <c r="Z12" s="184">
        <v>9</v>
      </c>
      <c r="AA12" s="185">
        <v>6.95</v>
      </c>
      <c r="AB12" s="184">
        <v>8.9499999999999993</v>
      </c>
      <c r="AC12" s="185">
        <v>2.95</v>
      </c>
      <c r="AD12" s="184">
        <f>10+0.65+0.65+0.5+0.4+0.25+0.2+0.25*71/90</f>
        <v>12.847222222222223</v>
      </c>
      <c r="AE12" s="312">
        <v>864</v>
      </c>
      <c r="AF12" s="647">
        <f t="shared" si="11"/>
        <v>9.7084139107405019</v>
      </c>
      <c r="AG12" s="647">
        <f t="shared" si="12"/>
        <v>10.635034593019038</v>
      </c>
      <c r="AH12" s="108">
        <f t="shared" si="13"/>
        <v>3.2763467797255452</v>
      </c>
      <c r="AI12" s="108">
        <f t="shared" si="14"/>
        <v>8.3328611530597563</v>
      </c>
      <c r="AJ12" s="108">
        <f t="shared" si="15"/>
        <v>10.450506299406291</v>
      </c>
      <c r="AK12" s="108">
        <f t="shared" si="16"/>
        <v>0.73188868687938613</v>
      </c>
      <c r="AL12" s="108">
        <f t="shared" si="17"/>
        <v>0.78557940657501812</v>
      </c>
      <c r="AM12" s="648">
        <f t="shared" si="18"/>
        <v>12.861703018325491</v>
      </c>
      <c r="AN12" s="648">
        <f t="shared" si="19"/>
        <v>14.089289742138304</v>
      </c>
      <c r="AO12" s="179">
        <v>1</v>
      </c>
      <c r="AP12" s="179">
        <v>2</v>
      </c>
      <c r="AQ12" s="241">
        <f t="shared" si="20"/>
        <v>4.9399999999999999E-2</v>
      </c>
      <c r="AR12" s="313"/>
      <c r="AS12" s="313"/>
      <c r="AT12" s="313"/>
      <c r="AU12" s="313"/>
      <c r="AV12" s="241"/>
      <c r="AW12" s="241"/>
      <c r="AX12" s="241"/>
      <c r="AY12" s="241"/>
      <c r="AZ12" s="241"/>
      <c r="BA12" s="241"/>
      <c r="BB12" s="241"/>
      <c r="BC12" s="241"/>
      <c r="BD12" s="241"/>
      <c r="BE12" s="241"/>
      <c r="BF12" s="241"/>
      <c r="BG12" s="111">
        <v>2720</v>
      </c>
      <c r="BH12" s="316"/>
      <c r="BJ12" s="136"/>
      <c r="BK12" s="139"/>
    </row>
    <row r="13" spans="1:63" s="78" customFormat="1" x14ac:dyDescent="0.25">
      <c r="A13" s="131" t="s">
        <v>264</v>
      </c>
      <c r="B13" s="131" t="s">
        <v>62</v>
      </c>
      <c r="C13" s="132">
        <f t="shared" ca="1" si="21"/>
        <v>15.125</v>
      </c>
      <c r="D13" s="314" t="s">
        <v>404</v>
      </c>
      <c r="E13" s="133">
        <v>18</v>
      </c>
      <c r="F13" s="58">
        <f ca="1">-43571+$D$1</f>
        <v>98</v>
      </c>
      <c r="G13" s="134" t="s">
        <v>220</v>
      </c>
      <c r="H13" s="130">
        <v>4</v>
      </c>
      <c r="I13" s="102">
        <v>0.5</v>
      </c>
      <c r="J13" s="185">
        <f t="shared" si="5"/>
        <v>0.23478834540757498</v>
      </c>
      <c r="K13" s="98">
        <f t="shared" si="6"/>
        <v>8</v>
      </c>
      <c r="L13" s="98">
        <f t="shared" si="7"/>
        <v>12.5</v>
      </c>
      <c r="M13" s="135">
        <v>5.3</v>
      </c>
      <c r="N13" s="178">
        <f t="shared" si="8"/>
        <v>72</v>
      </c>
      <c r="O13" s="303">
        <v>43626</v>
      </c>
      <c r="P13" s="304">
        <f t="shared" ref="P13:P22" ca="1" si="22">IF((TODAY()-O13)&gt;335,1,((TODAY()-O13)^0.64)/(336^0.64))</f>
        <v>0.26826417179081041</v>
      </c>
      <c r="Q13" s="178">
        <v>4</v>
      </c>
      <c r="R13" s="199">
        <f t="shared" si="9"/>
        <v>0.7559289460184544</v>
      </c>
      <c r="S13" s="199">
        <f t="shared" si="10"/>
        <v>0.84430867747355465</v>
      </c>
      <c r="T13" s="111">
        <v>6670</v>
      </c>
      <c r="U13" s="268">
        <f t="shared" si="3"/>
        <v>380</v>
      </c>
      <c r="V13" s="111">
        <v>684</v>
      </c>
      <c r="W13" s="108">
        <f t="shared" si="4"/>
        <v>9.7514619883040936</v>
      </c>
      <c r="X13" s="184">
        <v>0</v>
      </c>
      <c r="Y13" s="185">
        <v>4</v>
      </c>
      <c r="Z13" s="184">
        <f>8+1/5</f>
        <v>8.1999999999999993</v>
      </c>
      <c r="AA13" s="185">
        <v>3</v>
      </c>
      <c r="AB13" s="184">
        <v>4</v>
      </c>
      <c r="AC13" s="185">
        <v>7</v>
      </c>
      <c r="AD13" s="184">
        <v>6</v>
      </c>
      <c r="AE13" s="312">
        <v>672</v>
      </c>
      <c r="AF13" s="647">
        <f t="shared" ca="1" si="11"/>
        <v>6.5788893164690316</v>
      </c>
      <c r="AG13" s="647">
        <f t="shared" ca="1" si="12"/>
        <v>7.3554218640359412</v>
      </c>
      <c r="AH13" s="108">
        <f t="shared" ca="1" si="13"/>
        <v>1.2764954036968215</v>
      </c>
      <c r="AI13" s="108">
        <f t="shared" ca="1" si="14"/>
        <v>6.3738009145052157</v>
      </c>
      <c r="AJ13" s="108">
        <f t="shared" ca="1" si="15"/>
        <v>5.1426243190339678</v>
      </c>
      <c r="AK13" s="108">
        <f t="shared" ca="1" si="16"/>
        <v>0.57024420137587084</v>
      </c>
      <c r="AL13" s="108">
        <f t="shared" ca="1" si="17"/>
        <v>0.37521367620388701</v>
      </c>
      <c r="AM13" s="648">
        <f t="shared" ca="1" si="18"/>
        <v>4.4349526122907825</v>
      </c>
      <c r="AN13" s="648">
        <f t="shared" ca="1" si="19"/>
        <v>4.9584277590362298</v>
      </c>
      <c r="AO13" s="178">
        <v>4</v>
      </c>
      <c r="AP13" s="178">
        <v>3</v>
      </c>
      <c r="AQ13" s="241">
        <f t="shared" si="20"/>
        <v>0.157</v>
      </c>
      <c r="AR13" s="320">
        <v>6</v>
      </c>
      <c r="AS13" s="320">
        <v>22</v>
      </c>
      <c r="AT13" s="320">
        <v>16</v>
      </c>
      <c r="AU13" s="320">
        <v>5</v>
      </c>
      <c r="AV13" s="320">
        <f>AR13*1+AS13*0.066</f>
        <v>7.452</v>
      </c>
      <c r="AW13" s="320">
        <f>AR13*0.919+AS13*0.167</f>
        <v>9.1880000000000006</v>
      </c>
      <c r="AX13" s="320">
        <f>AR13*1+AS13*0.236</f>
        <v>11.192</v>
      </c>
      <c r="AY13" s="320">
        <f>AR13*0.75+AS13*0.165</f>
        <v>8.1300000000000008</v>
      </c>
      <c r="AZ13" s="320">
        <f>AR13*0.73+AS13*0.38</f>
        <v>12.739999999999998</v>
      </c>
      <c r="BA13" s="320">
        <f>AR13*0.45+AS13*1</f>
        <v>24.7</v>
      </c>
      <c r="BB13" s="320">
        <f>AR13*0.65+AS13*0.95</f>
        <v>24.799999999999997</v>
      </c>
      <c r="BC13" s="320">
        <f>AR13*0.3+AS13*0.53</f>
        <v>13.46</v>
      </c>
      <c r="BD13" s="320">
        <f>AR13*0.4+AS13*0.44</f>
        <v>12.08</v>
      </c>
      <c r="BE13" s="320">
        <f>AR13*0.25+AS13*0.73</f>
        <v>17.559999999999999</v>
      </c>
      <c r="BF13" s="320">
        <f>AS13*0.46</f>
        <v>10.120000000000001</v>
      </c>
      <c r="BG13" s="111">
        <v>6290</v>
      </c>
      <c r="BH13" s="316">
        <v>2327</v>
      </c>
      <c r="BI13" s="653">
        <f>AU13+AT13+AS13+AR13</f>
        <v>49</v>
      </c>
      <c r="BJ13" s="136"/>
      <c r="BK13" s="139"/>
    </row>
    <row r="14" spans="1:63" s="78" customFormat="1" x14ac:dyDescent="0.25">
      <c r="A14" s="131" t="s">
        <v>179</v>
      </c>
      <c r="B14" s="131" t="s">
        <v>62</v>
      </c>
      <c r="C14" s="132">
        <f t="shared" ca="1" si="21"/>
        <v>15.633928571428571</v>
      </c>
      <c r="D14" s="314" t="s">
        <v>424</v>
      </c>
      <c r="E14" s="133">
        <v>18</v>
      </c>
      <c r="F14" s="58">
        <f ca="1">-43628+$D$1</f>
        <v>41</v>
      </c>
      <c r="G14" s="134" t="s">
        <v>105</v>
      </c>
      <c r="H14" s="309">
        <v>6</v>
      </c>
      <c r="I14" s="102">
        <v>1.4</v>
      </c>
      <c r="J14" s="185">
        <f t="shared" si="5"/>
        <v>0.50694832228214137</v>
      </c>
      <c r="K14" s="98">
        <f t="shared" si="6"/>
        <v>50.4</v>
      </c>
      <c r="L14" s="98">
        <f t="shared" si="7"/>
        <v>68.599999999999994</v>
      </c>
      <c r="M14" s="135">
        <v>4.0999999999999996</v>
      </c>
      <c r="N14" s="178">
        <f t="shared" si="8"/>
        <v>60</v>
      </c>
      <c r="O14" s="303">
        <v>43633</v>
      </c>
      <c r="P14" s="304">
        <f t="shared" ca="1" si="22"/>
        <v>0.23942884084114555</v>
      </c>
      <c r="Q14" s="178">
        <v>4</v>
      </c>
      <c r="R14" s="199">
        <f t="shared" si="9"/>
        <v>0.7559289460184544</v>
      </c>
      <c r="S14" s="199">
        <f t="shared" si="10"/>
        <v>0.84430867747355465</v>
      </c>
      <c r="T14" s="111">
        <v>9660</v>
      </c>
      <c r="U14" s="268">
        <f t="shared" si="3"/>
        <v>1380</v>
      </c>
      <c r="V14" s="111">
        <v>1490</v>
      </c>
      <c r="W14" s="108">
        <f t="shared" si="4"/>
        <v>6.4832214765100673</v>
      </c>
      <c r="X14" s="184">
        <v>0</v>
      </c>
      <c r="Y14" s="185">
        <v>3</v>
      </c>
      <c r="Z14" s="184">
        <f>6+3/4</f>
        <v>6.75</v>
      </c>
      <c r="AA14" s="185">
        <v>2</v>
      </c>
      <c r="AB14" s="184">
        <v>6</v>
      </c>
      <c r="AC14" s="185">
        <v>9</v>
      </c>
      <c r="AD14" s="184">
        <v>2</v>
      </c>
      <c r="AE14" s="312">
        <v>675</v>
      </c>
      <c r="AF14" s="647">
        <f t="shared" ref="AF14" ca="1" si="23">(Z14+P14+J14)*(Q14/7)^0.5</f>
        <v>5.6667284878765969</v>
      </c>
      <c r="AG14" s="647">
        <f t="shared" ref="AG14" ca="1" si="24">(Z14+P14+J14)*(IF(Q14=7, (Q14/7)^0.5, ((Q14+1)/7)^0.5))</f>
        <v>6.3355950544633322</v>
      </c>
      <c r="AH14" s="108">
        <f t="shared" ca="1" si="13"/>
        <v>1.6289448121291132</v>
      </c>
      <c r="AI14" s="108">
        <f t="shared" ca="1" si="14"/>
        <v>7.6269402103727444</v>
      </c>
      <c r="AJ14" s="108">
        <f t="shared" ca="1" si="15"/>
        <v>3.6635167809276932</v>
      </c>
      <c r="AK14" s="108">
        <f t="shared" ca="1" si="16"/>
        <v>0.56971017304986304</v>
      </c>
      <c r="AL14" s="108">
        <f t="shared" ca="1" si="17"/>
        <v>0.23224640141863007</v>
      </c>
      <c r="AM14" s="648">
        <f t="shared" ca="1" si="18"/>
        <v>1.840132299332373</v>
      </c>
      <c r="AN14" s="648">
        <f t="shared" ca="1" si="19"/>
        <v>2.0573304544500886</v>
      </c>
      <c r="AO14" s="178">
        <v>4</v>
      </c>
      <c r="AP14" s="178">
        <v>2</v>
      </c>
      <c r="AQ14" s="241">
        <f t="shared" si="20"/>
        <v>0.157</v>
      </c>
      <c r="AR14" s="320">
        <v>3</v>
      </c>
      <c r="AS14" s="320">
        <v>15</v>
      </c>
      <c r="AT14" s="320">
        <v>27</v>
      </c>
      <c r="AU14" s="320">
        <v>1</v>
      </c>
      <c r="AV14" s="320">
        <f t="shared" ref="AV14:AV22" si="25">AR14*1+AS14*0.066</f>
        <v>3.99</v>
      </c>
      <c r="AW14" s="320">
        <f t="shared" ref="AW14:AW22" si="26">AR14*0.919+AS14*0.167</f>
        <v>5.2620000000000005</v>
      </c>
      <c r="AX14" s="320">
        <f t="shared" ref="AX14:AX22" si="27">AR14*1+AS14*0.236</f>
        <v>6.54</v>
      </c>
      <c r="AY14" s="320">
        <f t="shared" ref="AY14:AY22" si="28">AR14*0.75+AS14*0.165</f>
        <v>4.7249999999999996</v>
      </c>
      <c r="AZ14" s="320">
        <f t="shared" ref="AZ14:AZ22" si="29">AR14*0.73+AS14*0.38</f>
        <v>7.8900000000000006</v>
      </c>
      <c r="BA14" s="320">
        <f t="shared" ref="BA14:BA22" si="30">AR14*0.45+AS14*1</f>
        <v>16.350000000000001</v>
      </c>
      <c r="BB14" s="320">
        <f t="shared" ref="BB14:BB22" si="31">AR14*0.65+AS14*0.95</f>
        <v>16.2</v>
      </c>
      <c r="BC14" s="320">
        <f t="shared" ref="BC14:BC22" si="32">AR14*0.3+AS14*0.53</f>
        <v>8.85</v>
      </c>
      <c r="BD14" s="320">
        <f t="shared" ref="BD14:BD22" si="33">AR14*0.4+AS14*0.44</f>
        <v>7.8</v>
      </c>
      <c r="BE14" s="320">
        <f t="shared" ref="BE14:BE22" si="34">AR14*0.25+AS14*0.73</f>
        <v>11.7</v>
      </c>
      <c r="BF14" s="320">
        <f t="shared" ref="BF14:BF22" si="35">AS14*0.46</f>
        <v>6.9</v>
      </c>
      <c r="BG14" s="111">
        <v>8280</v>
      </c>
      <c r="BH14" s="316">
        <v>4689</v>
      </c>
      <c r="BI14" s="653">
        <f t="shared" ref="BI14:BI22" si="36">AU14+AT14+AS14+AR14</f>
        <v>46</v>
      </c>
      <c r="BJ14" s="136"/>
      <c r="BK14" s="139"/>
    </row>
    <row r="15" spans="1:63" s="78" customFormat="1" x14ac:dyDescent="0.25">
      <c r="A15" s="131" t="s">
        <v>223</v>
      </c>
      <c r="B15" s="131" t="s">
        <v>62</v>
      </c>
      <c r="C15" s="132">
        <f ca="1">((34*112)-(E15*112)-(F15))/112</f>
        <v>14.982142857142858</v>
      </c>
      <c r="D15" s="314" t="s">
        <v>423</v>
      </c>
      <c r="E15" s="133">
        <v>19</v>
      </c>
      <c r="F15" s="58">
        <f ca="1">-43569+$D$1+14-112</f>
        <v>2</v>
      </c>
      <c r="G15" s="134" t="s">
        <v>96</v>
      </c>
      <c r="H15" s="130">
        <v>1</v>
      </c>
      <c r="I15" s="102">
        <v>1.9</v>
      </c>
      <c r="J15" s="185">
        <f>LOG(I15+1)*4/3</f>
        <v>0.61653066386527478</v>
      </c>
      <c r="K15" s="98">
        <f>(H15)*(H15)*(I15)</f>
        <v>1.9</v>
      </c>
      <c r="L15" s="98">
        <f>(H15+1)*(H15+1)*I15</f>
        <v>7.6</v>
      </c>
      <c r="M15" s="135">
        <v>4.3</v>
      </c>
      <c r="N15" s="178">
        <f>M15*10+19</f>
        <v>62</v>
      </c>
      <c r="O15" s="303">
        <v>43630</v>
      </c>
      <c r="P15" s="304">
        <f ca="1">IF((TODAY()-O15)&gt;335,1,((TODAY()-O15)^0.64)/(336^0.64))</f>
        <v>0.25201373503383784</v>
      </c>
      <c r="Q15" s="178">
        <v>5</v>
      </c>
      <c r="R15" s="199">
        <f>(Q15/7)^0.5</f>
        <v>0.84515425472851657</v>
      </c>
      <c r="S15" s="199">
        <f>IF(Q15=7,1,((Q15+0.99)/7)^0.5)</f>
        <v>0.92504826128926143</v>
      </c>
      <c r="T15" s="111">
        <v>10690</v>
      </c>
      <c r="U15" s="268">
        <f>T15-BG15</f>
        <v>880</v>
      </c>
      <c r="V15" s="111">
        <v>2436</v>
      </c>
      <c r="W15" s="108">
        <f>T15/V15</f>
        <v>4.388341543513957</v>
      </c>
      <c r="X15" s="184">
        <v>0</v>
      </c>
      <c r="Y15" s="185">
        <v>4</v>
      </c>
      <c r="Z15" s="184">
        <v>9</v>
      </c>
      <c r="AA15" s="185">
        <v>3</v>
      </c>
      <c r="AB15" s="184">
        <v>2</v>
      </c>
      <c r="AC15" s="185">
        <v>8</v>
      </c>
      <c r="AD15" s="184">
        <v>0</v>
      </c>
      <c r="AE15" s="312">
        <v>694</v>
      </c>
      <c r="AF15" s="647">
        <f ca="1">(Z15+P15+J15)*(Q15/7)^0.5</f>
        <v>8.3404422867068568</v>
      </c>
      <c r="AG15" s="647">
        <f ca="1">(Z15+P15+J15)*(IF(Q15=7, (Q15/7)^0.5, ((Q15+1)/7)^0.5))</f>
        <v>9.1364967599986304</v>
      </c>
      <c r="AH15" s="108">
        <f ca="1">(((Y15+P15+J15)+(AB15+P15+J15)*2)/8)*(Q15/7)^0.5</f>
        <v>1.1204245025348443</v>
      </c>
      <c r="AI15" s="108">
        <f ca="1">(1.66*(AC15+J15+P15)+0.55*(AD15+J15+P15)-7.6)*(Q15/7)^0.5</f>
        <v>6.422735493929931</v>
      </c>
      <c r="AJ15" s="108">
        <f ca="1">((AD15+J15+P15)*0.7+(AC15+J15+P15)*0.3)*(Q15/7)^0.5</f>
        <v>2.7624242054986463</v>
      </c>
      <c r="AK15" s="108">
        <f ca="1">(0.5*(AC15+P15+J15)+ 0.3*(AD15+P15+J15))/10</f>
        <v>0.46948355191192903</v>
      </c>
      <c r="AL15" s="108">
        <f ca="1">(0.4*(Y15+P15+J15)+0.3*(AD15+P15+J15))/10</f>
        <v>0.22079810792293789</v>
      </c>
      <c r="AM15" s="648">
        <f ca="1">(AD15+P15+(LOG(I15)*4/3))*(Q15/7)^0.5</f>
        <v>0.52711020290211086</v>
      </c>
      <c r="AN15" s="648">
        <f ca="1">(AD15+P15+(LOG(I15)*4/3))*(IF(Q15=7, (Q15/7)^0.5, ((Q15+1)/7)^0.5))</f>
        <v>0.57742029684122242</v>
      </c>
      <c r="AO15" s="178">
        <v>3</v>
      </c>
      <c r="AP15" s="178">
        <v>0</v>
      </c>
      <c r="AQ15" s="241">
        <f>IF(AO15=4,IF(AP15=0,0.137+0.0697,0.137+0.02),IF(AO15=3,IF(AP15=0,0.0958+0.0697,0.0958+0.02),IF(AO15=2,IF(AP15=0,0.0415+0.0697,0.0415+0.02),IF(AO15=1,IF(AP15=0,0.0294+0.0697,0.0294+0.02),IF(AO15=0,IF(AP15=0,0.0063+0.0697,0.0063+0.02))))))</f>
        <v>0.16549999999999998</v>
      </c>
      <c r="AR15" s="320">
        <v>6</v>
      </c>
      <c r="AS15" s="320">
        <v>26</v>
      </c>
      <c r="AT15" s="320">
        <v>21</v>
      </c>
      <c r="AU15" s="320">
        <v>-1</v>
      </c>
      <c r="AV15" s="320">
        <f>AR15*1+AS15*0.066</f>
        <v>7.7160000000000002</v>
      </c>
      <c r="AW15" s="320">
        <f>AR15*0.919+AS15*0.167</f>
        <v>9.8560000000000016</v>
      </c>
      <c r="AX15" s="320">
        <f>AR15*1+AS15*0.236</f>
        <v>12.135999999999999</v>
      </c>
      <c r="AY15" s="320">
        <f>AR15*0.75+AS15*0.165</f>
        <v>8.7899999999999991</v>
      </c>
      <c r="AZ15" s="320">
        <f>AR15*0.73+AS15*0.38</f>
        <v>14.260000000000002</v>
      </c>
      <c r="BA15" s="320">
        <f>AR15*0.45+AS15*1</f>
        <v>28.7</v>
      </c>
      <c r="BB15" s="320">
        <f>AR15*0.65+AS15*0.95</f>
        <v>28.6</v>
      </c>
      <c r="BC15" s="320">
        <f>AR15*0.3+AS15*0.53</f>
        <v>15.580000000000002</v>
      </c>
      <c r="BD15" s="320">
        <f>AR15*0.4+AS15*0.44</f>
        <v>13.84</v>
      </c>
      <c r="BE15" s="320">
        <f>AR15*0.25+AS15*0.73</f>
        <v>20.48</v>
      </c>
      <c r="BF15" s="320">
        <f>AS15*0.46</f>
        <v>11.96</v>
      </c>
      <c r="BG15" s="111">
        <v>9810</v>
      </c>
      <c r="BH15" s="316">
        <v>1887</v>
      </c>
      <c r="BI15" s="653">
        <f t="shared" si="36"/>
        <v>52</v>
      </c>
      <c r="BJ15" s="136"/>
      <c r="BK15" s="139"/>
    </row>
    <row r="16" spans="1:63" s="78" customFormat="1" x14ac:dyDescent="0.25">
      <c r="A16" s="131" t="s">
        <v>172</v>
      </c>
      <c r="B16" s="131" t="s">
        <v>62</v>
      </c>
      <c r="C16" s="132">
        <f ca="1">((34*112)-(E16*112)-(F16))/112</f>
        <v>14.982142857142858</v>
      </c>
      <c r="D16" s="314" t="s">
        <v>418</v>
      </c>
      <c r="E16" s="133">
        <v>19</v>
      </c>
      <c r="F16" s="58">
        <f ca="1">-43569+$D$1+14-112</f>
        <v>2</v>
      </c>
      <c r="G16" s="134" t="s">
        <v>105</v>
      </c>
      <c r="H16" s="130">
        <v>1</v>
      </c>
      <c r="I16" s="102">
        <v>1.8</v>
      </c>
      <c r="J16" s="185">
        <f>LOG(I16+1)*4/3</f>
        <v>0.59621070845629232</v>
      </c>
      <c r="K16" s="98">
        <f>(H16)*(H16)*(I16)</f>
        <v>1.8</v>
      </c>
      <c r="L16" s="98">
        <f>(H16+1)*(H16+1)*I16</f>
        <v>7.2</v>
      </c>
      <c r="M16" s="135">
        <v>6</v>
      </c>
      <c r="N16" s="178">
        <f>M16*10+19</f>
        <v>79</v>
      </c>
      <c r="O16" s="303">
        <v>43627</v>
      </c>
      <c r="P16" s="304">
        <f ca="1">IF((TODAY()-O16)&gt;335,1,((TODAY()-O16)^0.64)/(336^0.64))</f>
        <v>0.26425451014034512</v>
      </c>
      <c r="Q16" s="178">
        <v>7</v>
      </c>
      <c r="R16" s="199">
        <f>(Q16/7)^0.5</f>
        <v>1</v>
      </c>
      <c r="S16" s="199">
        <f>IF(Q16=7,1,((Q16+0.99)/7)^0.5)</f>
        <v>1</v>
      </c>
      <c r="T16" s="111">
        <v>16960</v>
      </c>
      <c r="U16" s="268">
        <f>T16-BG16</f>
        <v>1320</v>
      </c>
      <c r="V16" s="111">
        <v>2604</v>
      </c>
      <c r="W16" s="108">
        <f>T16/V16</f>
        <v>6.5130568356374807</v>
      </c>
      <c r="X16" s="184">
        <v>0</v>
      </c>
      <c r="Y16" s="185">
        <v>2</v>
      </c>
      <c r="Z16" s="184">
        <f>9+1/6</f>
        <v>9.1666666666666661</v>
      </c>
      <c r="AA16" s="185">
        <v>5</v>
      </c>
      <c r="AB16" s="184">
        <v>4</v>
      </c>
      <c r="AC16" s="185">
        <v>8</v>
      </c>
      <c r="AD16" s="184">
        <v>6</v>
      </c>
      <c r="AE16" s="312">
        <v>746</v>
      </c>
      <c r="AF16" s="647">
        <f ca="1">(Z16+P16+J16)*(Q16/7)^0.5</f>
        <v>10.027131885263303</v>
      </c>
      <c r="AG16" s="647">
        <f ca="1">(Z16+P16+J16)*(IF(Q16=7, (Q16/7)^0.5, ((Q16+1)/7)^0.5))</f>
        <v>10.027131885263303</v>
      </c>
      <c r="AH16" s="108">
        <f ca="1">(((Y16+P16+J16)+(AB16+P16+J16)*2)/8)*(Q16/7)^0.5</f>
        <v>1.572674456973739</v>
      </c>
      <c r="AI16" s="108">
        <f ca="1">(1.66*(AC16+J16+P16)+0.55*(AD16+J16+P16)-7.6)*(Q16/7)^0.5</f>
        <v>10.881628133098568</v>
      </c>
      <c r="AJ16" s="108">
        <f ca="1">((AD16+J16+P16)*0.7+(AC16+J16+P16)*0.3)*(Q16/7)^0.5</f>
        <v>7.4604652185966369</v>
      </c>
      <c r="AK16" s="108">
        <f ca="1">(0.5*(AC16+P16+J16)+ 0.3*(AD16+P16+J16))/10</f>
        <v>0.64883721748773093</v>
      </c>
      <c r="AL16" s="108">
        <f ca="1">(0.4*(Y16+P16+J16)+0.3*(AD16+P16+J16))/10</f>
        <v>0.32023256530176464</v>
      </c>
      <c r="AM16" s="648">
        <f ca="1">(AD16+P16+(LOG(I16)*4/3))*(Q16/7)^0.5</f>
        <v>6.6046178502780863</v>
      </c>
      <c r="AN16" s="648">
        <f ca="1">(AD16+P16+(LOG(I16)*4/3))*(IF(Q16=7, (Q16/7)^0.5, ((Q16+1)/7)^0.5))</f>
        <v>6.6046178502780863</v>
      </c>
      <c r="AO16" s="178">
        <v>4</v>
      </c>
      <c r="AP16" s="178">
        <v>2</v>
      </c>
      <c r="AQ16" s="241">
        <f>IF(AO16=4,IF(AP16=0,0.137+0.0697,0.137+0.02),IF(AO16=3,IF(AP16=0,0.0958+0.0697,0.0958+0.02),IF(AO16=2,IF(AP16=0,0.0415+0.0697,0.0415+0.02),IF(AO16=1,IF(AP16=0,0.0294+0.0697,0.0294+0.02),IF(AO16=0,IF(AP16=0,0.0063+0.0697,0.0063+0.02))))))</f>
        <v>0.157</v>
      </c>
      <c r="AR16" s="320">
        <v>0</v>
      </c>
      <c r="AS16" s="320">
        <v>27</v>
      </c>
      <c r="AT16" s="320">
        <v>21</v>
      </c>
      <c r="AU16" s="320">
        <v>5</v>
      </c>
      <c r="AV16" s="320">
        <f>AR16*1+AS16*0.066</f>
        <v>1.782</v>
      </c>
      <c r="AW16" s="320">
        <f>AR16*0.919+AS16*0.167</f>
        <v>4.5090000000000003</v>
      </c>
      <c r="AX16" s="320">
        <f>AR16*1+AS16*0.236</f>
        <v>6.3719999999999999</v>
      </c>
      <c r="AY16" s="320">
        <f>AR16*0.75+AS16*0.165</f>
        <v>4.4550000000000001</v>
      </c>
      <c r="AZ16" s="320">
        <f>AR16*0.73+AS16*0.38</f>
        <v>10.26</v>
      </c>
      <c r="BA16" s="320">
        <f>AR16*0.45+AS16*1</f>
        <v>27</v>
      </c>
      <c r="BB16" s="320">
        <f>AR16*0.65+AS16*0.95</f>
        <v>25.65</v>
      </c>
      <c r="BC16" s="320">
        <f>AR16*0.3+AS16*0.53</f>
        <v>14.31</v>
      </c>
      <c r="BD16" s="320">
        <f>AR16*0.4+AS16*0.44</f>
        <v>11.88</v>
      </c>
      <c r="BE16" s="320">
        <f>AR16*0.25+AS16*0.73</f>
        <v>19.71</v>
      </c>
      <c r="BF16" s="320">
        <f>AS16*0.46</f>
        <v>12.42</v>
      </c>
      <c r="BG16" s="111">
        <v>15640</v>
      </c>
      <c r="BH16" s="316">
        <v>3853</v>
      </c>
      <c r="BI16" s="653">
        <f t="shared" si="36"/>
        <v>53</v>
      </c>
      <c r="BJ16" s="136"/>
      <c r="BK16" s="139"/>
    </row>
    <row r="17" spans="1:63" s="78" customFormat="1" x14ac:dyDescent="0.25">
      <c r="A17" s="131" t="s">
        <v>425</v>
      </c>
      <c r="B17" s="131" t="s">
        <v>62</v>
      </c>
      <c r="C17" s="132">
        <f ca="1">((34*112)-(E17*112)-(F17))/112</f>
        <v>15.107142857142858</v>
      </c>
      <c r="D17" s="314" t="s">
        <v>405</v>
      </c>
      <c r="E17" s="133">
        <v>18</v>
      </c>
      <c r="F17" s="58">
        <f ca="1">-43569+$D$1</f>
        <v>100</v>
      </c>
      <c r="G17" s="134" t="s">
        <v>220</v>
      </c>
      <c r="H17" s="130">
        <v>4</v>
      </c>
      <c r="I17" s="102">
        <v>1.2</v>
      </c>
      <c r="J17" s="185">
        <f>LOG(I17+1)*4/3</f>
        <v>0.45656357442960838</v>
      </c>
      <c r="K17" s="98">
        <f>(H17)*(H17)*(I17)</f>
        <v>19.2</v>
      </c>
      <c r="L17" s="98">
        <f>(H17+1)*(H17+1)*I17</f>
        <v>30</v>
      </c>
      <c r="M17" s="135">
        <v>5.5</v>
      </c>
      <c r="N17" s="178">
        <f>M17*10+19</f>
        <v>74</v>
      </c>
      <c r="O17" s="303">
        <v>43626</v>
      </c>
      <c r="P17" s="304">
        <f ca="1">IF((TODAY()-O17)&gt;335,1,((TODAY()-O17)^0.64)/(336^0.64))</f>
        <v>0.26826417179081041</v>
      </c>
      <c r="Q17" s="178">
        <v>6</v>
      </c>
      <c r="R17" s="199">
        <f>(Q17/7)^0.5</f>
        <v>0.92582009977255142</v>
      </c>
      <c r="S17" s="199">
        <f>IF(Q17=7,1,((Q17+0.99)/7)^0.5)</f>
        <v>0.99928545900129484</v>
      </c>
      <c r="T17" s="111">
        <v>6680</v>
      </c>
      <c r="U17" s="268">
        <f>T17-BG17</f>
        <v>360</v>
      </c>
      <c r="V17" s="111">
        <v>660</v>
      </c>
      <c r="W17" s="108">
        <f>T17/V17</f>
        <v>10.121212121212121</v>
      </c>
      <c r="X17" s="184">
        <v>0</v>
      </c>
      <c r="Y17" s="185">
        <v>6</v>
      </c>
      <c r="Z17" s="184">
        <v>7</v>
      </c>
      <c r="AA17" s="185">
        <v>2</v>
      </c>
      <c r="AB17" s="184">
        <v>3</v>
      </c>
      <c r="AC17" s="185">
        <v>6</v>
      </c>
      <c r="AD17" s="184">
        <v>8</v>
      </c>
      <c r="AE17" s="312">
        <v>645</v>
      </c>
      <c r="AF17" s="647">
        <f ca="1">(Z17+P17+J17)*(Q17/7)^0.5</f>
        <v>7.1518007947315612</v>
      </c>
      <c r="AG17" s="647">
        <f ca="1">(Z17+P17+J17)*(IF(Q17=7, (Q17/7)^0.5, ((Q17+1)/7)^0.5))</f>
        <v>7.7248277462204182</v>
      </c>
      <c r="AH17" s="108">
        <f ca="1">(((Y17+P17+J17)+(AB17+P17+J17)*2)/8)*(Q17/7)^0.5</f>
        <v>1.6403776857802153</v>
      </c>
      <c r="AI17" s="108">
        <f ca="1">(1.66*(AC17+J17+P17)+0.55*(AD17+J17+P17)-7.6)*(Q17/7)^0.5</f>
        <v>7.7415866873378301</v>
      </c>
      <c r="AJ17" s="108">
        <f ca="1">((AD17+J17+P17)*0.7+(AC17+J17+P17)*0.3)*(Q17/7)^0.5</f>
        <v>7.5221288346405819</v>
      </c>
      <c r="AK17" s="108">
        <f ca="1">(0.5*(AC17+P17+J17)+ 0.3*(AD17+P17+J17))/10</f>
        <v>0.59798621969763344</v>
      </c>
      <c r="AL17" s="108">
        <f ca="1">(0.4*(Y17+P17+J17)+0.3*(AD17+P17+J17))/10</f>
        <v>0.53073794223542925</v>
      </c>
      <c r="AM17" s="648">
        <f ca="1">(AD17+P17+(LOG(I17)*4/3))*(Q17/7)^0.5</f>
        <v>7.7526686126277493</v>
      </c>
      <c r="AN17" s="648">
        <f ca="1">(AD17+P17+(LOG(I17)*4/3))*(IF(Q17=7, (Q17/7)^0.5, ((Q17+1)/7)^0.5))</f>
        <v>8.3738391665209768</v>
      </c>
      <c r="AO17" s="178">
        <v>2</v>
      </c>
      <c r="AP17" s="178">
        <v>3</v>
      </c>
      <c r="AQ17" s="241">
        <f>IF(AO17=4,IF(AP17=0,0.137+0.0697,0.137+0.02),IF(AO17=3,IF(AP17=0,0.0958+0.0697,0.0958+0.02),IF(AO17=2,IF(AP17=0,0.0415+0.0697,0.0415+0.02),IF(AO17=1,IF(AP17=0,0.0294+0.0697,0.0294+0.02),IF(AO17=0,IF(AP17=0,0.0063+0.0697,0.0063+0.02))))))</f>
        <v>6.1499999999999999E-2</v>
      </c>
      <c r="AR17" s="320">
        <v>14</v>
      </c>
      <c r="AS17" s="320">
        <v>16</v>
      </c>
      <c r="AT17" s="320">
        <v>12</v>
      </c>
      <c r="AU17" s="320">
        <v>8</v>
      </c>
      <c r="AV17" s="320">
        <f>AR17*1+AS17*0.066</f>
        <v>15.056000000000001</v>
      </c>
      <c r="AW17" s="320">
        <f>AR17*0.919+AS17*0.167</f>
        <v>15.538</v>
      </c>
      <c r="AX17" s="320">
        <f>AR17*1+AS17*0.236</f>
        <v>17.776</v>
      </c>
      <c r="AY17" s="320">
        <f>AR17*0.75+AS17*0.165</f>
        <v>13.14</v>
      </c>
      <c r="AZ17" s="320">
        <f>AR17*0.73+AS17*0.38</f>
        <v>16.299999999999997</v>
      </c>
      <c r="BA17" s="320">
        <f>AR17*0.45+AS17*1</f>
        <v>22.3</v>
      </c>
      <c r="BB17" s="320">
        <f>AR17*0.65+AS17*0.95</f>
        <v>24.299999999999997</v>
      </c>
      <c r="BC17" s="320">
        <f>AR17*0.3+AS17*0.53</f>
        <v>12.68</v>
      </c>
      <c r="BD17" s="320">
        <f>AR17*0.4+AS17*0.44</f>
        <v>12.64</v>
      </c>
      <c r="BE17" s="320">
        <f>AR17*0.25+AS17*0.73</f>
        <v>15.18</v>
      </c>
      <c r="BF17" s="320">
        <f>AS17*0.46</f>
        <v>7.36</v>
      </c>
      <c r="BG17" s="111">
        <v>6320</v>
      </c>
      <c r="BH17" s="316">
        <v>1548</v>
      </c>
      <c r="BI17" s="653">
        <f>AU17+AT17+AS17+AR17</f>
        <v>50</v>
      </c>
      <c r="BJ17" s="136"/>
      <c r="BK17" s="139"/>
    </row>
    <row r="18" spans="1:63" s="78" customFormat="1" x14ac:dyDescent="0.25">
      <c r="A18" s="131" t="s">
        <v>213</v>
      </c>
      <c r="B18" s="131" t="s">
        <v>62</v>
      </c>
      <c r="C18" s="132">
        <f ca="1">((34*112)-(E18*112)-(F18))/112</f>
        <v>14.616071428571429</v>
      </c>
      <c r="D18" s="314" t="s">
        <v>406</v>
      </c>
      <c r="E18" s="133">
        <v>19</v>
      </c>
      <c r="F18" s="58">
        <f ca="1">-43626+$D$1</f>
        <v>43</v>
      </c>
      <c r="G18" s="134" t="s">
        <v>67</v>
      </c>
      <c r="H18" s="130">
        <v>4</v>
      </c>
      <c r="I18" s="102">
        <v>2.1</v>
      </c>
      <c r="J18" s="185">
        <f>LOG(I18+1)*4/3</f>
        <v>0.65514892511236356</v>
      </c>
      <c r="K18" s="98">
        <f>(H18)*(H18)*(I18)</f>
        <v>33.6</v>
      </c>
      <c r="L18" s="98">
        <f>(H18+1)*(H18+1)*I18</f>
        <v>52.5</v>
      </c>
      <c r="M18" s="135">
        <v>3.9</v>
      </c>
      <c r="N18" s="178">
        <f>M18*10+19</f>
        <v>58</v>
      </c>
      <c r="O18" s="303">
        <v>43626</v>
      </c>
      <c r="P18" s="304">
        <f ca="1">IF((TODAY()-O18)&gt;335,1,((TODAY()-O18)^0.64)/(336^0.64))</f>
        <v>0.26826417179081041</v>
      </c>
      <c r="Q18" s="178">
        <v>6</v>
      </c>
      <c r="R18" s="199">
        <f>(Q18/7)^0.5</f>
        <v>0.92582009977255142</v>
      </c>
      <c r="S18" s="199">
        <f>IF(Q18=7,1,((Q18+0.99)/7)^0.5)</f>
        <v>0.99928545900129484</v>
      </c>
      <c r="T18" s="111">
        <v>10550</v>
      </c>
      <c r="U18" s="268">
        <f>T18-BG18</f>
        <v>950</v>
      </c>
      <c r="V18" s="111">
        <v>870</v>
      </c>
      <c r="W18" s="108">
        <f>T18/V18</f>
        <v>12.126436781609195</v>
      </c>
      <c r="X18" s="184">
        <v>0</v>
      </c>
      <c r="Y18" s="185">
        <v>7</v>
      </c>
      <c r="Z18" s="184">
        <f>8+2/5</f>
        <v>8.4</v>
      </c>
      <c r="AA18" s="185">
        <v>2</v>
      </c>
      <c r="AB18" s="184">
        <v>4</v>
      </c>
      <c r="AC18" s="185">
        <v>6</v>
      </c>
      <c r="AD18" s="184">
        <v>2</v>
      </c>
      <c r="AE18" s="312">
        <v>731</v>
      </c>
      <c r="AF18" s="647">
        <f ca="1">(Z18+P18+J18)*(Q18/7)^0.5</f>
        <v>8.6318032435956109</v>
      </c>
      <c r="AG18" s="647">
        <f ca="1">(Z18+P18+J18)*(IF(Q18=7, (Q18/7)^0.5, ((Q18+1)/7)^0.5))</f>
        <v>9.3234130969031757</v>
      </c>
      <c r="AH18" s="108">
        <f ca="1">(((Y18+P18+J18)+(AB18+P18+J18)*2)/8)*(Q18/7)^0.5</f>
        <v>2.0565055891383501</v>
      </c>
      <c r="AI18" s="108">
        <f ca="1">(1.66*(AC18+J18+P18)+0.55*(AD18+J18+P18)-7.6)*(Q18/7)^0.5</f>
        <v>5.0926983813816795</v>
      </c>
      <c r="AJ18" s="108">
        <f ca="1">((AD18+J18+P18)*0.7+(AC18+J18+P18)*0.3)*(Q18/7)^0.5</f>
        <v>3.8175387247783408</v>
      </c>
      <c r="AK18" s="108">
        <f ca="1">(0.5*(AC18+P18+J18)+ 0.3*(AD18+P18+J18))/10</f>
        <v>0.43387304775225388</v>
      </c>
      <c r="AL18" s="108">
        <f ca="1">(0.4*(Y18+P18+J18)+0.3*(AD18+P18+J18))/10</f>
        <v>0.40463891678322217</v>
      </c>
      <c r="AM18" s="648">
        <f ca="1">(AD18+P18+(LOG(I18)*4/3))*(Q18/7)^0.5</f>
        <v>2.4977606946368027</v>
      </c>
      <c r="AN18" s="648">
        <f ca="1">(AD18+P18+(LOG(I18)*4/3))*(IF(Q18=7, (Q18/7)^0.5, ((Q18+1)/7)^0.5))</f>
        <v>2.6978898981027029</v>
      </c>
      <c r="AO18" s="178">
        <v>3</v>
      </c>
      <c r="AP18" s="178">
        <v>3</v>
      </c>
      <c r="AQ18" s="241">
        <f>IF(AO18=4,IF(AP18=0,0.137+0.0697,0.137+0.02),IF(AO18=3,IF(AP18=0,0.0958+0.0697,0.0958+0.02),IF(AO18=2,IF(AP18=0,0.0415+0.0697,0.0415+0.02),IF(AO18=1,IF(AP18=0,0.0294+0.0697,0.0294+0.02),IF(AO18=0,IF(AP18=0,0.0063+0.0697,0.0063+0.02))))))</f>
        <v>0.1158</v>
      </c>
      <c r="AR18" s="320">
        <v>18</v>
      </c>
      <c r="AS18" s="320">
        <v>23</v>
      </c>
      <c r="AT18" s="320">
        <v>12</v>
      </c>
      <c r="AU18" s="320">
        <v>1</v>
      </c>
      <c r="AV18" s="320">
        <f>AR18*1+AS18*0.066</f>
        <v>19.518000000000001</v>
      </c>
      <c r="AW18" s="320">
        <f>AR18*0.919+AS18*0.167</f>
        <v>20.383000000000003</v>
      </c>
      <c r="AX18" s="320">
        <f>AR18*1+AS18*0.236</f>
        <v>23.428000000000001</v>
      </c>
      <c r="AY18" s="320">
        <f>AR18*0.75+AS18*0.165</f>
        <v>17.295000000000002</v>
      </c>
      <c r="AZ18" s="320">
        <f>AR18*0.73+AS18*0.38</f>
        <v>21.880000000000003</v>
      </c>
      <c r="BA18" s="320">
        <f>AR18*0.45+AS18*1</f>
        <v>31.1</v>
      </c>
      <c r="BB18" s="320">
        <f>AR18*0.65+AS18*0.95</f>
        <v>33.549999999999997</v>
      </c>
      <c r="BC18" s="320">
        <f>AR18*0.3+AS18*0.53</f>
        <v>17.59</v>
      </c>
      <c r="BD18" s="320">
        <f>AR18*0.4+AS18*0.44</f>
        <v>17.32</v>
      </c>
      <c r="BE18" s="320">
        <f>AR18*0.25+AS18*0.73</f>
        <v>21.29</v>
      </c>
      <c r="BF18" s="320">
        <f>AS18*0.46</f>
        <v>10.58</v>
      </c>
      <c r="BG18" s="111">
        <v>9600</v>
      </c>
      <c r="BH18" s="316">
        <v>1308</v>
      </c>
      <c r="BI18" s="653">
        <f t="shared" si="36"/>
        <v>54</v>
      </c>
      <c r="BJ18" s="136"/>
      <c r="BK18" s="139"/>
    </row>
    <row r="19" spans="1:63" s="78" customFormat="1" x14ac:dyDescent="0.25">
      <c r="A19" s="131" t="s">
        <v>426</v>
      </c>
      <c r="B19" s="131" t="s">
        <v>63</v>
      </c>
      <c r="C19" s="132">
        <f t="shared" ca="1" si="21"/>
        <v>10.991071428571429</v>
      </c>
      <c r="D19" s="342" t="s">
        <v>676</v>
      </c>
      <c r="E19" s="133">
        <v>23</v>
      </c>
      <c r="F19" s="58">
        <f ca="1">-43571+$D$1+15-112</f>
        <v>1</v>
      </c>
      <c r="G19" s="134" t="s">
        <v>220</v>
      </c>
      <c r="H19" s="130">
        <v>5</v>
      </c>
      <c r="I19" s="102">
        <v>1.8</v>
      </c>
      <c r="J19" s="185">
        <f t="shared" si="5"/>
        <v>0.59621070845629232</v>
      </c>
      <c r="K19" s="98">
        <f t="shared" si="6"/>
        <v>45</v>
      </c>
      <c r="L19" s="98">
        <f t="shared" si="7"/>
        <v>64.8</v>
      </c>
      <c r="M19" s="135">
        <v>6</v>
      </c>
      <c r="N19" s="178">
        <f t="shared" si="8"/>
        <v>79</v>
      </c>
      <c r="O19" s="303">
        <v>43650</v>
      </c>
      <c r="P19" s="304">
        <f ca="1">IF((TODAY()-O19)&gt;335,1,((TODAY()-O19)^0.64)/(336^0.64))</f>
        <v>0.15905420932620543</v>
      </c>
      <c r="Q19" s="178">
        <v>6</v>
      </c>
      <c r="R19" s="199">
        <f t="shared" si="9"/>
        <v>0.92582009977255142</v>
      </c>
      <c r="S19" s="199">
        <f t="shared" si="10"/>
        <v>0.99928545900129484</v>
      </c>
      <c r="T19" s="111">
        <v>19110</v>
      </c>
      <c r="U19" s="268">
        <f>T19-BG19</f>
        <v>600</v>
      </c>
      <c r="V19" s="111">
        <v>2316</v>
      </c>
      <c r="W19" s="108">
        <f t="shared" si="4"/>
        <v>8.2512953367875639</v>
      </c>
      <c r="X19" s="184">
        <v>0</v>
      </c>
      <c r="Y19" s="185">
        <v>3</v>
      </c>
      <c r="Z19" s="184">
        <f>8+2/11</f>
        <v>8.1818181818181817</v>
      </c>
      <c r="AA19" s="185">
        <v>9</v>
      </c>
      <c r="AB19" s="184">
        <v>6</v>
      </c>
      <c r="AC19" s="185">
        <v>3</v>
      </c>
      <c r="AD19" s="184">
        <v>3</v>
      </c>
      <c r="AE19" s="312">
        <v>698</v>
      </c>
      <c r="AF19" s="647">
        <f t="shared" ca="1" si="11"/>
        <v>8.2741311669478836</v>
      </c>
      <c r="AG19" s="647">
        <f t="shared" ca="1" si="12"/>
        <v>8.9370830996006791</v>
      </c>
      <c r="AH19" s="108">
        <f t="shared" ca="1" si="13"/>
        <v>1.9981274776495712</v>
      </c>
      <c r="AI19" s="108">
        <f t="shared" ca="1" si="14"/>
        <v>0.64727366901540695</v>
      </c>
      <c r="AJ19" s="108">
        <f t="shared" ca="1" si="15"/>
        <v>3.4766997408537543</v>
      </c>
      <c r="AK19" s="108">
        <f t="shared" ca="1" si="16"/>
        <v>0.30042119342259987</v>
      </c>
      <c r="AL19" s="108">
        <f t="shared" ca="1" si="17"/>
        <v>0.26286854424477485</v>
      </c>
      <c r="AM19" s="648">
        <f t="shared" ca="1" si="18"/>
        <v>3.2398311047905288</v>
      </c>
      <c r="AN19" s="648">
        <f t="shared" ca="1" si="19"/>
        <v>3.499417549463947</v>
      </c>
      <c r="AO19" s="178">
        <v>1</v>
      </c>
      <c r="AP19" s="178">
        <v>2</v>
      </c>
      <c r="AQ19" s="241">
        <f t="shared" si="20"/>
        <v>4.9399999999999999E-2</v>
      </c>
      <c r="AR19" s="320">
        <v>3</v>
      </c>
      <c r="AS19" s="320">
        <f>21+0.5</f>
        <v>21.5</v>
      </c>
      <c r="AT19" s="320">
        <v>2</v>
      </c>
      <c r="AU19" s="320">
        <v>1</v>
      </c>
      <c r="AV19" s="320">
        <f t="shared" si="25"/>
        <v>4.4190000000000005</v>
      </c>
      <c r="AW19" s="320">
        <f t="shared" si="26"/>
        <v>6.3475000000000001</v>
      </c>
      <c r="AX19" s="320">
        <f t="shared" si="27"/>
        <v>8.0739999999999998</v>
      </c>
      <c r="AY19" s="320">
        <f t="shared" si="28"/>
        <v>5.7975000000000003</v>
      </c>
      <c r="AZ19" s="320">
        <f t="shared" si="29"/>
        <v>10.36</v>
      </c>
      <c r="BA19" s="320">
        <f t="shared" si="30"/>
        <v>22.85</v>
      </c>
      <c r="BB19" s="320">
        <f t="shared" si="31"/>
        <v>22.375</v>
      </c>
      <c r="BC19" s="320">
        <f t="shared" si="32"/>
        <v>12.295000000000002</v>
      </c>
      <c r="BD19" s="320">
        <f t="shared" si="33"/>
        <v>10.66</v>
      </c>
      <c r="BE19" s="320">
        <f t="shared" si="34"/>
        <v>16.445</v>
      </c>
      <c r="BF19" s="320">
        <f t="shared" si="35"/>
        <v>9.89</v>
      </c>
      <c r="BG19" s="111">
        <v>18510</v>
      </c>
      <c r="BH19" s="316">
        <v>2017</v>
      </c>
      <c r="BI19" s="653">
        <f t="shared" si="36"/>
        <v>27.5</v>
      </c>
      <c r="BJ19" s="136"/>
      <c r="BK19" s="139"/>
    </row>
    <row r="20" spans="1:63" s="78" customFormat="1" x14ac:dyDescent="0.25">
      <c r="A20" s="131" t="s">
        <v>292</v>
      </c>
      <c r="B20" s="131" t="s">
        <v>63</v>
      </c>
      <c r="C20" s="132">
        <f t="shared" ca="1" si="21"/>
        <v>7.9375</v>
      </c>
      <c r="D20" s="342" t="s">
        <v>442</v>
      </c>
      <c r="E20" s="133">
        <v>26</v>
      </c>
      <c r="F20" s="58">
        <f ca="1">-43570+$D$1+20-112</f>
        <v>7</v>
      </c>
      <c r="G20" s="134"/>
      <c r="H20" s="130">
        <v>5</v>
      </c>
      <c r="I20" s="102">
        <v>4.5999999999999996</v>
      </c>
      <c r="J20" s="185">
        <f t="shared" si="5"/>
        <v>0.99758403600826717</v>
      </c>
      <c r="K20" s="98">
        <f t="shared" si="6"/>
        <v>114.99999999999999</v>
      </c>
      <c r="L20" s="98">
        <f t="shared" si="7"/>
        <v>165.6</v>
      </c>
      <c r="M20" s="135">
        <v>6.2</v>
      </c>
      <c r="N20" s="178">
        <f t="shared" si="8"/>
        <v>81</v>
      </c>
      <c r="O20" s="303">
        <v>43639</v>
      </c>
      <c r="P20" s="304">
        <f t="shared" ca="1" si="22"/>
        <v>0.21305928511808678</v>
      </c>
      <c r="Q20" s="178">
        <v>6</v>
      </c>
      <c r="R20" s="199">
        <f t="shared" si="9"/>
        <v>0.92582009977255142</v>
      </c>
      <c r="S20" s="199">
        <f t="shared" si="10"/>
        <v>0.99928545900129484</v>
      </c>
      <c r="T20" s="111">
        <v>22550</v>
      </c>
      <c r="U20" s="268">
        <f t="shared" si="3"/>
        <v>-890</v>
      </c>
      <c r="V20" s="111">
        <v>2940</v>
      </c>
      <c r="W20" s="108">
        <f t="shared" si="4"/>
        <v>7.6700680272108848</v>
      </c>
      <c r="X20" s="184">
        <v>0</v>
      </c>
      <c r="Y20" s="185">
        <v>3</v>
      </c>
      <c r="Z20" s="184">
        <f>9+4/13</f>
        <v>9.3076923076923084</v>
      </c>
      <c r="AA20" s="185">
        <v>9</v>
      </c>
      <c r="AB20" s="184">
        <v>5</v>
      </c>
      <c r="AC20" s="185">
        <v>5</v>
      </c>
      <c r="AD20" s="184">
        <v>1</v>
      </c>
      <c r="AE20" s="312">
        <v>778</v>
      </c>
      <c r="AF20" s="647">
        <f t="shared" ca="1" si="11"/>
        <v>9.7380865413140754</v>
      </c>
      <c r="AG20" s="647">
        <f t="shared" ca="1" si="12"/>
        <v>10.518335628818662</v>
      </c>
      <c r="AH20" s="108">
        <f t="shared" ca="1" si="13"/>
        <v>1.9247718822632112</v>
      </c>
      <c r="AI20" s="108">
        <f t="shared" ca="1" si="14"/>
        <v>3.6343269286984148</v>
      </c>
      <c r="AJ20" s="108">
        <f t="shared" ca="1" si="15"/>
        <v>3.1576421398537868</v>
      </c>
      <c r="AK20" s="108">
        <f t="shared" ca="1" si="16"/>
        <v>0.37685146569010836</v>
      </c>
      <c r="AL20" s="108">
        <f t="shared" ca="1" si="17"/>
        <v>0.23474503247884479</v>
      </c>
      <c r="AM20" s="648">
        <f t="shared" ca="1" si="18"/>
        <v>1.9412006975146803</v>
      </c>
      <c r="AN20" s="648">
        <f t="shared" ca="1" si="19"/>
        <v>2.0967363940268524</v>
      </c>
      <c r="AO20" s="178">
        <v>3</v>
      </c>
      <c r="AP20" s="178">
        <v>2</v>
      </c>
      <c r="AQ20" s="241">
        <f t="shared" si="20"/>
        <v>0.1158</v>
      </c>
      <c r="AR20" s="320">
        <v>3</v>
      </c>
      <c r="AS20" s="320">
        <f>26+0.5+0.5+0.5</f>
        <v>27.5</v>
      </c>
      <c r="AT20" s="320">
        <v>8</v>
      </c>
      <c r="AU20" s="320">
        <v>0</v>
      </c>
      <c r="AV20" s="320">
        <f t="shared" si="25"/>
        <v>4.8150000000000004</v>
      </c>
      <c r="AW20" s="320">
        <f t="shared" si="26"/>
        <v>7.3495000000000008</v>
      </c>
      <c r="AX20" s="320">
        <f t="shared" si="27"/>
        <v>9.4899999999999984</v>
      </c>
      <c r="AY20" s="320">
        <f t="shared" si="28"/>
        <v>6.7875000000000005</v>
      </c>
      <c r="AZ20" s="320">
        <f t="shared" si="29"/>
        <v>12.639999999999999</v>
      </c>
      <c r="BA20" s="320">
        <f t="shared" si="30"/>
        <v>28.85</v>
      </c>
      <c r="BB20" s="320">
        <f t="shared" si="31"/>
        <v>28.074999999999999</v>
      </c>
      <c r="BC20" s="320">
        <f t="shared" si="32"/>
        <v>15.475000000000001</v>
      </c>
      <c r="BD20" s="320">
        <f t="shared" si="33"/>
        <v>13.3</v>
      </c>
      <c r="BE20" s="320">
        <f t="shared" si="34"/>
        <v>20.824999999999999</v>
      </c>
      <c r="BF20" s="320">
        <f t="shared" si="35"/>
        <v>12.65</v>
      </c>
      <c r="BG20" s="111">
        <v>23440</v>
      </c>
      <c r="BH20" s="316">
        <v>1486</v>
      </c>
      <c r="BI20" s="653">
        <f t="shared" si="36"/>
        <v>38.5</v>
      </c>
      <c r="BJ20" s="136"/>
      <c r="BK20" s="139"/>
    </row>
    <row r="21" spans="1:63" s="78" customFormat="1" x14ac:dyDescent="0.25">
      <c r="A21" s="131" t="s">
        <v>259</v>
      </c>
      <c r="B21" s="131" t="s">
        <v>63</v>
      </c>
      <c r="C21" s="132">
        <f ca="1">((34*112)-(E21*112)-(F21))/112</f>
        <v>14.571428571428571</v>
      </c>
      <c r="D21" s="342" t="s">
        <v>421</v>
      </c>
      <c r="E21" s="133">
        <v>19</v>
      </c>
      <c r="F21" s="58">
        <f ca="1">-43626+$D$1+5</f>
        <v>48</v>
      </c>
      <c r="G21" s="134" t="s">
        <v>220</v>
      </c>
      <c r="H21" s="130">
        <v>4</v>
      </c>
      <c r="I21" s="102">
        <v>0.4</v>
      </c>
      <c r="J21" s="185">
        <f>LOG(I21+1)*4/3</f>
        <v>0.19483738090431735</v>
      </c>
      <c r="K21" s="98">
        <f>(H21)*(H21)*(I21)</f>
        <v>6.4</v>
      </c>
      <c r="L21" s="98">
        <f>(H21+1)*(H21+1)*I21</f>
        <v>10</v>
      </c>
      <c r="M21" s="135">
        <v>4.9000000000000004</v>
      </c>
      <c r="N21" s="178">
        <f>M21*10+19</f>
        <v>68</v>
      </c>
      <c r="O21" s="303">
        <v>43628</v>
      </c>
      <c r="P21" s="304">
        <f ca="1">IF((TODAY()-O21)&gt;335,1,((TODAY()-O21)^0.64)/(336^0.64))</f>
        <v>0.26021032838031555</v>
      </c>
      <c r="Q21" s="178">
        <v>5</v>
      </c>
      <c r="R21" s="199">
        <f>(Q21/7)^0.5</f>
        <v>0.84515425472851657</v>
      </c>
      <c r="S21" s="199">
        <f>IF(Q21=7,1,((Q21+0.99)/7)^0.5)</f>
        <v>0.92504826128926143</v>
      </c>
      <c r="T21" s="111">
        <v>10170</v>
      </c>
      <c r="U21" s="268">
        <f>T21-BG21</f>
        <v>190</v>
      </c>
      <c r="V21" s="111">
        <v>948</v>
      </c>
      <c r="W21" s="108">
        <f>T21/V21</f>
        <v>10.727848101265822</v>
      </c>
      <c r="X21" s="184">
        <v>0</v>
      </c>
      <c r="Y21" s="185">
        <v>7</v>
      </c>
      <c r="Z21" s="184">
        <f>8+1/5</f>
        <v>8.1999999999999993</v>
      </c>
      <c r="AA21" s="185">
        <v>1</v>
      </c>
      <c r="AB21" s="184">
        <v>1</v>
      </c>
      <c r="AC21" s="185">
        <v>6</v>
      </c>
      <c r="AD21" s="184">
        <v>1</v>
      </c>
      <c r="AE21" s="312">
        <v>638</v>
      </c>
      <c r="AF21" s="647">
        <f ca="1">(Z21+P21+J21)*(Q21/7)^0.5</f>
        <v>7.3148503963802085</v>
      </c>
      <c r="AG21" s="647">
        <f ca="1">(Z21+P21+J21)*(IF(Q21=7, (Q21/7)^0.5, ((Q21+1)/7)^0.5))</f>
        <v>8.0130171337460911</v>
      </c>
      <c r="AH21" s="108">
        <f ca="1">(((Y21+P21+J21)+(AB21+P21+J21)*2)/8)*(Q21/7)^0.5</f>
        <v>1.0950181019219709</v>
      </c>
      <c r="AI21" s="108">
        <f ca="1">(1.66*(AC21+J21+P21)+0.55*(AD21+J21+P21)-7.6)*(Q21/7)^0.5</f>
        <v>3.309332853070067</v>
      </c>
      <c r="AJ21" s="108">
        <f ca="1">((AD21+J21+P21)*0.7+(AC21+J21+P21)*0.3)*(Q21/7)^0.5</f>
        <v>2.497471144427664</v>
      </c>
      <c r="AK21" s="108">
        <f ca="1">(0.5*(AC21+P21+J21)+ 0.3*(AD21+P21+J21))/10</f>
        <v>0.36640381674277067</v>
      </c>
      <c r="AL21" s="108">
        <f ca="1">(0.4*(Y21+P21+J21)+0.3*(AD21+P21+J21))/10</f>
        <v>0.34185333964992431</v>
      </c>
      <c r="AM21" s="648">
        <f ca="1">(AD21+P21+(LOG(I21)*4/3))*(Q21/7)^0.5</f>
        <v>0.616644532275611</v>
      </c>
      <c r="AN21" s="648">
        <f ca="1">(AD21+P21+(LOG(I21)*4/3))*(IF(Q21=7, (Q21/7)^0.5, ((Q21+1)/7)^0.5))</f>
        <v>0.67550024057914926</v>
      </c>
      <c r="AO21" s="178">
        <v>4</v>
      </c>
      <c r="AP21" s="178">
        <v>2</v>
      </c>
      <c r="AQ21" s="241">
        <f>IF(AO21=4,IF(AP21=0,0.137+0.0697,0.137+0.02),IF(AO21=3,IF(AP21=0,0.0958+0.0697,0.0958+0.02),IF(AO21=2,IF(AP21=0,0.0415+0.0697,0.0415+0.02),IF(AO21=1,IF(AP21=0,0.0294+0.0697,0.0294+0.02),IF(AO21=0,IF(AP21=0,0.0063+0.0697,0.0063+0.02))))))</f>
        <v>0.157</v>
      </c>
      <c r="AR21" s="320">
        <v>18</v>
      </c>
      <c r="AS21" s="320">
        <v>22</v>
      </c>
      <c r="AT21" s="320">
        <v>12</v>
      </c>
      <c r="AU21" s="320">
        <v>0</v>
      </c>
      <c r="AV21" s="320">
        <f>AR21*1+AS21*0.066</f>
        <v>19.451999999999998</v>
      </c>
      <c r="AW21" s="320">
        <f>AR21*0.919+AS21*0.167</f>
        <v>20.216000000000001</v>
      </c>
      <c r="AX21" s="320">
        <f>AR21*1+AS21*0.236</f>
        <v>23.192</v>
      </c>
      <c r="AY21" s="320">
        <f>AR21*0.75+AS21*0.165</f>
        <v>17.13</v>
      </c>
      <c r="AZ21" s="320">
        <f>AR21*0.73+AS21*0.38</f>
        <v>21.5</v>
      </c>
      <c r="BA21" s="320">
        <f>AR21*0.45+AS21*1</f>
        <v>30.1</v>
      </c>
      <c r="BB21" s="320">
        <f>AR21*0.65+AS21*0.95</f>
        <v>32.6</v>
      </c>
      <c r="BC21" s="320">
        <f>AR21*0.3+AS21*0.53</f>
        <v>17.059999999999999</v>
      </c>
      <c r="BD21" s="320">
        <f>AR21*0.4+AS21*0.44</f>
        <v>16.88</v>
      </c>
      <c r="BE21" s="320">
        <f>AR21*0.25+AS21*0.73</f>
        <v>20.56</v>
      </c>
      <c r="BF21" s="320">
        <f>AS21*0.46</f>
        <v>10.120000000000001</v>
      </c>
      <c r="BG21" s="111">
        <v>9980</v>
      </c>
      <c r="BH21" s="316">
        <v>740</v>
      </c>
      <c r="BI21" s="653">
        <f>AU21+AT21+AS21+AR21</f>
        <v>52</v>
      </c>
      <c r="BJ21" s="136"/>
      <c r="BK21" s="139"/>
    </row>
    <row r="22" spans="1:63" s="78" customFormat="1" x14ac:dyDescent="0.25">
      <c r="A22" s="131" t="s">
        <v>259</v>
      </c>
      <c r="B22" s="131" t="s">
        <v>63</v>
      </c>
      <c r="C22" s="132">
        <f t="shared" ca="1" si="21"/>
        <v>9.9732142857142865</v>
      </c>
      <c r="D22" s="342" t="s">
        <v>675</v>
      </c>
      <c r="E22" s="133">
        <v>24</v>
      </c>
      <c r="F22" s="58">
        <f ca="1">-43570+$D$1+33-17-112</f>
        <v>3</v>
      </c>
      <c r="G22" s="134" t="s">
        <v>96</v>
      </c>
      <c r="H22" s="130">
        <v>3</v>
      </c>
      <c r="I22" s="102">
        <v>3.7</v>
      </c>
      <c r="J22" s="185">
        <f t="shared" si="5"/>
        <v>0.8961304772476234</v>
      </c>
      <c r="K22" s="98">
        <f t="shared" si="6"/>
        <v>33.300000000000004</v>
      </c>
      <c r="L22" s="98">
        <f t="shared" si="7"/>
        <v>59.2</v>
      </c>
      <c r="M22" s="135">
        <v>7.5</v>
      </c>
      <c r="N22" s="178">
        <f t="shared" si="8"/>
        <v>94</v>
      </c>
      <c r="O22" s="303">
        <v>43650</v>
      </c>
      <c r="P22" s="304">
        <f t="shared" ca="1" si="22"/>
        <v>0.15905420932620543</v>
      </c>
      <c r="Q22" s="178">
        <v>5</v>
      </c>
      <c r="R22" s="199">
        <f t="shared" si="9"/>
        <v>0.84515425472851657</v>
      </c>
      <c r="S22" s="199">
        <f t="shared" si="10"/>
        <v>0.92504826128926143</v>
      </c>
      <c r="T22" s="111">
        <v>42330</v>
      </c>
      <c r="U22" s="268">
        <f t="shared" si="3"/>
        <v>-3860</v>
      </c>
      <c r="V22" s="111">
        <v>3636</v>
      </c>
      <c r="W22" s="108">
        <f t="shared" si="4"/>
        <v>11.641914191419142</v>
      </c>
      <c r="X22" s="184">
        <v>0</v>
      </c>
      <c r="Y22" s="185">
        <v>9</v>
      </c>
      <c r="Z22" s="184">
        <f>8+2/11</f>
        <v>8.1818181818181817</v>
      </c>
      <c r="AA22" s="185">
        <v>9</v>
      </c>
      <c r="AB22" s="184">
        <v>5</v>
      </c>
      <c r="AC22" s="185">
        <v>5</v>
      </c>
      <c r="AD22" s="184">
        <v>3</v>
      </c>
      <c r="AE22" s="312">
        <v>990</v>
      </c>
      <c r="AF22" s="647">
        <f t="shared" ca="1" si="11"/>
        <v>7.8066922751610202</v>
      </c>
      <c r="AG22" s="647">
        <f t="shared" ca="1" si="12"/>
        <v>8.5518029172140348</v>
      </c>
      <c r="AH22" s="108">
        <f t="shared" ca="1" si="13"/>
        <v>2.3416640402485696</v>
      </c>
      <c r="AI22" s="108">
        <f t="shared" ca="1" si="14"/>
        <v>3.9569768571267807</v>
      </c>
      <c r="AJ22" s="108">
        <f t="shared" ca="1" si="15"/>
        <v>3.9343491444049068</v>
      </c>
      <c r="AK22" s="108">
        <f t="shared" ca="1" si="16"/>
        <v>0.42441477492590629</v>
      </c>
      <c r="AL22" s="108">
        <f t="shared" ca="1" si="17"/>
        <v>0.5238629280601681</v>
      </c>
      <c r="AM22" s="648">
        <f t="shared" ca="1" si="18"/>
        <v>3.3101789121158047</v>
      </c>
      <c r="AN22" s="648">
        <f t="shared" ca="1" si="19"/>
        <v>3.6261193190874739</v>
      </c>
      <c r="AO22" s="178">
        <v>1</v>
      </c>
      <c r="AP22" s="178">
        <v>1</v>
      </c>
      <c r="AQ22" s="241">
        <f t="shared" si="20"/>
        <v>4.9399999999999999E-2</v>
      </c>
      <c r="AR22" s="320">
        <v>30</v>
      </c>
      <c r="AS22" s="320">
        <f>21+0.5</f>
        <v>21.5</v>
      </c>
      <c r="AT22" s="320">
        <v>8</v>
      </c>
      <c r="AU22" s="320">
        <v>1</v>
      </c>
      <c r="AV22" s="320">
        <f t="shared" si="25"/>
        <v>31.419</v>
      </c>
      <c r="AW22" s="320">
        <f t="shared" si="26"/>
        <v>31.160499999999999</v>
      </c>
      <c r="AX22" s="320">
        <f t="shared" si="27"/>
        <v>35.073999999999998</v>
      </c>
      <c r="AY22" s="320">
        <f t="shared" si="28"/>
        <v>26.047499999999999</v>
      </c>
      <c r="AZ22" s="320">
        <f t="shared" si="29"/>
        <v>30.07</v>
      </c>
      <c r="BA22" s="320">
        <f t="shared" si="30"/>
        <v>35</v>
      </c>
      <c r="BB22" s="320">
        <f t="shared" si="31"/>
        <v>39.924999999999997</v>
      </c>
      <c r="BC22" s="320">
        <f t="shared" si="32"/>
        <v>20.395000000000003</v>
      </c>
      <c r="BD22" s="320">
        <f t="shared" si="33"/>
        <v>21.46</v>
      </c>
      <c r="BE22" s="320">
        <f t="shared" si="34"/>
        <v>23.195</v>
      </c>
      <c r="BF22" s="320">
        <f t="shared" si="35"/>
        <v>9.89</v>
      </c>
      <c r="BG22" s="111">
        <v>46190</v>
      </c>
      <c r="BH22" s="316">
        <v>3600</v>
      </c>
      <c r="BI22" s="653">
        <f t="shared" si="36"/>
        <v>60.5</v>
      </c>
      <c r="BJ22" s="136"/>
      <c r="BK22" s="139"/>
    </row>
    <row r="23" spans="1:63" s="75" customFormat="1" x14ac:dyDescent="0.25">
      <c r="A23" s="131" t="s">
        <v>177</v>
      </c>
      <c r="B23" s="131" t="s">
        <v>64</v>
      </c>
      <c r="C23" s="132">
        <f ca="1">((34*112)-(E23*112)-(F23))/112</f>
        <v>-1.5625</v>
      </c>
      <c r="D23" s="639" t="s">
        <v>107</v>
      </c>
      <c r="E23" s="133">
        <v>35</v>
      </c>
      <c r="F23" s="138">
        <f ca="1">75-41471+$D$1-24-112-10-112-40-8-112-112-112-112-112-112-112-112-112-112-112-112-112-112-112-112-112</f>
        <v>63</v>
      </c>
      <c r="G23" s="134" t="s">
        <v>94</v>
      </c>
      <c r="H23" s="130">
        <v>2</v>
      </c>
      <c r="I23" s="102">
        <v>13.6</v>
      </c>
      <c r="J23" s="185">
        <f>LOG(I23+1)*4/3</f>
        <v>1.5524704743792495</v>
      </c>
      <c r="K23" s="98">
        <f>(H23)*(H23)*(I23)</f>
        <v>54.4</v>
      </c>
      <c r="L23" s="98">
        <f>(H23+1)*(H23+1)*I23</f>
        <v>122.39999999999999</v>
      </c>
      <c r="M23" s="135">
        <v>4.4000000000000004</v>
      </c>
      <c r="N23" s="178">
        <f>M23*10+19</f>
        <v>63</v>
      </c>
      <c r="O23" s="178" t="s">
        <v>256</v>
      </c>
      <c r="P23" s="304">
        <v>1.5</v>
      </c>
      <c r="Q23" s="178">
        <v>6</v>
      </c>
      <c r="R23" s="199">
        <f>(Q23/7)^0.5</f>
        <v>0.92582009977255142</v>
      </c>
      <c r="S23" s="199">
        <f>IF(Q23=7,1,((Q23+0.99)/7)^0.5)</f>
        <v>0.99928545900129484</v>
      </c>
      <c r="T23" s="652">
        <v>8330</v>
      </c>
      <c r="U23" s="268">
        <f>T23-BG23</f>
        <v>-70</v>
      </c>
      <c r="V23" s="111">
        <v>3410</v>
      </c>
      <c r="W23" s="108">
        <f>T23/V23</f>
        <v>2.4428152492668622</v>
      </c>
      <c r="X23" s="184">
        <v>0</v>
      </c>
      <c r="Y23" s="185">
        <f>7+0.11+0.11+1/33</f>
        <v>7.2503030303030309</v>
      </c>
      <c r="Z23" s="184">
        <f>10+0.1*0.5+0.1*0.5+0.1*0.5+0.1*0.5+0.1*0.5+0.1+0.1+0.1*0.5+0.1*0.5+0.1*0.5</f>
        <v>10.600000000000005</v>
      </c>
      <c r="AA23" s="185">
        <v>12.95</v>
      </c>
      <c r="AB23" s="184">
        <v>9.9499999999999993</v>
      </c>
      <c r="AC23" s="185">
        <v>3.95</v>
      </c>
      <c r="AD23" s="184">
        <v>18</v>
      </c>
      <c r="AE23" s="312">
        <v>1470</v>
      </c>
      <c r="AF23" s="647">
        <f>(Z23+P23+J23)*(Q23/7)^0.5</f>
        <v>12.639731576731615</v>
      </c>
      <c r="AG23" s="647">
        <f>(Z23+P23+J23)*(IF(Q23=7, (Q23/7)^0.5, ((Q23+1)/7)^0.5))</f>
        <v>13.652470474379255</v>
      </c>
      <c r="AH23" s="108">
        <f>(((Y23+P23+J23)+(AB23+P23+J23)*2)/8)*(Q23/7)^0.5</f>
        <v>4.2018014772247314</v>
      </c>
      <c r="AI23" s="108">
        <f>(1.66*(AC23+J23+P23)+0.55*(AD23+J23+P23)-7.6)*(Q23/7)^0.5</f>
        <v>14.445533750990554</v>
      </c>
      <c r="AJ23" s="108">
        <f>((AD23+J23+P23)*0.7+(AC23+J23+P23)*0.3)*(Q23/7)^0.5</f>
        <v>15.588468594507184</v>
      </c>
      <c r="AK23" s="108">
        <f>(0.5*(AC23+P23+J23)+ 0.3*(AD23+P23+J23))/10</f>
        <v>0.98169763795033982</v>
      </c>
      <c r="AL23" s="108">
        <f>(0.4*(Y23+P23+J23)+0.3*(AD23+P23+J23))/10</f>
        <v>1.0436850544186687</v>
      </c>
      <c r="AM23" s="648">
        <f>(AD23+P23+(LOG(I23)*4/3))*(Q23/7)^0.5</f>
        <v>19.45276275255593</v>
      </c>
      <c r="AN23" s="648">
        <f>(AD23+P23+(LOG(I23)*4/3))*(IF(Q23=7, (Q23/7)^0.5, ((Q23+1)/7)^0.5))</f>
        <v>21.011385211160288</v>
      </c>
      <c r="AO23" s="178">
        <v>4</v>
      </c>
      <c r="AP23" s="178">
        <v>4</v>
      </c>
      <c r="AQ23" s="241">
        <f>IF(AO23=4,IF(AP23=0,0.137+0.0697,0.137+0.02),IF(AO23=3,IF(AP23=0,0.0958+0.0697,0.0958+0.02),IF(AO23=2,IF(AP23=0,0.0415+0.0697,0.0415+0.02),IF(AO23=1,IF(AP23=0,0.0294+0.0697,0.0294+0.02),IF(AO23=0,IF(AP23=0,0.0063+0.0697,0.0063+0.02))))))</f>
        <v>0.157</v>
      </c>
      <c r="AR23" s="313"/>
      <c r="AS23" s="313"/>
      <c r="AT23" s="313"/>
      <c r="AU23" s="313"/>
      <c r="AV23" s="241"/>
      <c r="AW23" s="241"/>
      <c r="AX23" s="241"/>
      <c r="AY23" s="241"/>
      <c r="AZ23" s="241"/>
      <c r="BA23" s="241"/>
      <c r="BB23" s="241"/>
      <c r="BC23" s="241"/>
      <c r="BD23" s="241"/>
      <c r="BE23" s="241"/>
      <c r="BF23" s="241"/>
      <c r="BG23" s="652">
        <v>8400</v>
      </c>
      <c r="BH23" s="318"/>
      <c r="BJ23" s="136"/>
      <c r="BK23" s="139"/>
    </row>
    <row r="24" spans="1:63" s="81" customFormat="1" x14ac:dyDescent="0.25">
      <c r="A24" s="131" t="s">
        <v>176</v>
      </c>
      <c r="B24" s="131" t="s">
        <v>64</v>
      </c>
      <c r="C24" s="132">
        <f ca="1">((34*112)-(E24*112)-(F24))/112</f>
        <v>1.3035714285714286</v>
      </c>
      <c r="D24" s="639" t="s">
        <v>225</v>
      </c>
      <c r="E24" s="133">
        <v>32</v>
      </c>
      <c r="F24" s="58">
        <f ca="1">7-41471+$D$1-112-111-112+4-112-116-112-112-112-112-112-112-112-112-112-112-112-112-112-112</f>
        <v>78</v>
      </c>
      <c r="G24" s="134" t="s">
        <v>220</v>
      </c>
      <c r="H24" s="130">
        <v>2</v>
      </c>
      <c r="I24" s="102">
        <v>13.3</v>
      </c>
      <c r="J24" s="185">
        <f>LOG(I24+1)*4/3</f>
        <v>1.5404480499534159</v>
      </c>
      <c r="K24" s="98">
        <f>(H24)*(H24)*(I24)</f>
        <v>53.2</v>
      </c>
      <c r="L24" s="98">
        <f>(H24+1)*(H24+1)*I24</f>
        <v>119.7</v>
      </c>
      <c r="M24" s="135">
        <v>5.4</v>
      </c>
      <c r="N24" s="178">
        <f>M24*10+19</f>
        <v>73</v>
      </c>
      <c r="O24" s="178" t="s">
        <v>256</v>
      </c>
      <c r="P24" s="304">
        <v>1.5</v>
      </c>
      <c r="Q24" s="178">
        <v>6</v>
      </c>
      <c r="R24" s="199">
        <f>(Q24/7)^0.5</f>
        <v>0.92582009977255142</v>
      </c>
      <c r="S24" s="199">
        <f>IF(Q24=7,1,((Q24+0.99)/7)^0.5)</f>
        <v>0.99928545900129484</v>
      </c>
      <c r="T24" s="111">
        <v>91690</v>
      </c>
      <c r="U24" s="268">
        <f>T24-BG24</f>
        <v>3840</v>
      </c>
      <c r="V24" s="111">
        <v>12210</v>
      </c>
      <c r="W24" s="108">
        <f>T24/V24</f>
        <v>7.5094185094185093</v>
      </c>
      <c r="X24" s="184">
        <v>0</v>
      </c>
      <c r="Y24" s="185">
        <f>8+0.12+0.12+0.12</f>
        <v>8.3599999999999977</v>
      </c>
      <c r="Z24" s="184">
        <f>8.4+0.22+0.22+(0.22*75/90)+(0.05*15/90)+0.17+0.17+0.17+0.17+0.17+1/7+0.16+0.16+0.16+0.125+0.16+0.16+0.14+0.14+0.05*61/90+0.11+0.11*0.5+0.11+0.11+0.11+0.1+0.1+0.1*0.5+0.1*0.5+0.1+0.1*0.5+0.09*0.5</f>
        <v>12.253412698412699</v>
      </c>
      <c r="AA24" s="185">
        <v>12.95</v>
      </c>
      <c r="AB24" s="184">
        <f>6+0.33+0.33+0.33+0.3+0.25+0.25+0.24+0.24+0.23+0.2+0.2+0.18+0.15+0.15+0.15+0.15+0.13+0.13+0.12+0.1+0.08</f>
        <v>10.24</v>
      </c>
      <c r="AC24" s="185">
        <v>6.95</v>
      </c>
      <c r="AD24" s="184">
        <v>16</v>
      </c>
      <c r="AE24" s="312">
        <v>1760</v>
      </c>
      <c r="AF24" s="647">
        <f>(Z24+P24+J24)*(Q24/7)^0.5</f>
        <v>14.159363683959825</v>
      </c>
      <c r="AG24" s="647">
        <f>(Z24+P24+J24)*(IF(Q24=7, (Q24/7)^0.5, ((Q24+1)/7)^0.5))</f>
        <v>15.293860748366114</v>
      </c>
      <c r="AH24" s="108">
        <f>(((Y24+P24+J24)+(AB24+P24+J24)*2)/8)*(Q24/7)^0.5</f>
        <v>4.3931719285404718</v>
      </c>
      <c r="AI24" s="108">
        <f>(1.66*(AC24+J24+P24)+0.55*(AD24+J24+P24)-7.6)*(Q24/7)^0.5</f>
        <v>18.013117107287091</v>
      </c>
      <c r="AJ24" s="108">
        <f>((AD24+J24+P24)*0.7+(AC24+J24+P24)*0.3)*(Q24/7)^0.5</f>
        <v>15.114427942439477</v>
      </c>
      <c r="AK24" s="108">
        <f>(0.5*(AC24+P24+J24)+ 0.3*(AD24+P24+J24))/10</f>
        <v>1.0707358439962733</v>
      </c>
      <c r="AL24" s="108">
        <f>(0.4*(Y24+P24+J24)+0.3*(AD24+P24+J24))/10</f>
        <v>1.0272313634967389</v>
      </c>
      <c r="AM24" s="648">
        <f>(AD24+P24+(LOG(I24)*4/3))*(Q24/7)^0.5</f>
        <v>17.589164330512574</v>
      </c>
      <c r="AN24" s="648">
        <f>(AD24+P24+(LOG(I24)*4/3))*(IF(Q24=7, (Q24/7)^0.5, ((Q24+1)/7)^0.5))</f>
        <v>18.998468854622782</v>
      </c>
      <c r="AO24" s="178">
        <v>3</v>
      </c>
      <c r="AP24" s="178">
        <v>2</v>
      </c>
      <c r="AQ24" s="241">
        <f>IF(AO24=4,IF(AP24=0,0.137+0.0697,0.137+0.02),IF(AO24=3,IF(AP24=0,0.0958+0.0697,0.0958+0.02),IF(AO24=2,IF(AP24=0,0.0415+0.0697,0.0415+0.02),IF(AO24=1,IF(AP24=0,0.0294+0.0697,0.0294+0.02),IF(AO24=0,IF(AP24=0,0.0063+0.0697,0.0063+0.02))))))</f>
        <v>0.1158</v>
      </c>
      <c r="AR24" s="313"/>
      <c r="AS24" s="313"/>
      <c r="AT24" s="313"/>
      <c r="AU24" s="313"/>
      <c r="AV24" s="241"/>
      <c r="AW24" s="241"/>
      <c r="AX24" s="241"/>
      <c r="AY24" s="241"/>
      <c r="AZ24" s="241"/>
      <c r="BA24" s="241"/>
      <c r="BB24" s="241"/>
      <c r="BC24" s="241"/>
      <c r="BD24" s="241"/>
      <c r="BE24" s="241"/>
      <c r="BF24" s="241"/>
      <c r="BG24" s="111">
        <v>87850</v>
      </c>
      <c r="BH24" s="316"/>
      <c r="BJ24" s="136"/>
      <c r="BK24" s="139"/>
    </row>
    <row r="25" spans="1:63" s="81" customFormat="1" x14ac:dyDescent="0.25">
      <c r="A25" s="100" t="s">
        <v>178</v>
      </c>
      <c r="B25" s="79" t="s">
        <v>64</v>
      </c>
      <c r="C25" s="132">
        <f ca="1">((34*112)-(E25*112)-(F25))/112</f>
        <v>-1.6964285714285714</v>
      </c>
      <c r="D25" s="639" t="s">
        <v>169</v>
      </c>
      <c r="E25" s="57">
        <v>35</v>
      </c>
      <c r="F25" s="58">
        <f ca="1">7-41471+$D$1-112-111-112-112-112-112-112-112-112-112-112-112-112-112-112-112-112-112-112</f>
        <v>78</v>
      </c>
      <c r="G25" s="80"/>
      <c r="H25" s="130">
        <v>0</v>
      </c>
      <c r="I25" s="59">
        <v>12.2</v>
      </c>
      <c r="J25" s="185">
        <f>LOG(I25+1)*4/3</f>
        <v>1.4940985749411331</v>
      </c>
      <c r="K25" s="98">
        <f>(H25)*(H25)*(I25)</f>
        <v>0</v>
      </c>
      <c r="L25" s="98">
        <f>(H25+1)*(H25+1)*I25</f>
        <v>12.2</v>
      </c>
      <c r="M25" s="92">
        <v>4.3</v>
      </c>
      <c r="N25" s="178">
        <f>M25*10+19</f>
        <v>62</v>
      </c>
      <c r="O25" s="178" t="s">
        <v>256</v>
      </c>
      <c r="P25" s="304">
        <v>1.5</v>
      </c>
      <c r="Q25" s="179">
        <v>6</v>
      </c>
      <c r="R25" s="199">
        <f>(Q25/7)^0.5</f>
        <v>0.92582009977255142</v>
      </c>
      <c r="S25" s="199">
        <f>IF(Q25=7,1,((Q25+0.99)/7)^0.5)</f>
        <v>0.99928545900129484</v>
      </c>
      <c r="T25" s="111">
        <v>9640</v>
      </c>
      <c r="U25" s="268">
        <f>T25-BG25</f>
        <v>-210</v>
      </c>
      <c r="V25" s="269">
        <v>8340</v>
      </c>
      <c r="W25" s="108">
        <f>T25/V25</f>
        <v>1.1558752997601918</v>
      </c>
      <c r="X25" s="184">
        <v>0</v>
      </c>
      <c r="Y25" s="185">
        <v>5.95</v>
      </c>
      <c r="Z25" s="184">
        <v>13.95</v>
      </c>
      <c r="AA25" s="185">
        <v>2.95</v>
      </c>
      <c r="AB25" s="184">
        <v>8.9499999999999993</v>
      </c>
      <c r="AC25" s="185">
        <v>5.95</v>
      </c>
      <c r="AD25" s="184">
        <v>16.95</v>
      </c>
      <c r="AE25" s="312">
        <v>1256</v>
      </c>
      <c r="AF25" s="647">
        <f>(Z25+P25+J25)*(Q25/7)^0.5</f>
        <v>15.687187033207946</v>
      </c>
      <c r="AG25" s="647">
        <f>(Z25+P25+J25)*(IF(Q25=7, (Q25/7)^0.5, ((Q25+1)/7)^0.5))</f>
        <v>16.944098574941133</v>
      </c>
      <c r="AH25" s="108">
        <f>(((Y25+P25+J25)+(AB25+P25+J25)*2)/8)*(Q25/7)^0.5</f>
        <v>3.7995999129647386</v>
      </c>
      <c r="AI25" s="108">
        <f>(1.66*(AC25+J25+P25)+0.55*(AD25+J25+P25)-7.6)*(Q25/7)^0.5</f>
        <v>16.865162824763395</v>
      </c>
      <c r="AJ25" s="108">
        <f>((AD25+J25+P25)*0.7+(AC25+J25+P25)*0.3)*(Q25/7)^0.5</f>
        <v>15.40944100327618</v>
      </c>
      <c r="AK25" s="108">
        <f>(0.5*(AC25+P25+J25)+ 0.3*(AD25+P25+J25))/10</f>
        <v>1.0455278859952906</v>
      </c>
      <c r="AL25" s="108">
        <f>(0.4*(Y25+P25+J25)+0.3*(AD25+P25+J25))/10</f>
        <v>0.95608690024587928</v>
      </c>
      <c r="AM25" s="648">
        <f>(AD25+P25+(LOG(I25)*4/3))*(Q25/7)^0.5</f>
        <v>18.422412529902488</v>
      </c>
      <c r="AN25" s="648">
        <f>(AD25+P25+(LOG(I25)*4/3))*(IF(Q25=7, (Q25/7)^0.5, ((Q25+1)/7)^0.5))</f>
        <v>19.898479774232996</v>
      </c>
      <c r="AO25" s="179">
        <v>2</v>
      </c>
      <c r="AP25" s="179">
        <v>1</v>
      </c>
      <c r="AQ25" s="241">
        <f>IF(AO25=4,IF(AP25=0,0.137+0.0697,0.137+0.02),IF(AO25=3,IF(AP25=0,0.0958+0.0697,0.0958+0.02),IF(AO25=2,IF(AP25=0,0.0415+0.0697,0.0415+0.02),IF(AO25=1,IF(AP25=0,0.0294+0.0697,0.0294+0.02),IF(AO25=0,IF(AP25=0,0.0063+0.0697,0.0063+0.02))))))</f>
        <v>6.1499999999999999E-2</v>
      </c>
      <c r="AR25" s="313"/>
      <c r="AS25" s="313"/>
      <c r="AT25" s="313"/>
      <c r="AU25" s="313"/>
      <c r="AV25" s="241"/>
      <c r="AW25" s="241"/>
      <c r="AX25" s="241"/>
      <c r="AY25" s="241"/>
      <c r="AZ25" s="241"/>
      <c r="BA25" s="241"/>
      <c r="BB25" s="241"/>
      <c r="BC25" s="241"/>
      <c r="BD25" s="241"/>
      <c r="BE25" s="241"/>
      <c r="BF25" s="241"/>
      <c r="BG25" s="111">
        <v>9850</v>
      </c>
      <c r="BH25" s="316"/>
      <c r="BJ25" s="136"/>
      <c r="BK25" s="139"/>
    </row>
    <row r="26" spans="1:63" s="75" customFormat="1" x14ac:dyDescent="0.25">
      <c r="A26" s="131" t="s">
        <v>224</v>
      </c>
      <c r="B26" s="131" t="s">
        <v>64</v>
      </c>
      <c r="C26" s="132">
        <f ca="1">((34*112)-(E26*112)-(F26))/112</f>
        <v>-1.0267857142857142</v>
      </c>
      <c r="D26" s="639" t="s">
        <v>102</v>
      </c>
      <c r="E26" s="133">
        <v>35</v>
      </c>
      <c r="F26" s="138">
        <f ca="1">74-41471+$D$1-112-112-29-112-112-112-112-112-112-112-112-112-112-112-112-112-112-112-112-112-112</f>
        <v>3</v>
      </c>
      <c r="G26" s="134" t="s">
        <v>105</v>
      </c>
      <c r="H26" s="130">
        <v>3</v>
      </c>
      <c r="I26" s="102">
        <v>14.4</v>
      </c>
      <c r="J26" s="185">
        <f>LOG(I26+1)*4/3</f>
        <v>1.5833609611152841</v>
      </c>
      <c r="K26" s="98">
        <f>(H26)*(H26)*(I26)</f>
        <v>129.6</v>
      </c>
      <c r="L26" s="98">
        <f>(H26+1)*(H26+1)*I26</f>
        <v>230.4</v>
      </c>
      <c r="M26" s="135">
        <v>4.8</v>
      </c>
      <c r="N26" s="178">
        <f>M26*10+19</f>
        <v>67</v>
      </c>
      <c r="O26" s="178" t="s">
        <v>256</v>
      </c>
      <c r="P26" s="304">
        <v>1.5</v>
      </c>
      <c r="Q26" s="178">
        <v>6</v>
      </c>
      <c r="R26" s="199">
        <f>(Q26/7)^0.5</f>
        <v>0.92582009977255142</v>
      </c>
      <c r="S26" s="199">
        <f>IF(Q26=7,1,((Q26+0.99)/7)^0.5)</f>
        <v>0.99928545900129484</v>
      </c>
      <c r="T26" s="652">
        <v>4140</v>
      </c>
      <c r="U26" s="268">
        <f>T26-BG26</f>
        <v>240</v>
      </c>
      <c r="V26" s="111">
        <v>790</v>
      </c>
      <c r="W26" s="108">
        <f>T26/V26</f>
        <v>5.2405063291139244</v>
      </c>
      <c r="X26" s="184">
        <v>0</v>
      </c>
      <c r="Y26" s="185">
        <f>5+(5/7)+0.07+0.21+0.07+0.07+0.07+0.07+0.07+0.07+0.06+0.03+0.03+0.03+0.03+0.03+0.2*33/90+0.03+0.03+0.02+0.02+0.01+0.01+0.01+0.01</f>
        <v>6.8376190476190493</v>
      </c>
      <c r="Z26" s="184">
        <v>8.9499999999999993</v>
      </c>
      <c r="AA26" s="185">
        <v>7.95</v>
      </c>
      <c r="AB26" s="184">
        <v>9.9499999999999993</v>
      </c>
      <c r="AC26" s="185">
        <v>6.95</v>
      </c>
      <c r="AD26" s="184">
        <f>17.99+0.2+0.15+0.15+0.15+0.15+0.11+0.1</f>
        <v>18.999999999999993</v>
      </c>
      <c r="AE26" s="312">
        <v>1242</v>
      </c>
      <c r="AF26" s="647">
        <f>(Z26+P26+J26)*(Q26/7)^0.5</f>
        <v>11.140727445618877</v>
      </c>
      <c r="AG26" s="647">
        <f>(Z26+P26+J26)*(IF(Q26=7, (Q26/7)^0.5, ((Q26+1)/7)^0.5))</f>
        <v>12.033360961115283</v>
      </c>
      <c r="AH26" s="108">
        <f>(((Y26+P26+J26)+(AB26+P26+J26)*2)/8)*(Q26/7)^0.5</f>
        <v>4.1647672240388456</v>
      </c>
      <c r="AI26" s="108">
        <f>(1.66*(AC26+J26+P26)+0.55*(AD26+J26+P26)-7.6)*(Q26/7)^0.5</f>
        <v>19.628522766794237</v>
      </c>
      <c r="AJ26" s="108">
        <f>((AD26+J26+P26)*0.7+(AC26+J26+P26)*0.3)*(Q26/7)^0.5</f>
        <v>17.09837978765524</v>
      </c>
      <c r="AK26" s="108">
        <f>(0.5*(AC26+P26+J26)+ 0.3*(AD26+P26+J26))/10</f>
        <v>1.1641688768892222</v>
      </c>
      <c r="AL26" s="108">
        <f>(0.4*(Y26+P26+J26)+0.3*(AD26+P26+J26))/10</f>
        <v>1.0593400291828317</v>
      </c>
      <c r="AM26" s="648">
        <f>(AD26+P26+(LOG(I26)*4/3))*(Q26/7)^0.5</f>
        <v>20.409225749343172</v>
      </c>
      <c r="AN26" s="648">
        <f>(AD26+P26+(LOG(I26)*4/3))*(IF(Q26=7, (Q26/7)^0.5, ((Q26+1)/7)^0.5))</f>
        <v>22.04448332279366</v>
      </c>
      <c r="AO26" s="178">
        <v>4</v>
      </c>
      <c r="AP26" s="178">
        <v>2</v>
      </c>
      <c r="AQ26" s="241">
        <f>IF(AO26=4,IF(AP26=0,0.137+0.0697,0.137+0.02),IF(AO26=3,IF(AP26=0,0.0958+0.0697,0.0958+0.02),IF(AO26=2,IF(AP26=0,0.0415+0.0697,0.0415+0.02),IF(AO26=1,IF(AP26=0,0.0294+0.0697,0.0294+0.02),IF(AO26=0,IF(AP26=0,0.0063+0.0697,0.0063+0.02))))))</f>
        <v>0.157</v>
      </c>
      <c r="AR26" s="313"/>
      <c r="AS26" s="313"/>
      <c r="AT26" s="313"/>
      <c r="AU26" s="313"/>
      <c r="AV26" s="241"/>
      <c r="AW26" s="241"/>
      <c r="AX26" s="241"/>
      <c r="AY26" s="241"/>
      <c r="AZ26" s="241"/>
      <c r="BA26" s="241"/>
      <c r="BB26" s="241"/>
      <c r="BC26" s="241"/>
      <c r="BD26" s="241"/>
      <c r="BE26" s="241"/>
      <c r="BF26" s="241"/>
      <c r="BG26" s="652">
        <v>3900</v>
      </c>
      <c r="BH26" s="316"/>
      <c r="BJ26" s="136"/>
      <c r="BK26" s="139"/>
    </row>
    <row r="27" spans="1:63" s="82" customFormat="1" x14ac:dyDescent="0.25">
      <c r="A27" s="131" t="s">
        <v>250</v>
      </c>
      <c r="B27" s="131" t="s">
        <v>64</v>
      </c>
      <c r="C27" s="132">
        <f ca="1">((34*112)-(E27*112)-(F27))/112</f>
        <v>1.6964285714285714</v>
      </c>
      <c r="D27" s="639" t="s">
        <v>251</v>
      </c>
      <c r="E27" s="57">
        <v>32</v>
      </c>
      <c r="F27" s="58">
        <f ca="1">7-41471+$D$1-112-111-43-112-112-1-112-112-112-112-112-112-112-112-112-112-112-112-112-112-112</f>
        <v>34</v>
      </c>
      <c r="G27" s="80"/>
      <c r="H27" s="310">
        <v>5</v>
      </c>
      <c r="I27" s="59">
        <v>6.3</v>
      </c>
      <c r="J27" s="185">
        <f>LOG(I27+1)*4/3</f>
        <v>1.1510971468272746</v>
      </c>
      <c r="K27" s="98">
        <f>(H27)*(H27)*(I27)</f>
        <v>157.5</v>
      </c>
      <c r="L27" s="98">
        <f>(H27+1)*(H27+1)*I27</f>
        <v>226.79999999999998</v>
      </c>
      <c r="M27" s="92">
        <v>5.5</v>
      </c>
      <c r="N27" s="178">
        <f>M27*10+19</f>
        <v>74</v>
      </c>
      <c r="O27" s="178" t="s">
        <v>256</v>
      </c>
      <c r="P27" s="304">
        <v>1.5</v>
      </c>
      <c r="Q27" s="179">
        <v>3</v>
      </c>
      <c r="R27" s="199">
        <f>(Q27/7)^0.5</f>
        <v>0.65465367070797709</v>
      </c>
      <c r="S27" s="199">
        <f>IF(Q27=7,1,((Q27+0.99)/7)^0.5)</f>
        <v>0.75498344352707503</v>
      </c>
      <c r="T27" s="269">
        <v>8950</v>
      </c>
      <c r="U27" s="268">
        <f>T27-BG27</f>
        <v>-920</v>
      </c>
      <c r="V27" s="269">
        <v>2040</v>
      </c>
      <c r="W27" s="108">
        <f>T27/V27</f>
        <v>4.3872549019607847</v>
      </c>
      <c r="X27" s="184">
        <v>0</v>
      </c>
      <c r="Y27" s="185">
        <f>4+0.01+0.01</f>
        <v>4.0199999999999996</v>
      </c>
      <c r="Z27" s="184">
        <v>6</v>
      </c>
      <c r="AA27" s="185">
        <f>4.9+0.25+0.05+0.05+0.05+0.04+0.03+0.03+0.03+0.02+0.02+0.02+0.02</f>
        <v>5.5099999999999989</v>
      </c>
      <c r="AB27" s="184">
        <v>10.95</v>
      </c>
      <c r="AC27" s="185">
        <v>7.95</v>
      </c>
      <c r="AD27" s="184">
        <v>14</v>
      </c>
      <c r="AE27" s="312">
        <v>974</v>
      </c>
      <c r="AF27" s="647">
        <f>(Z27+P27+J27)*(Q27/7)^0.5</f>
        <v>5.6634725028217821</v>
      </c>
      <c r="AG27" s="647">
        <f>(Z27+P27+J27)*(IF(Q27=7, (Q27/7)^0.5, ((Q27+1)/7)^0.5))</f>
        <v>6.5396147481043991</v>
      </c>
      <c r="AH27" s="108">
        <f>(((Y27+P27+J27)+(AB27+P27+J27)*2)/8)*(Q27/7)^0.5</f>
        <v>2.7719093225590656</v>
      </c>
      <c r="AI27" s="108">
        <f>(1.66*(AC27+J27+P27)+0.55*(AD27+J27+P27)-7.6)*(Q27/7)^0.5</f>
        <v>12.540496417052335</v>
      </c>
      <c r="AJ27" s="108">
        <f>((AD27+J27+P27)*0.7+(AC27+J27+P27)*0.3)*(Q27/7)^0.5</f>
        <v>9.7125054561506214</v>
      </c>
      <c r="AK27" s="108">
        <f>(0.5*(AC27+P27+J27)+ 0.3*(AD27+P27+J27))/10</f>
        <v>1.0295877717461819</v>
      </c>
      <c r="AL27" s="108">
        <f>(0.4*(Y27+P27+J27)+0.3*(AD27+P27+J27))/10</f>
        <v>0.76637680027790922</v>
      </c>
      <c r="AM27" s="648">
        <f>(AD27+P27+(LOG(I27)*4/3))*(Q27/7)^0.5</f>
        <v>10.844853529101004</v>
      </c>
      <c r="AN27" s="648">
        <f>(AD27+P27+(LOG(I27)*4/3))*(IF(Q27=7, (Q27/7)^0.5, ((Q27+1)/7)^0.5))</f>
        <v>12.522558208697054</v>
      </c>
      <c r="AO27" s="179">
        <v>2</v>
      </c>
      <c r="AP27" s="179">
        <v>1</v>
      </c>
      <c r="AQ27" s="241">
        <f>IF(AO27=4,IF(AP27=0,0.137+0.0697,0.137+0.02),IF(AO27=3,IF(AP27=0,0.0958+0.0697,0.0958+0.02),IF(AO27=2,IF(AP27=0,0.0415+0.0697,0.0415+0.02),IF(AO27=1,IF(AP27=0,0.0294+0.0697,0.0294+0.02),IF(AO27=0,IF(AP27=0,0.0063+0.0697,0.0063+0.02))))))</f>
        <v>6.1499999999999999E-2</v>
      </c>
      <c r="AR27" s="313"/>
      <c r="AS27" s="313"/>
      <c r="AT27" s="313"/>
      <c r="AU27" s="313"/>
      <c r="AV27" s="241"/>
      <c r="AW27" s="241"/>
      <c r="AX27" s="241"/>
      <c r="AY27" s="241"/>
      <c r="AZ27" s="241"/>
      <c r="BA27" s="241"/>
      <c r="BB27" s="241"/>
      <c r="BC27" s="241"/>
      <c r="BD27" s="241"/>
      <c r="BE27" s="241"/>
      <c r="BF27" s="241"/>
      <c r="BG27" s="269">
        <v>9870</v>
      </c>
      <c r="BH27" s="317"/>
      <c r="BJ27" s="136"/>
      <c r="BK27" s="139"/>
    </row>
    <row r="28" spans="1:63" x14ac:dyDescent="0.25">
      <c r="G28" s="2"/>
      <c r="H28"/>
      <c r="I28" s="84"/>
      <c r="J28" s="186"/>
      <c r="K28"/>
      <c r="T28" s="68">
        <f>SUM(T4:T27)</f>
        <v>405950</v>
      </c>
      <c r="U28" s="68">
        <f t="shared" ref="U28:V28" si="37">SUM(U4:U27)</f>
        <v>-5900</v>
      </c>
      <c r="V28" s="68">
        <f t="shared" si="37"/>
        <v>88636</v>
      </c>
      <c r="W28" s="107">
        <f t="shared" si="4"/>
        <v>4.5799675075590054</v>
      </c>
      <c r="X28"/>
      <c r="AD28" s="105"/>
      <c r="AE28" s="68"/>
      <c r="AH28" s="650"/>
      <c r="AI28" s="650"/>
      <c r="AJ28" s="650"/>
      <c r="AK28" s="650"/>
      <c r="AL28" s="650"/>
      <c r="AM28" s="650"/>
      <c r="AN28" s="650"/>
    </row>
    <row r="29" spans="1:63" x14ac:dyDescent="0.25">
      <c r="G29" s="181"/>
      <c r="K29" s="181"/>
      <c r="M29" s="181"/>
      <c r="N29" s="181"/>
      <c r="Q29" s="181"/>
      <c r="T29" s="106"/>
      <c r="U29" s="106"/>
      <c r="V29" s="106"/>
      <c r="W29" s="89"/>
      <c r="AE29" s="89"/>
      <c r="AH29" s="651"/>
      <c r="AI29" s="651"/>
      <c r="AJ29" s="651"/>
      <c r="AK29" s="651"/>
      <c r="AL29" s="651"/>
      <c r="AM29" s="651"/>
      <c r="AN29" s="651"/>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55" priority="460" operator="greaterThan">
      <formula>6</formula>
    </cfRule>
    <cfRule type="cellIs" dxfId="54" priority="461" operator="lessThan">
      <formula>5</formula>
    </cfRule>
  </conditionalFormatting>
  <conditionalFormatting sqref="R5:S27">
    <cfRule type="cellIs" dxfId="53" priority="454" operator="greaterThan">
      <formula>0.95</formula>
    </cfRule>
    <cfRule type="cellIs" dxfId="52" priority="455" operator="lessThan">
      <formula>0.85</formula>
    </cfRule>
  </conditionalFormatting>
  <conditionalFormatting sqref="Q4">
    <cfRule type="cellIs" dxfId="51" priority="333" operator="greaterThan">
      <formula>6</formula>
    </cfRule>
    <cfRule type="cellIs" dxfId="50" priority="334" operator="lessThan">
      <formula>5</formula>
    </cfRule>
  </conditionalFormatting>
  <conditionalFormatting sqref="R4:S4">
    <cfRule type="cellIs" dxfId="49" priority="331" operator="greaterThan">
      <formula>0.95</formula>
    </cfRule>
    <cfRule type="cellIs" dxfId="48" priority="332" operator="lessThan">
      <formula>0.85</formula>
    </cfRule>
  </conditionalFormatting>
  <conditionalFormatting sqref="AQ4:AQ27">
    <cfRule type="cellIs" dxfId="47" priority="49" operator="lessThan">
      <formula>0.07</formula>
    </cfRule>
    <cfRule type="cellIs" dxfId="46" priority="50" operator="greaterThan">
      <formula>0.1</formula>
    </cfRule>
  </conditionalFormatting>
  <conditionalFormatting sqref="V4:V27">
    <cfRule type="dataBar" priority="34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7">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9">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3">
      <colorScale>
        <cfvo type="min"/>
        <cfvo type="percentile" val="50"/>
        <cfvo type="max"/>
        <color rgb="FFF8696B"/>
        <color rgb="FFFFEB84"/>
        <color rgb="FF63BE7B"/>
      </colorScale>
    </cfRule>
  </conditionalFormatting>
  <conditionalFormatting sqref="AF4:AG27">
    <cfRule type="colorScale" priority="3475">
      <colorScale>
        <cfvo type="min"/>
        <cfvo type="percentile" val="50"/>
        <cfvo type="max"/>
        <color rgb="FFF8696B"/>
        <color rgb="FFFFEB84"/>
        <color rgb="FF63BE7B"/>
      </colorScale>
    </cfRule>
  </conditionalFormatting>
  <conditionalFormatting sqref="AH4:AH27">
    <cfRule type="colorScale" priority="3477">
      <colorScale>
        <cfvo type="min"/>
        <cfvo type="percentile" val="50"/>
        <cfvo type="max"/>
        <color rgb="FFF8696B"/>
        <color rgb="FFFCFCFF"/>
        <color rgb="FF5A8AC6"/>
      </colorScale>
    </cfRule>
  </conditionalFormatting>
  <conditionalFormatting sqref="AI4:AI27">
    <cfRule type="colorScale" priority="3479">
      <colorScale>
        <cfvo type="min"/>
        <cfvo type="percentile" val="50"/>
        <cfvo type="max"/>
        <color rgb="FFF8696B"/>
        <color rgb="FFFFEB84"/>
        <color rgb="FF63BE7B"/>
      </colorScale>
    </cfRule>
  </conditionalFormatting>
  <conditionalFormatting sqref="AJ4:AJ27">
    <cfRule type="colorScale" priority="3481">
      <colorScale>
        <cfvo type="min"/>
        <cfvo type="percentile" val="50"/>
        <cfvo type="max"/>
        <color rgb="FFF8696B"/>
        <color rgb="FFFCFCFF"/>
        <color rgb="FF5A8AC6"/>
      </colorScale>
    </cfRule>
  </conditionalFormatting>
  <conditionalFormatting sqref="AK4:AL27">
    <cfRule type="colorScale" priority="3483">
      <colorScale>
        <cfvo type="min"/>
        <cfvo type="percentile" val="50"/>
        <cfvo type="max"/>
        <color rgb="FFF8696B"/>
        <color rgb="FFFFEB84"/>
        <color rgb="FF63BE7B"/>
      </colorScale>
    </cfRule>
  </conditionalFormatting>
  <conditionalFormatting sqref="AM4:AN27">
    <cfRule type="colorScale" priority="3485">
      <colorScale>
        <cfvo type="min"/>
        <cfvo type="percentile" val="50"/>
        <cfvo type="max"/>
        <color rgb="FFF8696B"/>
        <color rgb="FFFCFCFF"/>
        <color rgb="FF5A8AC6"/>
      </colorScale>
    </cfRule>
  </conditionalFormatting>
  <conditionalFormatting sqref="X4:AD27">
    <cfRule type="cellIs" dxfId="45" priority="3487" operator="greaterThan">
      <formula>10</formula>
    </cfRule>
    <cfRule type="colorScale" priority="3488">
      <colorScale>
        <cfvo type="min"/>
        <cfvo type="max"/>
        <color rgb="FFFCFCFF"/>
        <color rgb="FF63BE7B"/>
      </colorScale>
    </cfRule>
  </conditionalFormatting>
  <conditionalFormatting sqref="I4:I27">
    <cfRule type="colorScale" priority="3491">
      <colorScale>
        <cfvo type="min"/>
        <cfvo type="percentile" val="50"/>
        <cfvo type="max"/>
        <color rgb="FFF8696B"/>
        <color rgb="FFFFEB84"/>
        <color rgb="FF63BE7B"/>
      </colorScale>
    </cfRule>
  </conditionalFormatting>
  <conditionalFormatting sqref="BH4:BH27">
    <cfRule type="dataBar" priority="3493">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5">
      <colorScale>
        <cfvo type="min"/>
        <cfvo type="max"/>
        <color rgb="FFFCFCFF"/>
        <color rgb="FFF8696B"/>
      </colorScale>
    </cfRule>
  </conditionalFormatting>
  <conditionalFormatting sqref="AV4:BF27">
    <cfRule type="colorScale" priority="3497">
      <colorScale>
        <cfvo type="min"/>
        <cfvo type="percentile" val="50"/>
        <cfvo type="max"/>
        <color rgb="FFF8696B"/>
        <color rgb="FFFFEB84"/>
        <color rgb="FF63BE7B"/>
      </colorScale>
    </cfRule>
  </conditionalFormatting>
  <conditionalFormatting sqref="BH4:BH27">
    <cfRule type="dataBar" priority="3499">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3">
      <dataBar>
        <cfvo type="min"/>
        <cfvo type="max"/>
        <color rgb="FFFFB628"/>
      </dataBar>
      <extLst>
        <ext xmlns:x14="http://schemas.microsoft.com/office/spreadsheetml/2009/9/main" uri="{B025F937-C7B1-47D3-B67F-A62EFF666E3E}">
          <x14:id>{7BB4ADAD-44ED-41C2-BB15-58651F3681AE}</x14:id>
        </ext>
      </extLst>
    </cfRule>
  </conditionalFormatting>
  <conditionalFormatting sqref="P4:P27">
    <cfRule type="colorScale" priority="4">
      <colorScale>
        <cfvo type="min"/>
        <cfvo type="max"/>
        <color rgb="FFFFEF9C"/>
        <color rgb="FF63BE7B"/>
      </colorScale>
    </cfRule>
  </conditionalFormatting>
  <conditionalFormatting sqref="N4:N27">
    <cfRule type="colorScale" priority="3">
      <colorScale>
        <cfvo type="min"/>
        <cfvo type="percentile" val="50"/>
        <cfvo type="max"/>
        <color rgb="FFF8696B"/>
        <color rgb="FFFFEB84"/>
        <color rgb="FF63BE7B"/>
      </colorScale>
    </cfRule>
  </conditionalFormatting>
  <conditionalFormatting sqref="BG4:BG27">
    <cfRule type="dataBar" priority="1">
      <dataBar>
        <cfvo type="min"/>
        <cfvo type="max"/>
        <color rgb="FF638EC6"/>
      </dataBar>
      <extLst>
        <ext xmlns:x14="http://schemas.microsoft.com/office/spreadsheetml/2009/9/main" uri="{B025F937-C7B1-47D3-B67F-A62EFF666E3E}">
          <x14:id>{776BA191-640E-47CF-8F82-F710CFF627E3}</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776BA191-640E-47CF-8F82-F710CFF627E3}">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5"/>
  <sheetViews>
    <sheetView workbookViewId="0">
      <selection activeCell="F19" sqref="F19"/>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12.7109375" customWidth="1"/>
    <col min="64" max="64" width="255.7109375" bestFit="1" customWidth="1"/>
  </cols>
  <sheetData>
    <row r="1" spans="1:56" ht="18.75" x14ac:dyDescent="0.3">
      <c r="A1" s="659" t="s">
        <v>447</v>
      </c>
      <c r="B1" s="659"/>
      <c r="C1" s="659"/>
      <c r="D1" s="659"/>
      <c r="E1" s="659"/>
      <c r="F1" s="372"/>
      <c r="G1" s="372"/>
      <c r="H1" s="372"/>
      <c r="I1" s="372"/>
      <c r="J1" s="372"/>
      <c r="K1" s="372"/>
      <c r="L1" s="372"/>
      <c r="M1" s="372"/>
      <c r="N1" s="372"/>
      <c r="O1" s="372"/>
      <c r="P1" s="372"/>
      <c r="Q1" s="372"/>
      <c r="R1" s="372"/>
      <c r="S1" s="372"/>
      <c r="T1" s="372"/>
      <c r="U1" s="371"/>
      <c r="V1" s="371"/>
      <c r="W1" s="371"/>
      <c r="X1" s="371"/>
      <c r="Y1" s="371"/>
      <c r="Z1" s="371"/>
      <c r="AA1" s="371"/>
      <c r="AB1" s="371"/>
      <c r="AC1" s="371"/>
      <c r="AD1" s="371"/>
      <c r="AE1" s="371"/>
      <c r="AF1" s="371"/>
      <c r="AG1" s="371"/>
      <c r="AH1" s="373"/>
      <c r="AI1" s="374"/>
      <c r="AK1" s="662" t="s">
        <v>607</v>
      </c>
      <c r="AL1" s="662"/>
      <c r="AM1" s="662"/>
      <c r="AN1" s="662"/>
      <c r="AO1" s="424"/>
      <c r="AP1" s="424"/>
      <c r="AQ1" s="424"/>
      <c r="AR1" s="424"/>
      <c r="AS1" s="424"/>
      <c r="AT1" s="424"/>
      <c r="AU1" s="424"/>
      <c r="AV1" s="424"/>
      <c r="AW1" s="424"/>
      <c r="AX1" s="424"/>
      <c r="AY1" s="424"/>
      <c r="AZ1" s="424"/>
      <c r="BA1" s="424"/>
      <c r="BB1" s="424"/>
      <c r="BC1" s="424"/>
      <c r="BD1" s="438" t="s">
        <v>590</v>
      </c>
    </row>
    <row r="2" spans="1:56" x14ac:dyDescent="0.25">
      <c r="A2" s="375" t="s">
        <v>71</v>
      </c>
      <c r="B2" s="375" t="s">
        <v>448</v>
      </c>
      <c r="C2" s="375" t="s">
        <v>61</v>
      </c>
      <c r="D2" s="376" t="s">
        <v>449</v>
      </c>
      <c r="E2" s="375" t="s">
        <v>450</v>
      </c>
      <c r="F2" s="375" t="s">
        <v>331</v>
      </c>
      <c r="G2" s="375" t="s">
        <v>1</v>
      </c>
      <c r="H2" s="375" t="s">
        <v>451</v>
      </c>
      <c r="I2" s="377" t="s">
        <v>2</v>
      </c>
      <c r="J2" s="377" t="s">
        <v>451</v>
      </c>
      <c r="K2" s="375" t="s">
        <v>321</v>
      </c>
      <c r="L2" s="375" t="s">
        <v>451</v>
      </c>
      <c r="M2" s="377" t="s">
        <v>260</v>
      </c>
      <c r="N2" s="377" t="s">
        <v>451</v>
      </c>
      <c r="O2" s="375" t="s">
        <v>262</v>
      </c>
      <c r="P2" s="375" t="s">
        <v>451</v>
      </c>
      <c r="Q2" s="377" t="s">
        <v>322</v>
      </c>
      <c r="R2" s="377" t="s">
        <v>451</v>
      </c>
      <c r="S2" s="375" t="s">
        <v>0</v>
      </c>
      <c r="T2" s="375" t="s">
        <v>451</v>
      </c>
      <c r="U2" s="376" t="s">
        <v>452</v>
      </c>
      <c r="V2" s="376" t="s">
        <v>75</v>
      </c>
      <c r="W2" s="376" t="s">
        <v>67</v>
      </c>
      <c r="X2" s="376" t="s">
        <v>453</v>
      </c>
      <c r="Y2" s="376" t="s">
        <v>0</v>
      </c>
      <c r="Z2" s="376" t="s">
        <v>454</v>
      </c>
      <c r="AA2" s="376" t="s">
        <v>1</v>
      </c>
      <c r="AB2" s="376" t="s">
        <v>2</v>
      </c>
      <c r="AC2" s="376" t="s">
        <v>321</v>
      </c>
      <c r="AD2" s="376" t="s">
        <v>260</v>
      </c>
      <c r="AE2" s="376" t="s">
        <v>262</v>
      </c>
      <c r="AF2" s="376" t="s">
        <v>322</v>
      </c>
      <c r="AG2" s="376" t="s">
        <v>0</v>
      </c>
      <c r="AH2" s="378" t="s">
        <v>455</v>
      </c>
      <c r="AI2" s="379"/>
      <c r="BD2" s="439" t="s">
        <v>591</v>
      </c>
    </row>
    <row r="3" spans="1:56" ht="15.75" x14ac:dyDescent="0.25">
      <c r="A3" s="450" t="s">
        <v>493</v>
      </c>
      <c r="B3" s="405">
        <v>17</v>
      </c>
      <c r="C3" s="390">
        <f ca="1">3+$A$32-$A$31</f>
        <v>28</v>
      </c>
      <c r="D3" s="391"/>
      <c r="E3" s="435">
        <f ca="1">F3-$A$32</f>
        <v>28</v>
      </c>
      <c r="F3" s="392">
        <v>43697</v>
      </c>
      <c r="G3" s="405"/>
      <c r="H3" s="405"/>
      <c r="I3" s="627">
        <v>6</v>
      </c>
      <c r="J3" s="636">
        <v>6.99</v>
      </c>
      <c r="K3" s="368"/>
      <c r="L3" s="399">
        <v>2.99</v>
      </c>
      <c r="M3" s="405"/>
      <c r="N3" s="399">
        <v>1.99</v>
      </c>
      <c r="O3" s="405"/>
      <c r="P3" s="399">
        <v>2.99</v>
      </c>
      <c r="Q3" s="405"/>
      <c r="R3" s="398">
        <v>6.99</v>
      </c>
      <c r="S3" s="405"/>
      <c r="T3" s="405"/>
      <c r="U3" s="421" t="s">
        <v>468</v>
      </c>
      <c r="V3" s="401"/>
      <c r="W3" s="401">
        <f>COUNTA(H3,J3,L3,N3,P3,R3,T3)</f>
        <v>5</v>
      </c>
      <c r="X3" s="401">
        <v>0</v>
      </c>
      <c r="Y3" s="401">
        <v>0</v>
      </c>
      <c r="Z3" s="401"/>
      <c r="AA3" s="415"/>
      <c r="AB3" s="415"/>
      <c r="AC3" s="415"/>
      <c r="AD3" s="415"/>
      <c r="AE3" s="415"/>
      <c r="AF3" s="415"/>
      <c r="AG3" s="415"/>
      <c r="AH3" s="404" t="s">
        <v>470</v>
      </c>
      <c r="AI3" s="374"/>
      <c r="AK3" s="660" t="s">
        <v>457</v>
      </c>
      <c r="AL3" s="660"/>
      <c r="AM3" s="660"/>
      <c r="AN3" s="660"/>
      <c r="AO3" s="661" t="s">
        <v>458</v>
      </c>
      <c r="AP3" s="661"/>
      <c r="AQ3" s="661"/>
      <c r="AR3" s="661"/>
      <c r="AS3" s="661"/>
      <c r="AT3" s="661"/>
      <c r="AU3" s="661"/>
      <c r="AV3" s="661"/>
      <c r="AW3" s="661"/>
      <c r="AX3" s="661"/>
      <c r="AY3" s="661"/>
      <c r="AZ3" s="661"/>
      <c r="BA3" s="661"/>
      <c r="BB3" s="661"/>
      <c r="BD3" s="440" t="s">
        <v>592</v>
      </c>
    </row>
    <row r="4" spans="1:56" x14ac:dyDescent="0.25">
      <c r="A4" s="663" t="s">
        <v>456</v>
      </c>
      <c r="B4" s="663"/>
      <c r="C4" s="663"/>
      <c r="D4" s="663"/>
      <c r="E4" s="663"/>
      <c r="F4" s="382"/>
      <c r="G4" s="382"/>
      <c r="H4" s="382"/>
      <c r="I4" s="382"/>
      <c r="J4" s="382"/>
      <c r="K4" s="382"/>
      <c r="L4" s="382"/>
      <c r="M4" s="382"/>
      <c r="N4" s="382"/>
      <c r="O4" s="382"/>
      <c r="P4" s="382"/>
      <c r="Q4" s="382"/>
      <c r="R4" s="382"/>
      <c r="S4" s="382"/>
      <c r="T4" s="382"/>
      <c r="U4" s="381"/>
      <c r="V4" s="381"/>
      <c r="W4" s="381"/>
      <c r="X4" s="381"/>
      <c r="Y4" s="381"/>
      <c r="Z4" s="381"/>
      <c r="AA4" s="381"/>
      <c r="AB4" s="381"/>
      <c r="AC4" s="381"/>
      <c r="AD4" s="381"/>
      <c r="AE4" s="381"/>
      <c r="AF4" s="381"/>
      <c r="AG4" s="381"/>
      <c r="AH4" s="383"/>
      <c r="AI4" s="387"/>
      <c r="AK4" s="428" t="s">
        <v>71</v>
      </c>
      <c r="AL4" s="428" t="s">
        <v>448</v>
      </c>
      <c r="AM4" s="428" t="s">
        <v>61</v>
      </c>
      <c r="AN4" s="457" t="s">
        <v>449</v>
      </c>
      <c r="AO4" s="458" t="s">
        <v>1</v>
      </c>
      <c r="AP4" s="458" t="s">
        <v>495</v>
      </c>
      <c r="AQ4" s="458" t="s">
        <v>2</v>
      </c>
      <c r="AR4" s="458" t="s">
        <v>496</v>
      </c>
      <c r="AS4" s="458" t="s">
        <v>321</v>
      </c>
      <c r="AT4" s="458" t="s">
        <v>497</v>
      </c>
      <c r="AU4" s="458" t="s">
        <v>260</v>
      </c>
      <c r="AV4" s="458" t="s">
        <v>498</v>
      </c>
      <c r="AW4" s="458" t="s">
        <v>322</v>
      </c>
      <c r="AX4" s="458" t="s">
        <v>499</v>
      </c>
      <c r="AY4" s="458" t="s">
        <v>262</v>
      </c>
      <c r="AZ4" s="458" t="s">
        <v>500</v>
      </c>
      <c r="BA4" s="458" t="s">
        <v>0</v>
      </c>
      <c r="BB4" s="458" t="s">
        <v>501</v>
      </c>
      <c r="BD4" s="440" t="s">
        <v>593</v>
      </c>
    </row>
    <row r="5" spans="1:56" x14ac:dyDescent="0.25">
      <c r="A5" s="384" t="s">
        <v>457</v>
      </c>
      <c r="B5" s="384"/>
      <c r="C5" s="384"/>
      <c r="D5" s="384"/>
      <c r="E5" s="384"/>
      <c r="F5" s="384"/>
      <c r="G5" s="384" t="s">
        <v>458</v>
      </c>
      <c r="H5" s="384"/>
      <c r="I5" s="384"/>
      <c r="J5" s="384"/>
      <c r="K5" s="384"/>
      <c r="L5" s="384"/>
      <c r="M5" s="384"/>
      <c r="N5" s="384"/>
      <c r="O5" s="384"/>
      <c r="P5" s="384"/>
      <c r="Q5" s="384"/>
      <c r="R5" s="384"/>
      <c r="S5" s="384"/>
      <c r="T5" s="384"/>
      <c r="U5" s="385"/>
      <c r="V5" s="385"/>
      <c r="W5" s="385"/>
      <c r="X5" s="385"/>
      <c r="Y5" s="385"/>
      <c r="Z5" s="385"/>
      <c r="AA5" s="385"/>
      <c r="AB5" s="385"/>
      <c r="AC5" s="385"/>
      <c r="AD5" s="385"/>
      <c r="AE5" s="385"/>
      <c r="AF5" s="385"/>
      <c r="AG5" s="385"/>
      <c r="AH5" s="386"/>
      <c r="AI5" s="379"/>
      <c r="AK5" s="498" t="s">
        <v>99</v>
      </c>
      <c r="AL5" s="431">
        <v>17</v>
      </c>
      <c r="AM5" s="432">
        <v>1798</v>
      </c>
      <c r="AN5" s="434" t="s">
        <v>220</v>
      </c>
      <c r="AO5" s="459"/>
      <c r="AP5" s="459"/>
      <c r="AQ5" s="460">
        <v>3</v>
      </c>
      <c r="AR5" s="460">
        <v>3.99</v>
      </c>
      <c r="AS5" s="460">
        <v>2</v>
      </c>
      <c r="AT5" s="460">
        <v>2.99</v>
      </c>
      <c r="AU5" s="459"/>
      <c r="AV5" s="461">
        <v>3.99</v>
      </c>
      <c r="AW5" s="459"/>
      <c r="AX5" s="461">
        <v>3.99</v>
      </c>
      <c r="AY5" s="460">
        <v>2</v>
      </c>
      <c r="AZ5" s="460">
        <v>2.99</v>
      </c>
      <c r="BA5" s="459"/>
      <c r="BB5" s="459"/>
      <c r="BD5" s="440" t="s">
        <v>594</v>
      </c>
    </row>
    <row r="6" spans="1:56" x14ac:dyDescent="0.25">
      <c r="A6" s="384" t="s">
        <v>71</v>
      </c>
      <c r="B6" s="384" t="s">
        <v>448</v>
      </c>
      <c r="C6" s="384" t="s">
        <v>61</v>
      </c>
      <c r="D6" s="385" t="s">
        <v>449</v>
      </c>
      <c r="E6" s="384" t="s">
        <v>450</v>
      </c>
      <c r="F6" s="384" t="s">
        <v>331</v>
      </c>
      <c r="G6" s="384" t="s">
        <v>1</v>
      </c>
      <c r="H6" s="384" t="s">
        <v>451</v>
      </c>
      <c r="I6" s="388" t="s">
        <v>2</v>
      </c>
      <c r="J6" s="388" t="s">
        <v>451</v>
      </c>
      <c r="K6" s="384" t="s">
        <v>321</v>
      </c>
      <c r="L6" s="384" t="s">
        <v>451</v>
      </c>
      <c r="M6" s="388" t="s">
        <v>260</v>
      </c>
      <c r="N6" s="388" t="s">
        <v>451</v>
      </c>
      <c r="O6" s="384" t="s">
        <v>262</v>
      </c>
      <c r="P6" s="384" t="s">
        <v>451</v>
      </c>
      <c r="Q6" s="388" t="s">
        <v>322</v>
      </c>
      <c r="R6" s="388" t="s">
        <v>451</v>
      </c>
      <c r="S6" s="384" t="s">
        <v>0</v>
      </c>
      <c r="T6" s="384" t="s">
        <v>451</v>
      </c>
      <c r="U6" s="385" t="s">
        <v>452</v>
      </c>
      <c r="V6" s="385" t="s">
        <v>75</v>
      </c>
      <c r="W6" s="385" t="s">
        <v>67</v>
      </c>
      <c r="X6" s="385" t="s">
        <v>453</v>
      </c>
      <c r="Y6" s="385" t="s">
        <v>0</v>
      </c>
      <c r="Z6" s="385" t="s">
        <v>454</v>
      </c>
      <c r="AA6" s="385" t="s">
        <v>1</v>
      </c>
      <c r="AB6" s="385" t="s">
        <v>2</v>
      </c>
      <c r="AC6" s="385" t="s">
        <v>321</v>
      </c>
      <c r="AD6" s="385" t="s">
        <v>260</v>
      </c>
      <c r="AE6" s="385" t="s">
        <v>262</v>
      </c>
      <c r="AF6" s="385" t="s">
        <v>322</v>
      </c>
      <c r="AG6" s="385" t="s">
        <v>0</v>
      </c>
      <c r="AH6" s="386" t="s">
        <v>455</v>
      </c>
      <c r="AI6" s="369" t="s">
        <v>464</v>
      </c>
      <c r="AK6" s="498" t="s">
        <v>98</v>
      </c>
      <c r="AL6" s="431">
        <v>16</v>
      </c>
      <c r="AM6" s="432">
        <v>1849</v>
      </c>
      <c r="AN6" s="434"/>
      <c r="AO6" s="459"/>
      <c r="AP6" s="459"/>
      <c r="AQ6" s="460">
        <v>4</v>
      </c>
      <c r="AR6" s="460">
        <v>4.99</v>
      </c>
      <c r="AS6" s="459"/>
      <c r="AT6" s="459"/>
      <c r="AU6" s="460">
        <v>0</v>
      </c>
      <c r="AV6" s="460">
        <v>0.99</v>
      </c>
      <c r="AW6" s="462">
        <v>3</v>
      </c>
      <c r="AX6" s="461">
        <v>4.99</v>
      </c>
      <c r="AY6" s="460">
        <v>1</v>
      </c>
      <c r="AZ6" s="460">
        <v>1.99</v>
      </c>
      <c r="BA6" s="459"/>
      <c r="BB6" s="459"/>
      <c r="BD6" s="440" t="s">
        <v>595</v>
      </c>
    </row>
    <row r="7" spans="1:56" ht="15.75" x14ac:dyDescent="0.25">
      <c r="A7" s="448" t="s">
        <v>459</v>
      </c>
      <c r="B7" s="405">
        <v>17</v>
      </c>
      <c r="C7" s="390">
        <f ca="1">11+$A$32-$A$31</f>
        <v>36</v>
      </c>
      <c r="D7" s="406" t="s">
        <v>94</v>
      </c>
      <c r="E7" s="407">
        <f ca="1">F7-A32</f>
        <v>-25</v>
      </c>
      <c r="F7" s="392">
        <v>43644</v>
      </c>
      <c r="G7" s="405"/>
      <c r="H7" s="405"/>
      <c r="I7" s="396">
        <v>5</v>
      </c>
      <c r="J7" s="398">
        <v>6.99</v>
      </c>
      <c r="K7" s="394">
        <v>5</v>
      </c>
      <c r="L7" s="395">
        <v>5.99</v>
      </c>
      <c r="M7" s="627">
        <v>6</v>
      </c>
      <c r="N7" s="636">
        <v>6.99</v>
      </c>
      <c r="O7" s="394">
        <v>2</v>
      </c>
      <c r="P7" s="408">
        <v>2.99</v>
      </c>
      <c r="Q7" s="409">
        <v>3</v>
      </c>
      <c r="R7" s="410">
        <v>3.99</v>
      </c>
      <c r="S7" s="405"/>
      <c r="T7" s="405"/>
      <c r="U7" s="411" t="s">
        <v>460</v>
      </c>
      <c r="V7" s="401"/>
      <c r="W7" s="401">
        <f>COUNTA(H7,J7,L7,N7,P7,R7,T7)</f>
        <v>5</v>
      </c>
      <c r="X7" s="401">
        <v>8</v>
      </c>
      <c r="Y7" s="401">
        <v>0</v>
      </c>
      <c r="Z7" s="402">
        <v>2121</v>
      </c>
      <c r="AA7" s="403"/>
      <c r="AB7" s="403" t="s">
        <v>461</v>
      </c>
      <c r="AC7" s="403"/>
      <c r="AD7" s="403" t="s">
        <v>462</v>
      </c>
      <c r="AE7" s="403"/>
      <c r="AF7" s="403"/>
      <c r="AG7" s="403"/>
      <c r="AH7" s="404" t="s">
        <v>463</v>
      </c>
      <c r="AI7" s="374"/>
      <c r="AK7" s="498" t="s">
        <v>502</v>
      </c>
      <c r="AL7" s="431">
        <v>18</v>
      </c>
      <c r="AM7" s="432">
        <v>1773</v>
      </c>
      <c r="AN7" s="434"/>
      <c r="AO7" s="459"/>
      <c r="AP7" s="459"/>
      <c r="AQ7" s="460">
        <v>4</v>
      </c>
      <c r="AR7" s="460">
        <v>4.99</v>
      </c>
      <c r="AS7" s="460">
        <v>2</v>
      </c>
      <c r="AT7" s="460">
        <v>2.99</v>
      </c>
      <c r="AU7" s="459"/>
      <c r="AV7" s="459"/>
      <c r="AW7" s="459"/>
      <c r="AX7" s="459"/>
      <c r="AY7" s="462">
        <v>4</v>
      </c>
      <c r="AZ7" s="461">
        <v>4.99</v>
      </c>
      <c r="BA7" s="459"/>
      <c r="BB7" s="461">
        <v>2.99</v>
      </c>
      <c r="BD7" s="440" t="s">
        <v>596</v>
      </c>
    </row>
    <row r="8" spans="1:56" ht="15.75" x14ac:dyDescent="0.25">
      <c r="A8" s="450" t="s">
        <v>682</v>
      </c>
      <c r="B8" s="405">
        <v>16</v>
      </c>
      <c r="C8" s="390">
        <f ca="1">2+$A$32-$A$31</f>
        <v>27</v>
      </c>
      <c r="D8" s="391"/>
      <c r="E8" s="435">
        <f ca="1">F8-$A$32</f>
        <v>111</v>
      </c>
      <c r="F8" s="392">
        <v>43780</v>
      </c>
      <c r="G8" s="405"/>
      <c r="H8" s="433"/>
      <c r="I8" s="396">
        <v>3</v>
      </c>
      <c r="J8" s="397">
        <v>5.99</v>
      </c>
      <c r="K8" s="433"/>
      <c r="L8" s="433"/>
      <c r="M8" s="433"/>
      <c r="N8" s="433"/>
      <c r="O8" s="433"/>
      <c r="P8" s="398">
        <v>6.99</v>
      </c>
      <c r="Q8" s="433"/>
      <c r="R8" s="433"/>
      <c r="S8" s="433"/>
      <c r="T8" s="433"/>
      <c r="U8" s="411" t="s">
        <v>683</v>
      </c>
      <c r="V8" s="401"/>
      <c r="W8" s="401">
        <f>COUNTA(H8,J8,L8,N8,P8,R8,T8)</f>
        <v>2</v>
      </c>
      <c r="X8" s="401">
        <v>0</v>
      </c>
      <c r="Y8" s="401">
        <v>0</v>
      </c>
      <c r="Z8" s="401"/>
      <c r="AA8" s="415"/>
      <c r="AB8" s="415"/>
      <c r="AC8" s="415"/>
      <c r="AD8" s="415"/>
      <c r="AE8" s="415"/>
      <c r="AF8" s="415"/>
      <c r="AG8" s="415"/>
      <c r="AH8" s="404" t="s">
        <v>470</v>
      </c>
      <c r="AI8" s="387"/>
      <c r="AK8" s="498" t="s">
        <v>95</v>
      </c>
      <c r="AL8" s="431">
        <v>17</v>
      </c>
      <c r="AM8" s="432">
        <v>1752</v>
      </c>
      <c r="AN8" s="434"/>
      <c r="AO8" s="459"/>
      <c r="AP8" s="459">
        <v>1.99</v>
      </c>
      <c r="AQ8" s="463">
        <v>6</v>
      </c>
      <c r="AR8" s="464">
        <v>6.99</v>
      </c>
      <c r="AS8" s="465">
        <v>4</v>
      </c>
      <c r="AT8" s="465">
        <v>4.99</v>
      </c>
      <c r="AU8" s="460">
        <v>3</v>
      </c>
      <c r="AV8" s="460">
        <v>3.99</v>
      </c>
      <c r="AW8" s="462">
        <v>2</v>
      </c>
      <c r="AX8" s="461">
        <v>3.99</v>
      </c>
      <c r="AY8" s="460">
        <v>2</v>
      </c>
      <c r="AZ8" s="460">
        <v>2.99</v>
      </c>
      <c r="BA8" s="459"/>
      <c r="BB8" s="459"/>
      <c r="BD8" s="440" t="s">
        <v>597</v>
      </c>
    </row>
    <row r="9" spans="1:56" x14ac:dyDescent="0.25">
      <c r="A9" s="664" t="s">
        <v>465</v>
      </c>
      <c r="B9" s="664"/>
      <c r="C9" s="664"/>
      <c r="D9" s="664"/>
      <c r="E9" s="664"/>
      <c r="F9" s="441"/>
      <c r="G9" s="441"/>
      <c r="H9" s="441"/>
      <c r="I9" s="441"/>
      <c r="J9" s="441"/>
      <c r="K9" s="441"/>
      <c r="L9" s="441"/>
      <c r="M9" s="441"/>
      <c r="N9" s="441"/>
      <c r="O9" s="441"/>
      <c r="P9" s="441"/>
      <c r="Q9" s="441"/>
      <c r="R9" s="441"/>
      <c r="S9" s="441"/>
      <c r="T9" s="441"/>
      <c r="U9" s="442"/>
      <c r="V9" s="442"/>
      <c r="W9" s="442"/>
      <c r="X9" s="442"/>
      <c r="Y9" s="442"/>
      <c r="Z9" s="442"/>
      <c r="AA9" s="442"/>
      <c r="AB9" s="442"/>
      <c r="AC9" s="442"/>
      <c r="AD9" s="442"/>
      <c r="AE9" s="442"/>
      <c r="AF9" s="442"/>
      <c r="AG9" s="442"/>
      <c r="AH9" s="443"/>
      <c r="AI9" s="379"/>
      <c r="AK9" s="498" t="s">
        <v>97</v>
      </c>
      <c r="AL9" s="431">
        <v>17</v>
      </c>
      <c r="AM9" s="432">
        <v>1701</v>
      </c>
      <c r="AN9" s="434"/>
      <c r="AO9" s="459"/>
      <c r="AP9" s="459"/>
      <c r="AQ9" s="460">
        <v>1</v>
      </c>
      <c r="AR9" s="460">
        <v>1.99</v>
      </c>
      <c r="AS9" s="465">
        <v>5</v>
      </c>
      <c r="AT9" s="466">
        <v>5.99</v>
      </c>
      <c r="AU9" s="460">
        <v>2</v>
      </c>
      <c r="AV9" s="460">
        <v>2.99</v>
      </c>
      <c r="AW9" s="460">
        <v>2</v>
      </c>
      <c r="AX9" s="460">
        <v>2.99</v>
      </c>
      <c r="AY9" s="460">
        <v>2</v>
      </c>
      <c r="AZ9" s="460">
        <v>2.99</v>
      </c>
      <c r="BA9" s="459"/>
      <c r="BB9" s="459"/>
      <c r="BD9" s="430" t="s">
        <v>598</v>
      </c>
    </row>
    <row r="10" spans="1:56" ht="15.75" x14ac:dyDescent="0.25">
      <c r="A10" s="444" t="s">
        <v>457</v>
      </c>
      <c r="B10" s="444"/>
      <c r="C10" s="444"/>
      <c r="D10" s="444"/>
      <c r="E10" s="444"/>
      <c r="F10" s="444"/>
      <c r="G10" s="444" t="s">
        <v>458</v>
      </c>
      <c r="H10" s="444"/>
      <c r="I10" s="444"/>
      <c r="J10" s="444"/>
      <c r="K10" s="444"/>
      <c r="L10" s="444"/>
      <c r="M10" s="444"/>
      <c r="N10" s="444"/>
      <c r="O10" s="444"/>
      <c r="P10" s="444"/>
      <c r="Q10" s="444"/>
      <c r="R10" s="444"/>
      <c r="S10" s="444"/>
      <c r="T10" s="444"/>
      <c r="U10" s="445"/>
      <c r="V10" s="445"/>
      <c r="W10" s="445"/>
      <c r="X10" s="445"/>
      <c r="Y10" s="445"/>
      <c r="Z10" s="445"/>
      <c r="AA10" s="445"/>
      <c r="AB10" s="445"/>
      <c r="AC10" s="445"/>
      <c r="AD10" s="445"/>
      <c r="AE10" s="445"/>
      <c r="AF10" s="445"/>
      <c r="AG10" s="445"/>
      <c r="AH10" s="446"/>
      <c r="AI10" s="368"/>
      <c r="AK10" s="498" t="s">
        <v>503</v>
      </c>
      <c r="AL10" s="431">
        <v>17</v>
      </c>
      <c r="AM10" s="432">
        <v>1714</v>
      </c>
      <c r="AN10" s="434" t="s">
        <v>96</v>
      </c>
      <c r="AO10" s="467"/>
      <c r="AP10" s="467"/>
      <c r="AQ10" s="468">
        <v>5</v>
      </c>
      <c r="AR10" s="469">
        <v>5.99</v>
      </c>
      <c r="AS10" s="470">
        <v>2</v>
      </c>
      <c r="AT10" s="470">
        <v>2.99</v>
      </c>
      <c r="AU10" s="470">
        <v>4</v>
      </c>
      <c r="AV10" s="470">
        <v>4.99</v>
      </c>
      <c r="AW10" s="470">
        <v>5</v>
      </c>
      <c r="AX10" s="471">
        <v>5.99</v>
      </c>
      <c r="AY10" s="467"/>
      <c r="AZ10" s="472">
        <v>5.99</v>
      </c>
      <c r="BA10" s="467"/>
      <c r="BB10" s="461">
        <v>2.99</v>
      </c>
    </row>
    <row r="11" spans="1:56" ht="15.75" x14ac:dyDescent="0.25">
      <c r="A11" s="444" t="s">
        <v>71</v>
      </c>
      <c r="B11" s="444" t="s">
        <v>448</v>
      </c>
      <c r="C11" s="444" t="s">
        <v>61</v>
      </c>
      <c r="D11" s="445" t="s">
        <v>449</v>
      </c>
      <c r="E11" s="444" t="s">
        <v>450</v>
      </c>
      <c r="F11" s="444" t="s">
        <v>331</v>
      </c>
      <c r="G11" s="444" t="s">
        <v>1</v>
      </c>
      <c r="H11" s="444" t="s">
        <v>451</v>
      </c>
      <c r="I11" s="447" t="s">
        <v>2</v>
      </c>
      <c r="J11" s="447" t="s">
        <v>451</v>
      </c>
      <c r="K11" s="444" t="s">
        <v>321</v>
      </c>
      <c r="L11" s="444" t="s">
        <v>451</v>
      </c>
      <c r="M11" s="447" t="s">
        <v>260</v>
      </c>
      <c r="N11" s="447" t="s">
        <v>451</v>
      </c>
      <c r="O11" s="444" t="s">
        <v>262</v>
      </c>
      <c r="P11" s="444" t="s">
        <v>451</v>
      </c>
      <c r="Q11" s="447" t="s">
        <v>322</v>
      </c>
      <c r="R11" s="447" t="s">
        <v>451</v>
      </c>
      <c r="S11" s="444" t="s">
        <v>0</v>
      </c>
      <c r="T11" s="444" t="s">
        <v>451</v>
      </c>
      <c r="U11" s="445" t="s">
        <v>452</v>
      </c>
      <c r="V11" s="445" t="s">
        <v>75</v>
      </c>
      <c r="W11" s="445" t="s">
        <v>67</v>
      </c>
      <c r="X11" s="445" t="s">
        <v>453</v>
      </c>
      <c r="Y11" s="445" t="s">
        <v>0</v>
      </c>
      <c r="Z11" s="445" t="s">
        <v>454</v>
      </c>
      <c r="AA11" s="445" t="s">
        <v>1</v>
      </c>
      <c r="AB11" s="445" t="s">
        <v>2</v>
      </c>
      <c r="AC11" s="445" t="s">
        <v>321</v>
      </c>
      <c r="AD11" s="445" t="s">
        <v>260</v>
      </c>
      <c r="AE11" s="445" t="s">
        <v>262</v>
      </c>
      <c r="AF11" s="445" t="s">
        <v>322</v>
      </c>
      <c r="AG11" s="445" t="s">
        <v>0</v>
      </c>
      <c r="AH11" s="446" t="s">
        <v>455</v>
      </c>
      <c r="AI11" s="368"/>
      <c r="AK11" s="498" t="s">
        <v>504</v>
      </c>
      <c r="AL11" s="431">
        <v>17</v>
      </c>
      <c r="AM11" s="432">
        <v>1719</v>
      </c>
      <c r="AN11" s="434" t="s">
        <v>220</v>
      </c>
      <c r="AO11" s="467"/>
      <c r="AP11" s="467"/>
      <c r="AQ11" s="473">
        <v>2</v>
      </c>
      <c r="AR11" s="467"/>
      <c r="AS11" s="473">
        <v>2</v>
      </c>
      <c r="AT11" s="467"/>
      <c r="AU11" s="467"/>
      <c r="AV11" s="473">
        <v>2.99</v>
      </c>
      <c r="AW11" s="468">
        <v>5</v>
      </c>
      <c r="AX11" s="469">
        <v>5.99</v>
      </c>
      <c r="AY11" s="468">
        <v>4</v>
      </c>
      <c r="AZ11" s="468">
        <v>4.99</v>
      </c>
      <c r="BA11" s="467"/>
      <c r="BB11" s="467"/>
    </row>
    <row r="12" spans="1:56" ht="15.75" x14ac:dyDescent="0.25">
      <c r="A12" s="449" t="s">
        <v>466</v>
      </c>
      <c r="B12" s="369">
        <v>15</v>
      </c>
      <c r="C12" s="417">
        <f ca="1">58+$A$32-$A$31</f>
        <v>83</v>
      </c>
      <c r="D12" s="418"/>
      <c r="E12" s="435">
        <f ca="1">F12-$A$32</f>
        <v>141</v>
      </c>
      <c r="F12" s="392">
        <v>43810</v>
      </c>
      <c r="G12" s="368"/>
      <c r="H12" s="368"/>
      <c r="I12" s="394">
        <v>1</v>
      </c>
      <c r="J12" s="408">
        <v>1.99</v>
      </c>
      <c r="K12" s="368"/>
      <c r="L12" s="397">
        <v>5.99</v>
      </c>
      <c r="M12" s="396">
        <v>3</v>
      </c>
      <c r="N12" s="399">
        <v>4.99</v>
      </c>
      <c r="O12" s="368"/>
      <c r="P12" s="399">
        <v>2.99</v>
      </c>
      <c r="Q12" s="368"/>
      <c r="R12" s="368"/>
      <c r="S12" s="368"/>
      <c r="T12" s="368"/>
      <c r="U12" s="370" t="s">
        <v>468</v>
      </c>
      <c r="V12" s="369"/>
      <c r="W12" s="401">
        <f>COUNTA(H12,J12,L12,N12,P12,R12,T12)</f>
        <v>4</v>
      </c>
      <c r="X12" s="401">
        <v>0</v>
      </c>
      <c r="Y12" s="401">
        <v>0</v>
      </c>
      <c r="Z12" s="401"/>
      <c r="AA12" s="415"/>
      <c r="AB12" s="415"/>
      <c r="AC12" s="415"/>
      <c r="AD12" s="415"/>
      <c r="AE12" s="415"/>
      <c r="AF12" s="415"/>
      <c r="AG12" s="415"/>
      <c r="AH12" s="404" t="s">
        <v>470</v>
      </c>
      <c r="AI12" s="369" t="s">
        <v>476</v>
      </c>
      <c r="AK12" s="498" t="s">
        <v>505</v>
      </c>
      <c r="AL12" s="431">
        <v>18</v>
      </c>
      <c r="AM12" s="432">
        <v>1715</v>
      </c>
      <c r="AN12" s="434"/>
      <c r="AO12" s="467"/>
      <c r="AP12" s="467"/>
      <c r="AQ12" s="467"/>
      <c r="AR12" s="473">
        <v>2.99</v>
      </c>
      <c r="AS12" s="470">
        <v>2</v>
      </c>
      <c r="AT12" s="470">
        <v>2.99</v>
      </c>
      <c r="AU12" s="473">
        <v>5</v>
      </c>
      <c r="AV12" s="474">
        <v>6.99</v>
      </c>
      <c r="AW12" s="468">
        <v>3</v>
      </c>
      <c r="AX12" s="468">
        <v>3.99</v>
      </c>
      <c r="AY12" s="467"/>
      <c r="AZ12" s="472">
        <v>5.99</v>
      </c>
      <c r="BA12" s="467"/>
      <c r="BB12" s="467"/>
    </row>
    <row r="13" spans="1:56" ht="15.75" x14ac:dyDescent="0.25">
      <c r="A13" s="450" t="s">
        <v>467</v>
      </c>
      <c r="B13" s="389">
        <v>16</v>
      </c>
      <c r="C13" s="390">
        <f ca="1">4+$A$32-$A$31</f>
        <v>29</v>
      </c>
      <c r="D13" s="406"/>
      <c r="E13" s="435">
        <f ca="1">F13-$A$32</f>
        <v>83</v>
      </c>
      <c r="F13" s="392">
        <v>43752</v>
      </c>
      <c r="G13" s="393"/>
      <c r="H13" s="399">
        <v>1.99</v>
      </c>
      <c r="I13" s="394">
        <v>2</v>
      </c>
      <c r="J13" s="408">
        <v>2.99</v>
      </c>
      <c r="K13" s="396">
        <v>3</v>
      </c>
      <c r="L13" s="399">
        <v>4.99</v>
      </c>
      <c r="M13" s="627">
        <v>4</v>
      </c>
      <c r="N13" s="628">
        <v>4.99</v>
      </c>
      <c r="O13" s="393"/>
      <c r="P13" s="397">
        <v>5.99</v>
      </c>
      <c r="Q13" s="393"/>
      <c r="R13" s="399">
        <v>2.99</v>
      </c>
      <c r="S13" s="393"/>
      <c r="T13" s="393"/>
      <c r="U13" s="400" t="s">
        <v>468</v>
      </c>
      <c r="V13" s="401" t="s">
        <v>469</v>
      </c>
      <c r="W13" s="401">
        <f t="shared" ref="W13:W15" si="0">COUNTA(H13,J13,L13,N13,P13,R13,T13)</f>
        <v>6</v>
      </c>
      <c r="X13" s="401">
        <v>0</v>
      </c>
      <c r="Y13" s="401">
        <v>0</v>
      </c>
      <c r="Z13" s="401"/>
      <c r="AA13" s="415"/>
      <c r="AB13" s="415"/>
      <c r="AC13" s="415"/>
      <c r="AD13" s="415"/>
      <c r="AE13" s="415"/>
      <c r="AF13" s="415"/>
      <c r="AG13" s="415"/>
      <c r="AH13" s="404" t="s">
        <v>470</v>
      </c>
      <c r="AI13" s="368"/>
      <c r="AK13" s="498" t="s">
        <v>101</v>
      </c>
      <c r="AL13" s="431">
        <v>18</v>
      </c>
      <c r="AM13" s="432">
        <v>1707</v>
      </c>
      <c r="AN13" s="434" t="s">
        <v>94</v>
      </c>
      <c r="AO13" s="467"/>
      <c r="AP13" s="467"/>
      <c r="AQ13" s="473">
        <v>1</v>
      </c>
      <c r="AR13" s="473">
        <v>2.99</v>
      </c>
      <c r="AS13" s="473">
        <v>6</v>
      </c>
      <c r="AT13" s="474">
        <v>7</v>
      </c>
      <c r="AU13" s="468">
        <v>4</v>
      </c>
      <c r="AV13" s="468">
        <v>4.99</v>
      </c>
      <c r="AW13" s="467"/>
      <c r="AX13" s="467"/>
      <c r="AY13" s="470">
        <v>3</v>
      </c>
      <c r="AZ13" s="470">
        <v>3.99</v>
      </c>
      <c r="BA13" s="467"/>
      <c r="BB13" s="473">
        <v>4.99</v>
      </c>
      <c r="BD13" s="429" t="s">
        <v>599</v>
      </c>
    </row>
    <row r="14" spans="1:56" ht="15.75" x14ac:dyDescent="0.25">
      <c r="A14" s="448" t="s">
        <v>471</v>
      </c>
      <c r="B14" s="389">
        <v>17</v>
      </c>
      <c r="C14" s="390">
        <f ca="1">37+$A$32-$A$31</f>
        <v>62</v>
      </c>
      <c r="D14" s="406"/>
      <c r="E14" s="435">
        <f ca="1">F14-$A$32</f>
        <v>-25</v>
      </c>
      <c r="F14" s="392">
        <v>43644</v>
      </c>
      <c r="G14" s="393"/>
      <c r="H14" s="393"/>
      <c r="I14" s="396">
        <v>5</v>
      </c>
      <c r="J14" s="398">
        <v>6.99</v>
      </c>
      <c r="K14" s="396">
        <v>4</v>
      </c>
      <c r="L14" s="398">
        <v>6.99</v>
      </c>
      <c r="M14" s="637">
        <v>4</v>
      </c>
      <c r="N14" s="638">
        <v>4.99</v>
      </c>
      <c r="O14" s="393"/>
      <c r="P14" s="399">
        <v>2.99</v>
      </c>
      <c r="Q14" s="396">
        <v>3</v>
      </c>
      <c r="R14" s="399">
        <v>4.99</v>
      </c>
      <c r="S14" s="393"/>
      <c r="T14" s="393"/>
      <c r="U14" s="400" t="s">
        <v>468</v>
      </c>
      <c r="V14" s="401" t="s">
        <v>469</v>
      </c>
      <c r="W14" s="401">
        <f t="shared" si="0"/>
        <v>5</v>
      </c>
      <c r="X14" s="401">
        <v>0</v>
      </c>
      <c r="Y14" s="401">
        <v>0</v>
      </c>
      <c r="Z14" s="402">
        <v>2104</v>
      </c>
      <c r="AA14" s="403"/>
      <c r="AB14" s="403" t="s">
        <v>472</v>
      </c>
      <c r="AC14" s="403" t="s">
        <v>473</v>
      </c>
      <c r="AD14" s="403" t="s">
        <v>474</v>
      </c>
      <c r="AE14" s="403"/>
      <c r="AF14" s="403" t="s">
        <v>475</v>
      </c>
      <c r="AG14" s="403"/>
      <c r="AH14" s="404" t="s">
        <v>463</v>
      </c>
      <c r="AI14" s="368"/>
      <c r="AK14" s="498" t="s">
        <v>102</v>
      </c>
      <c r="AL14" s="431">
        <v>17</v>
      </c>
      <c r="AM14" s="432">
        <v>1601</v>
      </c>
      <c r="AN14" s="434" t="s">
        <v>105</v>
      </c>
      <c r="AO14" s="467"/>
      <c r="AP14" s="473">
        <v>1.99</v>
      </c>
      <c r="AQ14" s="473">
        <v>4</v>
      </c>
      <c r="AR14" s="472">
        <v>5.99</v>
      </c>
      <c r="AS14" s="470">
        <v>2</v>
      </c>
      <c r="AT14" s="470">
        <v>2.99</v>
      </c>
      <c r="AU14" s="470">
        <v>2</v>
      </c>
      <c r="AV14" s="470">
        <v>2.99</v>
      </c>
      <c r="AW14" s="470">
        <v>6</v>
      </c>
      <c r="AX14" s="475">
        <v>6.99</v>
      </c>
      <c r="AY14" s="470">
        <v>2</v>
      </c>
      <c r="AZ14" s="470">
        <v>2.99</v>
      </c>
      <c r="BA14" s="467"/>
      <c r="BB14" s="474">
        <v>7</v>
      </c>
      <c r="BD14" s="429" t="s">
        <v>600</v>
      </c>
    </row>
    <row r="15" spans="1:56" ht="15.75" x14ac:dyDescent="0.25">
      <c r="A15" s="448" t="s">
        <v>478</v>
      </c>
      <c r="B15" s="405">
        <v>17</v>
      </c>
      <c r="C15" s="390">
        <f ca="1">9+$A$32-$A$31</f>
        <v>34</v>
      </c>
      <c r="D15" s="406"/>
      <c r="E15" s="435">
        <f ca="1">F15-$A$32</f>
        <v>-25</v>
      </c>
      <c r="F15" s="392">
        <v>43644</v>
      </c>
      <c r="G15" s="405"/>
      <c r="H15" s="399">
        <v>1.99</v>
      </c>
      <c r="I15" s="394">
        <v>1</v>
      </c>
      <c r="J15" s="408">
        <v>1.99</v>
      </c>
      <c r="K15" s="394">
        <v>4</v>
      </c>
      <c r="L15" s="408">
        <v>4.99</v>
      </c>
      <c r="M15" s="629">
        <v>5</v>
      </c>
      <c r="N15" s="630">
        <v>5.99</v>
      </c>
      <c r="O15" s="409">
        <v>3</v>
      </c>
      <c r="P15" s="410">
        <v>3.99</v>
      </c>
      <c r="Q15" s="405"/>
      <c r="R15" s="398">
        <v>6.99</v>
      </c>
      <c r="S15" s="405"/>
      <c r="T15" s="405"/>
      <c r="U15" s="411" t="s">
        <v>460</v>
      </c>
      <c r="V15" s="401"/>
      <c r="W15" s="401">
        <f t="shared" si="0"/>
        <v>6</v>
      </c>
      <c r="X15" s="401">
        <v>0</v>
      </c>
      <c r="Y15" s="401">
        <v>0</v>
      </c>
      <c r="Z15" s="402">
        <v>2081</v>
      </c>
      <c r="AA15" s="403"/>
      <c r="AB15" s="403"/>
      <c r="AC15" s="403"/>
      <c r="AD15" s="403"/>
      <c r="AE15" s="403"/>
      <c r="AF15" s="403"/>
      <c r="AG15" s="403"/>
      <c r="AH15" s="404" t="s">
        <v>463</v>
      </c>
      <c r="AI15" s="374"/>
      <c r="AK15" s="498" t="s">
        <v>506</v>
      </c>
      <c r="AL15" s="431">
        <v>18</v>
      </c>
      <c r="AM15" s="432">
        <v>1658</v>
      </c>
      <c r="AN15" s="434"/>
      <c r="AO15" s="467"/>
      <c r="AP15" s="467"/>
      <c r="AQ15" s="468">
        <v>4</v>
      </c>
      <c r="AR15" s="468">
        <v>4.99</v>
      </c>
      <c r="AS15" s="468">
        <v>2</v>
      </c>
      <c r="AT15" s="468">
        <v>2.99</v>
      </c>
      <c r="AU15" s="468">
        <v>4</v>
      </c>
      <c r="AV15" s="468">
        <v>4.99</v>
      </c>
      <c r="AW15" s="473">
        <v>6</v>
      </c>
      <c r="AX15" s="474">
        <v>6.99</v>
      </c>
      <c r="AY15" s="468">
        <v>5</v>
      </c>
      <c r="AZ15" s="469">
        <v>5.99</v>
      </c>
      <c r="BA15" s="470">
        <v>4</v>
      </c>
      <c r="BB15" s="470">
        <v>4.99</v>
      </c>
      <c r="BD15" s="429" t="s">
        <v>601</v>
      </c>
    </row>
    <row r="16" spans="1:56" ht="15.75" x14ac:dyDescent="0.25">
      <c r="A16" s="659" t="s">
        <v>479</v>
      </c>
      <c r="B16" s="659"/>
      <c r="C16" s="659"/>
      <c r="D16" s="659"/>
      <c r="E16" s="659"/>
      <c r="F16" s="372"/>
      <c r="G16" s="372"/>
      <c r="H16" s="372"/>
      <c r="I16" s="372"/>
      <c r="J16" s="372"/>
      <c r="K16" s="372"/>
      <c r="L16" s="372"/>
      <c r="M16" s="372"/>
      <c r="N16" s="372"/>
      <c r="O16" s="372"/>
      <c r="P16" s="372"/>
      <c r="Q16" s="372"/>
      <c r="R16" s="372"/>
      <c r="S16" s="372"/>
      <c r="T16" s="372"/>
      <c r="U16" s="371"/>
      <c r="V16" s="371"/>
      <c r="W16" s="371"/>
      <c r="X16" s="371"/>
      <c r="Y16" s="371"/>
      <c r="Z16" s="371"/>
      <c r="AA16" s="371"/>
      <c r="AB16" s="371"/>
      <c r="AC16" s="371"/>
      <c r="AD16" s="371"/>
      <c r="AE16" s="371"/>
      <c r="AF16" s="371"/>
      <c r="AG16" s="371"/>
      <c r="AH16" s="416"/>
      <c r="AI16" s="387"/>
      <c r="AK16" s="498" t="s">
        <v>169</v>
      </c>
      <c r="AL16" s="431">
        <v>17</v>
      </c>
      <c r="AM16" s="432">
        <v>1676</v>
      </c>
      <c r="AN16" s="434"/>
      <c r="AO16" s="476"/>
      <c r="AP16" s="473">
        <v>1.99</v>
      </c>
      <c r="AQ16" s="473">
        <v>1</v>
      </c>
      <c r="AR16" s="476"/>
      <c r="AS16" s="470">
        <v>6</v>
      </c>
      <c r="AT16" s="475">
        <v>6.99</v>
      </c>
      <c r="AU16" s="476"/>
      <c r="AV16" s="473">
        <v>1.99</v>
      </c>
      <c r="AW16" s="473">
        <v>5</v>
      </c>
      <c r="AX16" s="474">
        <v>6.99</v>
      </c>
      <c r="AY16" s="470">
        <v>1</v>
      </c>
      <c r="AZ16" s="470">
        <v>1.99</v>
      </c>
      <c r="BA16" s="476"/>
      <c r="BB16" s="473">
        <v>2.99</v>
      </c>
      <c r="BD16" s="429" t="s">
        <v>602</v>
      </c>
    </row>
    <row r="17" spans="1:56" ht="15.75" x14ac:dyDescent="0.25">
      <c r="A17" s="375" t="s">
        <v>457</v>
      </c>
      <c r="B17" s="375"/>
      <c r="C17" s="375"/>
      <c r="D17" s="375"/>
      <c r="E17" s="375"/>
      <c r="F17" s="375"/>
      <c r="G17" s="375" t="s">
        <v>458</v>
      </c>
      <c r="H17" s="375"/>
      <c r="I17" s="375"/>
      <c r="J17" s="375"/>
      <c r="K17" s="375"/>
      <c r="L17" s="375"/>
      <c r="M17" s="375"/>
      <c r="N17" s="375"/>
      <c r="O17" s="375"/>
      <c r="P17" s="375"/>
      <c r="Q17" s="375"/>
      <c r="R17" s="375"/>
      <c r="S17" s="375"/>
      <c r="T17" s="375"/>
      <c r="U17" s="376"/>
      <c r="V17" s="376"/>
      <c r="W17" s="376"/>
      <c r="X17" s="376"/>
      <c r="Y17" s="376"/>
      <c r="Z17" s="376"/>
      <c r="AA17" s="376"/>
      <c r="AB17" s="376"/>
      <c r="AC17" s="376"/>
      <c r="AD17" s="376"/>
      <c r="AE17" s="376"/>
      <c r="AF17" s="376"/>
      <c r="AG17" s="376"/>
      <c r="AH17" s="416"/>
      <c r="AI17" s="379"/>
      <c r="AK17" s="498" t="s">
        <v>107</v>
      </c>
      <c r="AL17" s="431">
        <v>18</v>
      </c>
      <c r="AM17" s="432">
        <v>1549</v>
      </c>
      <c r="AN17" s="434" t="s">
        <v>94</v>
      </c>
      <c r="AO17" s="477"/>
      <c r="AP17" s="477"/>
      <c r="AQ17" s="468">
        <v>3</v>
      </c>
      <c r="AR17" s="468">
        <v>3.99</v>
      </c>
      <c r="AS17" s="470">
        <v>3</v>
      </c>
      <c r="AT17" s="470">
        <v>3.99</v>
      </c>
      <c r="AU17" s="468">
        <v>5</v>
      </c>
      <c r="AV17" s="469">
        <v>5.99</v>
      </c>
      <c r="AW17" s="477"/>
      <c r="AX17" s="473">
        <v>2.99</v>
      </c>
      <c r="AY17" s="470">
        <v>4</v>
      </c>
      <c r="AZ17" s="470">
        <v>4.99</v>
      </c>
      <c r="BA17" s="470">
        <v>4</v>
      </c>
      <c r="BB17" s="470">
        <v>4.99</v>
      </c>
      <c r="BD17" s="429" t="s">
        <v>603</v>
      </c>
    </row>
    <row r="18" spans="1:56" ht="15.75" x14ac:dyDescent="0.25">
      <c r="A18" s="375" t="s">
        <v>71</v>
      </c>
      <c r="B18" s="375" t="s">
        <v>448</v>
      </c>
      <c r="C18" s="375" t="s">
        <v>61</v>
      </c>
      <c r="D18" s="376" t="s">
        <v>449</v>
      </c>
      <c r="E18" s="375" t="s">
        <v>450</v>
      </c>
      <c r="F18" s="375" t="s">
        <v>331</v>
      </c>
      <c r="G18" s="375" t="s">
        <v>1</v>
      </c>
      <c r="H18" s="375" t="s">
        <v>451</v>
      </c>
      <c r="I18" s="377" t="s">
        <v>2</v>
      </c>
      <c r="J18" s="377" t="s">
        <v>451</v>
      </c>
      <c r="K18" s="375" t="s">
        <v>321</v>
      </c>
      <c r="L18" s="375" t="s">
        <v>451</v>
      </c>
      <c r="M18" s="377" t="s">
        <v>260</v>
      </c>
      <c r="N18" s="377" t="s">
        <v>451</v>
      </c>
      <c r="O18" s="375" t="s">
        <v>262</v>
      </c>
      <c r="P18" s="375" t="s">
        <v>451</v>
      </c>
      <c r="Q18" s="377" t="s">
        <v>322</v>
      </c>
      <c r="R18" s="377" t="s">
        <v>451</v>
      </c>
      <c r="S18" s="375" t="s">
        <v>0</v>
      </c>
      <c r="T18" s="375" t="s">
        <v>451</v>
      </c>
      <c r="U18" s="376" t="s">
        <v>452</v>
      </c>
      <c r="V18" s="376" t="s">
        <v>75</v>
      </c>
      <c r="W18" s="376" t="s">
        <v>67</v>
      </c>
      <c r="X18" s="376" t="s">
        <v>453</v>
      </c>
      <c r="Y18" s="376" t="s">
        <v>0</v>
      </c>
      <c r="Z18" s="376" t="s">
        <v>454</v>
      </c>
      <c r="AA18" s="376" t="s">
        <v>1</v>
      </c>
      <c r="AB18" s="376" t="s">
        <v>2</v>
      </c>
      <c r="AC18" s="376" t="s">
        <v>321</v>
      </c>
      <c r="AD18" s="376" t="s">
        <v>260</v>
      </c>
      <c r="AE18" s="376" t="s">
        <v>262</v>
      </c>
      <c r="AF18" s="376" t="s">
        <v>322</v>
      </c>
      <c r="AG18" s="376" t="s">
        <v>0</v>
      </c>
      <c r="AH18" s="416" t="s">
        <v>455</v>
      </c>
      <c r="AK18" s="498" t="s">
        <v>507</v>
      </c>
      <c r="AL18" s="431">
        <v>16</v>
      </c>
      <c r="AM18" s="432">
        <v>1633</v>
      </c>
      <c r="AN18" s="434" t="s">
        <v>96</v>
      </c>
      <c r="AO18" s="478"/>
      <c r="AP18" s="478"/>
      <c r="AQ18" s="470">
        <v>2</v>
      </c>
      <c r="AR18" s="470">
        <v>2.99</v>
      </c>
      <c r="AS18" s="468">
        <v>5</v>
      </c>
      <c r="AT18" s="469">
        <v>5.99</v>
      </c>
      <c r="AU18" s="470">
        <v>2</v>
      </c>
      <c r="AV18" s="470">
        <v>2.99</v>
      </c>
      <c r="AW18" s="468">
        <v>4</v>
      </c>
      <c r="AX18" s="468">
        <v>4.99</v>
      </c>
      <c r="AY18" s="478"/>
      <c r="AZ18" s="473">
        <v>4.99</v>
      </c>
      <c r="BA18" s="478"/>
      <c r="BB18" s="473">
        <v>1.99</v>
      </c>
      <c r="BD18" s="429" t="s">
        <v>604</v>
      </c>
    </row>
    <row r="19" spans="1:56" ht="15.75" x14ac:dyDescent="0.25">
      <c r="A19" s="448"/>
      <c r="B19" s="405"/>
      <c r="C19" s="390">
        <f ca="1">45+$A$32-$A$31+24</f>
        <v>94</v>
      </c>
      <c r="D19" s="406"/>
      <c r="E19" s="435">
        <f ca="1">F19-$A$32</f>
        <v>-43669</v>
      </c>
      <c r="F19" s="392"/>
      <c r="G19" s="405"/>
      <c r="H19" s="433"/>
      <c r="I19" s="433"/>
      <c r="J19" s="433"/>
      <c r="K19" s="433"/>
      <c r="L19" s="433"/>
      <c r="M19" s="433"/>
      <c r="N19" s="433"/>
      <c r="O19" s="433"/>
      <c r="P19" s="433"/>
      <c r="Q19" s="433"/>
      <c r="R19" s="433"/>
      <c r="S19" s="433"/>
      <c r="T19" s="405"/>
      <c r="U19" s="400"/>
      <c r="V19" s="401"/>
      <c r="W19" s="401">
        <f t="shared" ref="W19:W20" si="1">COUNTA(H19,J19,L19,N19,P19,R19,T19)</f>
        <v>0</v>
      </c>
      <c r="X19" s="401">
        <v>0</v>
      </c>
      <c r="Y19" s="401">
        <v>0</v>
      </c>
      <c r="Z19" s="415"/>
      <c r="AA19" s="415"/>
      <c r="AB19" s="415"/>
      <c r="AC19" s="415"/>
      <c r="AD19" s="415"/>
      <c r="AE19" s="415"/>
      <c r="AF19" s="415"/>
      <c r="AG19" s="415"/>
      <c r="AH19" s="404"/>
      <c r="AI19" s="405"/>
      <c r="AK19" s="498" t="s">
        <v>181</v>
      </c>
      <c r="AL19" s="431">
        <v>16</v>
      </c>
      <c r="AM19" s="432">
        <v>1626</v>
      </c>
      <c r="AN19" s="434"/>
      <c r="AO19" s="476"/>
      <c r="AP19" s="476"/>
      <c r="AQ19" s="470">
        <v>4</v>
      </c>
      <c r="AR19" s="470">
        <v>4.99</v>
      </c>
      <c r="AS19" s="470">
        <v>5</v>
      </c>
      <c r="AT19" s="471">
        <v>5.99</v>
      </c>
      <c r="AU19" s="470">
        <v>4</v>
      </c>
      <c r="AV19" s="470">
        <v>4.99</v>
      </c>
      <c r="AW19" s="476"/>
      <c r="AX19" s="476"/>
      <c r="AY19" s="468">
        <v>2</v>
      </c>
      <c r="AZ19" s="468">
        <v>2.99</v>
      </c>
      <c r="BA19" s="470">
        <v>1</v>
      </c>
      <c r="BB19" s="470">
        <v>1.99</v>
      </c>
      <c r="BD19" s="429" t="s">
        <v>605</v>
      </c>
    </row>
    <row r="20" spans="1:56" ht="15.75" x14ac:dyDescent="0.25">
      <c r="A20" s="450"/>
      <c r="B20" s="433"/>
      <c r="C20" s="432">
        <f ca="1">1+$A$32-$A$31</f>
        <v>26</v>
      </c>
      <c r="D20" s="391"/>
      <c r="E20" s="435">
        <f ca="1">F20-$A$32</f>
        <v>-43669</v>
      </c>
      <c r="F20" s="392"/>
      <c r="G20" s="433"/>
      <c r="H20" s="433"/>
      <c r="I20" s="433"/>
      <c r="J20" s="433"/>
      <c r="K20" s="433"/>
      <c r="L20" s="433"/>
      <c r="M20" s="433"/>
      <c r="N20" s="433"/>
      <c r="O20" s="433"/>
      <c r="P20" s="433"/>
      <c r="Q20" s="433"/>
      <c r="R20" s="433"/>
      <c r="S20" s="433"/>
      <c r="T20" s="433"/>
      <c r="U20" s="400"/>
      <c r="V20" s="401"/>
      <c r="W20" s="401">
        <f t="shared" si="1"/>
        <v>0</v>
      </c>
      <c r="X20" s="401">
        <v>0</v>
      </c>
      <c r="Y20" s="401">
        <v>0</v>
      </c>
      <c r="Z20" s="401"/>
      <c r="AA20" s="415"/>
      <c r="AB20" s="415"/>
      <c r="AC20" s="415"/>
      <c r="AD20" s="415"/>
      <c r="AE20" s="415"/>
      <c r="AF20" s="415"/>
      <c r="AG20" s="415"/>
      <c r="AH20" s="404"/>
      <c r="AI20" s="368"/>
      <c r="AK20" s="498" t="s">
        <v>508</v>
      </c>
      <c r="AL20" s="431">
        <v>17</v>
      </c>
      <c r="AM20" s="432">
        <v>1561</v>
      </c>
      <c r="AN20" s="434" t="s">
        <v>94</v>
      </c>
      <c r="AO20" s="467"/>
      <c r="AP20" s="467"/>
      <c r="AQ20" s="470">
        <v>4</v>
      </c>
      <c r="AR20" s="470">
        <v>4.99</v>
      </c>
      <c r="AS20" s="468">
        <v>5</v>
      </c>
      <c r="AT20" s="469">
        <v>5.99</v>
      </c>
      <c r="AU20" s="470">
        <v>4</v>
      </c>
      <c r="AV20" s="470">
        <v>4.99</v>
      </c>
      <c r="AW20" s="467"/>
      <c r="AX20" s="467"/>
      <c r="AY20" s="467"/>
      <c r="AZ20" s="473">
        <v>2.99</v>
      </c>
      <c r="BA20" s="470">
        <v>3</v>
      </c>
      <c r="BB20" s="470">
        <v>3.99</v>
      </c>
    </row>
    <row r="21" spans="1:56" ht="15.75" x14ac:dyDescent="0.25">
      <c r="A21" s="450" t="s">
        <v>481</v>
      </c>
      <c r="B21" s="405">
        <v>18</v>
      </c>
      <c r="C21" s="390">
        <f ca="1">103+$A$32-$A$31-112</f>
        <v>16</v>
      </c>
      <c r="D21" s="391"/>
      <c r="E21" s="435">
        <f t="shared" ref="E21:E28" ca="1" si="2">F21-$A$32</f>
        <v>-25</v>
      </c>
      <c r="F21" s="392">
        <v>43644</v>
      </c>
      <c r="G21" s="405"/>
      <c r="H21" s="399">
        <v>1.99</v>
      </c>
      <c r="I21" s="394">
        <v>4</v>
      </c>
      <c r="J21" s="408">
        <v>4.99</v>
      </c>
      <c r="K21" s="394">
        <v>3</v>
      </c>
      <c r="L21" s="408">
        <v>3.99</v>
      </c>
      <c r="M21" s="394">
        <v>1</v>
      </c>
      <c r="N21" s="408">
        <v>1.99</v>
      </c>
      <c r="O21" s="405"/>
      <c r="P21" s="397">
        <v>5.99</v>
      </c>
      <c r="Q21" s="396">
        <v>4</v>
      </c>
      <c r="R21" s="397">
        <v>5.99</v>
      </c>
      <c r="S21" s="405"/>
      <c r="T21" s="397">
        <v>5.99</v>
      </c>
      <c r="U21" s="411" t="s">
        <v>482</v>
      </c>
      <c r="V21" s="401"/>
      <c r="W21" s="401">
        <f t="shared" ref="W21:W28" si="3">COUNTA(H21,J21,L21,N21,P21,R21,T21)</f>
        <v>7</v>
      </c>
      <c r="X21" s="401">
        <v>0</v>
      </c>
      <c r="Y21" s="401">
        <v>2</v>
      </c>
      <c r="Z21" s="401"/>
      <c r="AA21" s="415"/>
      <c r="AB21" s="415"/>
      <c r="AC21" s="415"/>
      <c r="AD21" s="415"/>
      <c r="AE21" s="415"/>
      <c r="AF21" s="415"/>
      <c r="AG21" s="415"/>
      <c r="AH21" s="404" t="s">
        <v>470</v>
      </c>
      <c r="AI21" s="368"/>
      <c r="AK21" s="498" t="s">
        <v>509</v>
      </c>
      <c r="AL21" s="431">
        <v>17</v>
      </c>
      <c r="AM21" s="432">
        <v>1515</v>
      </c>
      <c r="AN21" s="434"/>
      <c r="AO21" s="476"/>
      <c r="AP21" s="476"/>
      <c r="AQ21" s="468">
        <v>3</v>
      </c>
      <c r="AR21" s="468">
        <v>3.99</v>
      </c>
      <c r="AS21" s="470">
        <v>4</v>
      </c>
      <c r="AT21" s="470">
        <v>4.99</v>
      </c>
      <c r="AU21" s="470">
        <v>5</v>
      </c>
      <c r="AV21" s="471">
        <v>5.99</v>
      </c>
      <c r="AW21" s="476"/>
      <c r="AX21" s="476"/>
      <c r="AY21" s="470">
        <v>3</v>
      </c>
      <c r="AZ21" s="470">
        <v>3.99</v>
      </c>
      <c r="BA21" s="476"/>
      <c r="BB21" s="476"/>
    </row>
    <row r="22" spans="1:56" ht="15.75" x14ac:dyDescent="0.25">
      <c r="A22" s="450" t="s">
        <v>483</v>
      </c>
      <c r="B22" s="405">
        <v>18</v>
      </c>
      <c r="C22" s="390">
        <f ca="1">92+$A$32-$A$31-112</f>
        <v>5</v>
      </c>
      <c r="D22" s="391"/>
      <c r="E22" s="435">
        <f t="shared" ca="1" si="2"/>
        <v>-25</v>
      </c>
      <c r="F22" s="392">
        <v>43644</v>
      </c>
      <c r="G22" s="405"/>
      <c r="H22" s="399">
        <v>1.99</v>
      </c>
      <c r="I22" s="394">
        <v>4</v>
      </c>
      <c r="J22" s="408">
        <v>4.99</v>
      </c>
      <c r="K22" s="394">
        <v>3</v>
      </c>
      <c r="L22" s="408">
        <v>3.99</v>
      </c>
      <c r="M22" s="405"/>
      <c r="N22" s="399">
        <v>2.99</v>
      </c>
      <c r="O22" s="405"/>
      <c r="P22" s="397">
        <v>5.99</v>
      </c>
      <c r="Q22" s="394">
        <v>3</v>
      </c>
      <c r="R22" s="408">
        <v>3.99</v>
      </c>
      <c r="S22" s="405"/>
      <c r="T22" s="405"/>
      <c r="U22" s="411" t="s">
        <v>484</v>
      </c>
      <c r="V22" s="401"/>
      <c r="W22" s="401">
        <f t="shared" si="3"/>
        <v>6</v>
      </c>
      <c r="X22" s="401">
        <v>0</v>
      </c>
      <c r="Y22" s="401">
        <v>0</v>
      </c>
      <c r="Z22" s="401"/>
      <c r="AA22" s="415"/>
      <c r="AB22" s="415"/>
      <c r="AC22" s="415"/>
      <c r="AD22" s="415"/>
      <c r="AE22" s="415"/>
      <c r="AF22" s="415"/>
      <c r="AG22" s="415"/>
      <c r="AH22" s="404" t="s">
        <v>470</v>
      </c>
      <c r="AI22" s="368"/>
      <c r="AK22" s="498" t="s">
        <v>510</v>
      </c>
      <c r="AL22" s="431">
        <v>19</v>
      </c>
      <c r="AM22" s="432">
        <v>1502</v>
      </c>
      <c r="AN22" s="434"/>
      <c r="AO22" s="476"/>
      <c r="AP22" s="473">
        <v>1.99</v>
      </c>
      <c r="AQ22" s="476"/>
      <c r="AR22" s="473">
        <v>2.99</v>
      </c>
      <c r="AS22" s="473">
        <v>3</v>
      </c>
      <c r="AT22" s="476"/>
      <c r="AU22" s="476"/>
      <c r="AV22" s="476"/>
      <c r="AW22" s="468">
        <v>5</v>
      </c>
      <c r="AX22" s="479">
        <v>5.99</v>
      </c>
      <c r="AY22" s="476"/>
      <c r="AZ22" s="473">
        <v>2.99</v>
      </c>
      <c r="BA22" s="476"/>
      <c r="BB22" s="476"/>
    </row>
    <row r="23" spans="1:56" ht="15.75" x14ac:dyDescent="0.25">
      <c r="A23" s="450" t="s">
        <v>485</v>
      </c>
      <c r="B23" s="389">
        <v>17</v>
      </c>
      <c r="C23" s="419">
        <f ca="1">75+$A$32-$A$31</f>
        <v>100</v>
      </c>
      <c r="D23" s="368"/>
      <c r="E23" s="435">
        <f t="shared" ca="1" si="2"/>
        <v>-25</v>
      </c>
      <c r="F23" s="392">
        <v>43644</v>
      </c>
      <c r="G23" s="368"/>
      <c r="H23" s="399">
        <v>1.99</v>
      </c>
      <c r="I23" s="368"/>
      <c r="J23" s="399">
        <v>3.99</v>
      </c>
      <c r="K23" s="394">
        <v>3</v>
      </c>
      <c r="L23" s="408">
        <v>3.99</v>
      </c>
      <c r="M23" s="396">
        <v>4</v>
      </c>
      <c r="N23" s="397">
        <v>5.99</v>
      </c>
      <c r="O23" s="409">
        <v>4</v>
      </c>
      <c r="P23" s="410">
        <v>4.99</v>
      </c>
      <c r="Q23" s="368"/>
      <c r="R23" s="399">
        <v>3.99</v>
      </c>
      <c r="S23" s="368"/>
      <c r="T23" s="368"/>
      <c r="U23" s="400" t="s">
        <v>468</v>
      </c>
      <c r="V23" s="368"/>
      <c r="W23" s="401">
        <f t="shared" si="3"/>
        <v>6</v>
      </c>
      <c r="X23" s="370">
        <v>0</v>
      </c>
      <c r="Y23" s="370">
        <v>0</v>
      </c>
      <c r="Z23" s="368"/>
      <c r="AA23" s="420"/>
      <c r="AB23" s="420"/>
      <c r="AC23" s="420"/>
      <c r="AD23" s="420"/>
      <c r="AE23" s="420"/>
      <c r="AF23" s="420"/>
      <c r="AG23" s="420"/>
      <c r="AH23" s="404" t="s">
        <v>470</v>
      </c>
      <c r="AI23" s="368"/>
      <c r="AK23" s="498" t="s">
        <v>511</v>
      </c>
      <c r="AL23" s="431">
        <v>18</v>
      </c>
      <c r="AM23" s="432">
        <v>1561</v>
      </c>
      <c r="AN23" s="434"/>
      <c r="AO23" s="467"/>
      <c r="AP23" s="467"/>
      <c r="AQ23" s="473">
        <v>1</v>
      </c>
      <c r="AR23" s="473">
        <v>2.99</v>
      </c>
      <c r="AS23" s="468">
        <v>3</v>
      </c>
      <c r="AT23" s="468">
        <v>3.99</v>
      </c>
      <c r="AU23" s="467"/>
      <c r="AV23" s="472">
        <v>5.99</v>
      </c>
      <c r="AW23" s="473">
        <v>3</v>
      </c>
      <c r="AX23" s="473">
        <v>4.99</v>
      </c>
      <c r="AY23" s="470">
        <v>1</v>
      </c>
      <c r="AZ23" s="470">
        <v>1.99</v>
      </c>
      <c r="BA23" s="467"/>
      <c r="BB23" s="467"/>
    </row>
    <row r="24" spans="1:56" ht="15.75" x14ac:dyDescent="0.25">
      <c r="A24" s="450" t="s">
        <v>486</v>
      </c>
      <c r="B24" s="405">
        <v>17</v>
      </c>
      <c r="C24" s="390">
        <f ca="1">75+$A$32-$A$31</f>
        <v>100</v>
      </c>
      <c r="D24" s="406" t="s">
        <v>94</v>
      </c>
      <c r="E24" s="435">
        <f t="shared" ca="1" si="2"/>
        <v>-25</v>
      </c>
      <c r="F24" s="392">
        <v>43644</v>
      </c>
      <c r="G24" s="405"/>
      <c r="H24" s="405"/>
      <c r="I24" s="394">
        <v>2</v>
      </c>
      <c r="J24" s="408">
        <v>2.99</v>
      </c>
      <c r="K24" s="394">
        <v>2</v>
      </c>
      <c r="L24" s="408">
        <v>2.99</v>
      </c>
      <c r="M24" s="396">
        <v>4</v>
      </c>
      <c r="N24" s="398">
        <v>6.99</v>
      </c>
      <c r="O24" s="405"/>
      <c r="P24" s="397">
        <v>5.99</v>
      </c>
      <c r="Q24" s="396">
        <v>2</v>
      </c>
      <c r="R24" s="399">
        <v>3.99</v>
      </c>
      <c r="S24" s="405"/>
      <c r="T24" s="399">
        <v>3.99</v>
      </c>
      <c r="U24" s="400" t="s">
        <v>468</v>
      </c>
      <c r="V24" s="401"/>
      <c r="W24" s="401">
        <f t="shared" si="3"/>
        <v>6</v>
      </c>
      <c r="X24" s="401">
        <v>0</v>
      </c>
      <c r="Y24" s="401">
        <v>0</v>
      </c>
      <c r="Z24" s="414">
        <v>1896</v>
      </c>
      <c r="AA24" s="415"/>
      <c r="AB24" s="415"/>
      <c r="AC24" s="415"/>
      <c r="AD24" s="415"/>
      <c r="AE24" s="415"/>
      <c r="AF24" s="415"/>
      <c r="AG24" s="415"/>
      <c r="AH24" s="404" t="s">
        <v>463</v>
      </c>
      <c r="AI24" s="405"/>
      <c r="AK24" s="498" t="s">
        <v>512</v>
      </c>
      <c r="AL24" s="431">
        <v>18</v>
      </c>
      <c r="AM24" s="432">
        <v>1540</v>
      </c>
      <c r="AN24" s="434" t="s">
        <v>105</v>
      </c>
      <c r="AO24" s="476"/>
      <c r="AP24" s="476"/>
      <c r="AQ24" s="476"/>
      <c r="AR24" s="473">
        <v>4.99</v>
      </c>
      <c r="AS24" s="470">
        <v>5.5</v>
      </c>
      <c r="AT24" s="471">
        <v>5.99</v>
      </c>
      <c r="AU24" s="470">
        <v>1</v>
      </c>
      <c r="AV24" s="470">
        <v>1.99</v>
      </c>
      <c r="AW24" s="470">
        <v>2</v>
      </c>
      <c r="AX24" s="470">
        <v>2.99</v>
      </c>
      <c r="AY24" s="470">
        <v>3</v>
      </c>
      <c r="AZ24" s="470">
        <v>3.99</v>
      </c>
      <c r="BA24" s="476"/>
      <c r="BB24" s="476"/>
    </row>
    <row r="25" spans="1:56" ht="15.75" x14ac:dyDescent="0.25">
      <c r="A25" s="448" t="s">
        <v>487</v>
      </c>
      <c r="B25" s="389">
        <v>17</v>
      </c>
      <c r="C25" s="390">
        <f ca="1">48+$A$32-$A$31</f>
        <v>73</v>
      </c>
      <c r="D25" s="406" t="s">
        <v>67</v>
      </c>
      <c r="E25" s="435">
        <f t="shared" ca="1" si="2"/>
        <v>-25</v>
      </c>
      <c r="F25" s="392">
        <v>43644</v>
      </c>
      <c r="G25" s="393"/>
      <c r="H25" s="399">
        <v>1.99</v>
      </c>
      <c r="I25" s="629">
        <v>4</v>
      </c>
      <c r="J25" s="641">
        <v>4.99</v>
      </c>
      <c r="K25" s="394">
        <v>3</v>
      </c>
      <c r="L25" s="408">
        <v>3.99</v>
      </c>
      <c r="M25" s="394">
        <v>2</v>
      </c>
      <c r="N25" s="408">
        <v>2.99</v>
      </c>
      <c r="O25" s="393"/>
      <c r="P25" s="399">
        <v>2.99</v>
      </c>
      <c r="Q25" s="396">
        <v>4</v>
      </c>
      <c r="R25" s="398">
        <v>6.99</v>
      </c>
      <c r="S25" s="393"/>
      <c r="T25" s="393"/>
      <c r="U25" s="400" t="s">
        <v>468</v>
      </c>
      <c r="V25" s="401" t="s">
        <v>469</v>
      </c>
      <c r="W25" s="401">
        <f t="shared" si="3"/>
        <v>6</v>
      </c>
      <c r="X25" s="401">
        <v>0</v>
      </c>
      <c r="Y25" s="401">
        <v>0</v>
      </c>
      <c r="Z25" s="414">
        <v>1969</v>
      </c>
      <c r="AA25" s="415"/>
      <c r="AB25" s="415"/>
      <c r="AC25" s="415"/>
      <c r="AD25" s="415"/>
      <c r="AE25" s="415"/>
      <c r="AF25" s="415"/>
      <c r="AG25" s="415"/>
      <c r="AH25" s="404" t="s">
        <v>470</v>
      </c>
      <c r="AI25" s="368"/>
      <c r="AK25" s="498" t="s">
        <v>513</v>
      </c>
      <c r="AL25" s="431">
        <v>18</v>
      </c>
      <c r="AM25" s="432">
        <v>1501</v>
      </c>
      <c r="AN25" s="434" t="s">
        <v>67</v>
      </c>
      <c r="AO25" s="476"/>
      <c r="AP25" s="473">
        <v>1.99</v>
      </c>
      <c r="AQ25" s="476"/>
      <c r="AR25" s="473">
        <v>1.99</v>
      </c>
      <c r="AS25" s="468">
        <v>5</v>
      </c>
      <c r="AT25" s="469">
        <v>5.99</v>
      </c>
      <c r="AU25" s="476"/>
      <c r="AV25" s="473">
        <v>3.99</v>
      </c>
      <c r="AW25" s="470">
        <v>3</v>
      </c>
      <c r="AX25" s="470">
        <v>3.99</v>
      </c>
      <c r="AY25" s="468">
        <v>2</v>
      </c>
      <c r="AZ25" s="468">
        <v>2.99</v>
      </c>
      <c r="BA25" s="476"/>
      <c r="BB25" s="476"/>
    </row>
    <row r="26" spans="1:56" ht="15.75" x14ac:dyDescent="0.25">
      <c r="A26" s="451" t="s">
        <v>488</v>
      </c>
      <c r="B26" s="389">
        <v>16</v>
      </c>
      <c r="C26" s="390">
        <f ca="1">76+$A$32-$A$31</f>
        <v>101</v>
      </c>
      <c r="D26" s="406" t="s">
        <v>67</v>
      </c>
      <c r="E26" s="435">
        <f t="shared" ca="1" si="2"/>
        <v>11</v>
      </c>
      <c r="F26" s="392">
        <v>43680</v>
      </c>
      <c r="G26" s="393"/>
      <c r="H26" s="399">
        <v>0.99</v>
      </c>
      <c r="I26" s="394">
        <v>3</v>
      </c>
      <c r="J26" s="408">
        <v>3.99</v>
      </c>
      <c r="K26" s="409">
        <v>4</v>
      </c>
      <c r="L26" s="410">
        <v>4.99</v>
      </c>
      <c r="M26" s="393"/>
      <c r="N26" s="399">
        <v>3.99</v>
      </c>
      <c r="O26" s="393"/>
      <c r="P26" s="398">
        <v>6.99</v>
      </c>
      <c r="Q26" s="393"/>
      <c r="R26" s="399">
        <v>4.99</v>
      </c>
      <c r="S26" s="393"/>
      <c r="T26" s="393"/>
      <c r="U26" s="411" t="s">
        <v>489</v>
      </c>
      <c r="V26" s="401" t="s">
        <v>469</v>
      </c>
      <c r="W26" s="401">
        <f t="shared" si="3"/>
        <v>6</v>
      </c>
      <c r="X26" s="401">
        <v>0</v>
      </c>
      <c r="Y26" s="401">
        <v>0</v>
      </c>
      <c r="Z26" s="414">
        <v>1968</v>
      </c>
      <c r="AA26" s="415"/>
      <c r="AB26" s="415"/>
      <c r="AC26" s="415"/>
      <c r="AD26" s="415"/>
      <c r="AE26" s="415"/>
      <c r="AF26" s="415"/>
      <c r="AG26" s="415"/>
      <c r="AH26" s="404" t="s">
        <v>463</v>
      </c>
      <c r="AI26" s="405"/>
      <c r="AK26" s="498" t="s">
        <v>514</v>
      </c>
      <c r="AL26" s="431">
        <v>16</v>
      </c>
      <c r="AM26" s="432">
        <v>1510</v>
      </c>
      <c r="AN26" s="434"/>
      <c r="AO26" s="467"/>
      <c r="AP26" s="473">
        <v>1.99</v>
      </c>
      <c r="AQ26" s="470">
        <v>3</v>
      </c>
      <c r="AR26" s="471">
        <v>3.99</v>
      </c>
      <c r="AS26" s="470">
        <v>5.4</v>
      </c>
      <c r="AT26" s="471">
        <v>5.99</v>
      </c>
      <c r="AU26" s="470">
        <v>2</v>
      </c>
      <c r="AV26" s="470">
        <v>2.99</v>
      </c>
      <c r="AW26" s="467"/>
      <c r="AX26" s="467"/>
      <c r="AY26" s="470">
        <v>4</v>
      </c>
      <c r="AZ26" s="470">
        <v>4.99</v>
      </c>
      <c r="BA26" s="476"/>
      <c r="BB26" s="473">
        <v>3.99</v>
      </c>
    </row>
    <row r="27" spans="1:56" ht="15.75" x14ac:dyDescent="0.25">
      <c r="A27" s="448" t="s">
        <v>490</v>
      </c>
      <c r="B27" s="389">
        <v>17</v>
      </c>
      <c r="C27" s="390">
        <f ca="1">27+$A$32-$A$31</f>
        <v>52</v>
      </c>
      <c r="D27" s="406"/>
      <c r="E27" s="435">
        <f t="shared" ca="1" si="2"/>
        <v>16</v>
      </c>
      <c r="F27" s="392">
        <v>43685</v>
      </c>
      <c r="G27" s="393"/>
      <c r="H27" s="393"/>
      <c r="I27" s="393"/>
      <c r="J27" s="393"/>
      <c r="K27" s="396">
        <v>2</v>
      </c>
      <c r="L27" s="393"/>
      <c r="M27" s="393"/>
      <c r="N27" s="393"/>
      <c r="O27" s="393"/>
      <c r="P27" s="398">
        <v>7</v>
      </c>
      <c r="Q27" s="393"/>
      <c r="R27" s="393"/>
      <c r="S27" s="393"/>
      <c r="T27" s="393"/>
      <c r="U27" s="400" t="s">
        <v>468</v>
      </c>
      <c r="V27" s="401" t="s">
        <v>469</v>
      </c>
      <c r="W27" s="401">
        <f t="shared" si="3"/>
        <v>1</v>
      </c>
      <c r="X27" s="401">
        <v>0</v>
      </c>
      <c r="Y27" s="401">
        <v>0</v>
      </c>
      <c r="Z27" s="401"/>
      <c r="AA27" s="415"/>
      <c r="AB27" s="415"/>
      <c r="AC27" s="415"/>
      <c r="AD27" s="415"/>
      <c r="AE27" s="415"/>
      <c r="AF27" s="415"/>
      <c r="AG27" s="415"/>
      <c r="AH27" s="404" t="s">
        <v>470</v>
      </c>
      <c r="AI27" s="368"/>
      <c r="AK27" s="498" t="s">
        <v>515</v>
      </c>
      <c r="AL27" s="431">
        <v>17</v>
      </c>
      <c r="AM27" s="432">
        <v>1456</v>
      </c>
      <c r="AN27" s="434"/>
      <c r="AO27" s="480"/>
      <c r="AP27" s="480"/>
      <c r="AQ27" s="480"/>
      <c r="AR27" s="473">
        <v>3.99</v>
      </c>
      <c r="AS27" s="470">
        <v>2</v>
      </c>
      <c r="AT27" s="470">
        <v>2.99</v>
      </c>
      <c r="AU27" s="470">
        <v>4</v>
      </c>
      <c r="AV27" s="470">
        <v>4.99</v>
      </c>
      <c r="AW27" s="470">
        <v>5</v>
      </c>
      <c r="AX27" s="471">
        <v>5.99</v>
      </c>
      <c r="AY27" s="470">
        <v>6</v>
      </c>
      <c r="AZ27" s="475">
        <v>6.99</v>
      </c>
      <c r="BA27" s="480"/>
      <c r="BB27" s="480"/>
    </row>
    <row r="28" spans="1:56" ht="15.75" x14ac:dyDescent="0.25">
      <c r="A28" s="452" t="s">
        <v>491</v>
      </c>
      <c r="B28" s="405">
        <v>16</v>
      </c>
      <c r="C28" s="390">
        <f ca="1">68+$A$32-$A$31</f>
        <v>93</v>
      </c>
      <c r="D28" s="391"/>
      <c r="E28" s="435">
        <f t="shared" ca="1" si="2"/>
        <v>19</v>
      </c>
      <c r="F28" s="392">
        <v>43688</v>
      </c>
      <c r="G28" s="405"/>
      <c r="H28" s="398">
        <v>6.99</v>
      </c>
      <c r="I28" s="629">
        <v>2</v>
      </c>
      <c r="J28" s="641">
        <v>2.99</v>
      </c>
      <c r="K28" s="412">
        <v>1</v>
      </c>
      <c r="L28" s="413">
        <v>1.99</v>
      </c>
      <c r="M28" s="394">
        <v>0</v>
      </c>
      <c r="N28" s="408">
        <v>0.99</v>
      </c>
      <c r="O28" s="405"/>
      <c r="P28" s="399">
        <v>0.99</v>
      </c>
      <c r="Q28" s="405"/>
      <c r="R28" s="399">
        <v>1.99</v>
      </c>
      <c r="S28" s="405"/>
      <c r="T28" s="399">
        <v>1.99</v>
      </c>
      <c r="U28" s="411" t="s">
        <v>492</v>
      </c>
      <c r="V28" s="401"/>
      <c r="W28" s="401">
        <f t="shared" si="3"/>
        <v>7</v>
      </c>
      <c r="X28" s="401">
        <v>0</v>
      </c>
      <c r="Y28" s="401">
        <v>0</v>
      </c>
      <c r="Z28" s="401">
        <v>1808</v>
      </c>
      <c r="AA28" s="415"/>
      <c r="AB28" s="415"/>
      <c r="AC28" s="415"/>
      <c r="AD28" s="415"/>
      <c r="AE28" s="415"/>
      <c r="AF28" s="415"/>
      <c r="AG28" s="415"/>
      <c r="AH28" s="404" t="s">
        <v>470</v>
      </c>
      <c r="AI28" s="368"/>
      <c r="AK28" s="498" t="s">
        <v>516</v>
      </c>
      <c r="AL28" s="431">
        <v>17</v>
      </c>
      <c r="AM28" s="432">
        <v>1439</v>
      </c>
      <c r="AN28" s="434" t="s">
        <v>220</v>
      </c>
      <c r="AO28" s="476"/>
      <c r="AP28" s="476"/>
      <c r="AQ28" s="470">
        <v>2</v>
      </c>
      <c r="AR28" s="470">
        <v>2.99</v>
      </c>
      <c r="AS28" s="468">
        <v>4</v>
      </c>
      <c r="AT28" s="468">
        <v>4.99</v>
      </c>
      <c r="AU28" s="476"/>
      <c r="AV28" s="473">
        <v>3.99</v>
      </c>
      <c r="AW28" s="476"/>
      <c r="AX28" s="473">
        <v>3.99</v>
      </c>
      <c r="AY28" s="470">
        <v>4</v>
      </c>
      <c r="AZ28" s="470">
        <v>4.99</v>
      </c>
      <c r="BA28" s="476"/>
      <c r="BB28" s="476"/>
    </row>
    <row r="29" spans="1:56" ht="15.75" x14ac:dyDescent="0.25">
      <c r="A29" s="405"/>
      <c r="B29" s="405"/>
      <c r="C29" s="419"/>
      <c r="D29" s="421"/>
      <c r="E29" s="405"/>
      <c r="F29" s="405"/>
      <c r="G29" s="405"/>
      <c r="H29" s="405"/>
      <c r="I29" s="405"/>
      <c r="J29" s="405"/>
      <c r="K29" s="405"/>
      <c r="L29" s="405"/>
      <c r="M29" s="405"/>
      <c r="N29" s="405"/>
      <c r="O29" s="405"/>
      <c r="P29" s="405"/>
      <c r="Q29" s="405"/>
      <c r="R29" s="405"/>
      <c r="S29" s="405"/>
      <c r="T29" s="405"/>
      <c r="U29" s="421"/>
      <c r="V29" s="421"/>
      <c r="W29" s="421"/>
      <c r="X29" s="421"/>
      <c r="Y29" s="421"/>
      <c r="Z29" s="421"/>
      <c r="AA29" s="421"/>
      <c r="AB29" s="421"/>
      <c r="AC29" s="421"/>
      <c r="AD29" s="421"/>
      <c r="AE29" s="421"/>
      <c r="AF29" s="421"/>
      <c r="AG29" s="421"/>
      <c r="AH29" s="422"/>
      <c r="AI29" s="405"/>
      <c r="AK29" s="498" t="s">
        <v>225</v>
      </c>
      <c r="AL29" s="431">
        <v>17</v>
      </c>
      <c r="AM29" s="432">
        <v>1340</v>
      </c>
      <c r="AN29" s="434" t="s">
        <v>220</v>
      </c>
      <c r="AO29" s="476"/>
      <c r="AP29" s="476"/>
      <c r="AQ29" s="468">
        <v>2</v>
      </c>
      <c r="AR29" s="468">
        <v>2.99</v>
      </c>
      <c r="AS29" s="470">
        <v>6.1</v>
      </c>
      <c r="AT29" s="475">
        <v>6.2</v>
      </c>
      <c r="AU29" s="470">
        <v>4</v>
      </c>
      <c r="AV29" s="470">
        <v>4.99</v>
      </c>
      <c r="AW29" s="470">
        <v>4</v>
      </c>
      <c r="AX29" s="470">
        <v>4.99</v>
      </c>
      <c r="AY29" s="471">
        <v>5</v>
      </c>
      <c r="AZ29" s="471">
        <v>5.99</v>
      </c>
      <c r="BA29" s="476"/>
      <c r="BB29" s="476"/>
    </row>
    <row r="30" spans="1:56" ht="15.75" x14ac:dyDescent="0.25">
      <c r="A30" s="453" t="s">
        <v>494</v>
      </c>
      <c r="B30" s="455"/>
      <c r="C30" s="455"/>
      <c r="D30" s="433"/>
      <c r="E30" s="417"/>
      <c r="F30" s="368"/>
      <c r="G30" s="368"/>
      <c r="H30" s="368"/>
      <c r="I30" s="368"/>
      <c r="J30" s="368"/>
      <c r="K30" s="368"/>
      <c r="L30" s="368"/>
      <c r="M30" s="368"/>
      <c r="N30" s="368"/>
      <c r="O30" s="368"/>
      <c r="P30" s="368"/>
      <c r="Q30" s="405"/>
      <c r="R30" s="405"/>
      <c r="S30" s="368"/>
      <c r="T30" s="368"/>
      <c r="U30" s="368"/>
      <c r="V30" s="368"/>
      <c r="W30" s="368"/>
      <c r="X30" s="368"/>
      <c r="Y30" s="368"/>
      <c r="Z30" s="368"/>
      <c r="AA30" s="368"/>
      <c r="AB30" s="368"/>
      <c r="AC30" s="368"/>
      <c r="AD30" s="368"/>
      <c r="AE30" s="368"/>
      <c r="AF30" s="368"/>
      <c r="AG30" s="368"/>
      <c r="AH30" s="368"/>
      <c r="AI30" s="368"/>
      <c r="AK30" s="498" t="s">
        <v>517</v>
      </c>
      <c r="AL30" s="431">
        <v>19</v>
      </c>
      <c r="AM30" s="432">
        <v>1416</v>
      </c>
      <c r="AN30" s="434" t="s">
        <v>67</v>
      </c>
      <c r="AO30" s="478"/>
      <c r="AP30" s="473">
        <v>1.99</v>
      </c>
      <c r="AQ30" s="473">
        <v>5</v>
      </c>
      <c r="AR30" s="474">
        <v>6.99</v>
      </c>
      <c r="AS30" s="470">
        <v>1</v>
      </c>
      <c r="AT30" s="470">
        <v>1.99</v>
      </c>
      <c r="AU30" s="470">
        <v>3</v>
      </c>
      <c r="AV30" s="470">
        <v>3.99</v>
      </c>
      <c r="AW30" s="478"/>
      <c r="AX30" s="473">
        <v>3.99</v>
      </c>
      <c r="AY30" s="470">
        <v>2</v>
      </c>
      <c r="AZ30" s="470">
        <v>2.99</v>
      </c>
      <c r="BA30" s="478"/>
      <c r="BB30" s="473">
        <v>2.99</v>
      </c>
    </row>
    <row r="31" spans="1:56" ht="15.75" x14ac:dyDescent="0.25">
      <c r="A31" s="454">
        <v>43644</v>
      </c>
      <c r="B31" s="456"/>
      <c r="C31" s="455"/>
      <c r="D31" s="433"/>
      <c r="E31" s="417"/>
      <c r="F31" s="380" t="s">
        <v>235</v>
      </c>
      <c r="G31" s="370"/>
      <c r="H31" s="368"/>
      <c r="I31" s="368"/>
      <c r="J31" s="368"/>
      <c r="K31" s="368"/>
      <c r="L31" s="368"/>
      <c r="M31" s="368"/>
      <c r="N31" s="368"/>
      <c r="O31" s="368"/>
      <c r="P31" s="368"/>
      <c r="Q31" s="405"/>
      <c r="R31" s="405"/>
      <c r="S31" s="368"/>
      <c r="T31" s="368"/>
      <c r="U31" s="368"/>
      <c r="V31" s="368"/>
      <c r="W31" s="368"/>
      <c r="X31" s="368"/>
      <c r="Y31" s="368"/>
      <c r="Z31" s="368"/>
      <c r="AA31" s="368"/>
      <c r="AB31" s="368"/>
      <c r="AC31" s="368"/>
      <c r="AD31" s="368"/>
      <c r="AE31" s="368"/>
      <c r="AF31" s="368"/>
      <c r="AG31" s="368"/>
      <c r="AH31" s="423"/>
      <c r="AI31" s="368"/>
      <c r="AK31" s="498" t="s">
        <v>518</v>
      </c>
      <c r="AL31" s="431">
        <v>19</v>
      </c>
      <c r="AM31" s="432">
        <v>1289</v>
      </c>
      <c r="AN31" s="434"/>
      <c r="AO31" s="478"/>
      <c r="AP31" s="478"/>
      <c r="AQ31" s="478"/>
      <c r="AR31" s="472">
        <v>5.99</v>
      </c>
      <c r="AS31" s="468">
        <v>4</v>
      </c>
      <c r="AT31" s="468">
        <v>4.99</v>
      </c>
      <c r="AU31" s="478"/>
      <c r="AV31" s="473">
        <v>2.99</v>
      </c>
      <c r="AW31" s="473">
        <v>5</v>
      </c>
      <c r="AX31" s="472">
        <v>5.99</v>
      </c>
      <c r="AY31" s="470">
        <v>5</v>
      </c>
      <c r="AZ31" s="471">
        <v>5.99</v>
      </c>
      <c r="BA31" s="470">
        <v>2</v>
      </c>
      <c r="BB31" s="470">
        <v>2.99</v>
      </c>
    </row>
    <row r="32" spans="1:56" ht="15.75" x14ac:dyDescent="0.25">
      <c r="A32" s="436">
        <f ca="1">TODAY()</f>
        <v>43669</v>
      </c>
      <c r="B32" s="433"/>
      <c r="C32" s="433"/>
      <c r="D32" s="433"/>
      <c r="E32" s="405"/>
      <c r="F32" s="369" t="s">
        <v>606</v>
      </c>
      <c r="G32" s="368"/>
      <c r="H32" s="368"/>
      <c r="I32" s="368"/>
      <c r="J32" s="368"/>
      <c r="K32" s="368"/>
      <c r="L32" s="368"/>
      <c r="M32" s="368"/>
      <c r="N32" s="368"/>
      <c r="O32" s="368"/>
      <c r="P32" s="369"/>
      <c r="Q32" s="405"/>
      <c r="R32" s="405"/>
      <c r="S32" s="368"/>
      <c r="T32" s="368"/>
      <c r="U32" s="368"/>
      <c r="V32" s="368"/>
      <c r="W32" s="368"/>
      <c r="X32" s="368"/>
      <c r="Y32" s="368"/>
      <c r="Z32" s="368"/>
      <c r="AA32" s="368"/>
      <c r="AB32" s="368"/>
      <c r="AC32" s="368"/>
      <c r="AD32" s="368"/>
      <c r="AE32" s="368"/>
      <c r="AF32" s="368"/>
      <c r="AG32" s="368"/>
      <c r="AH32" s="368"/>
      <c r="AI32" s="368"/>
      <c r="AK32" s="498" t="s">
        <v>519</v>
      </c>
      <c r="AL32" s="431">
        <v>17</v>
      </c>
      <c r="AM32" s="432">
        <v>1296</v>
      </c>
      <c r="AN32" s="434"/>
      <c r="AO32" s="481"/>
      <c r="AP32" s="473">
        <v>1.99</v>
      </c>
      <c r="AQ32" s="470">
        <v>2</v>
      </c>
      <c r="AR32" s="470">
        <v>2.99</v>
      </c>
      <c r="AS32" s="468">
        <v>3</v>
      </c>
      <c r="AT32" s="468">
        <v>3.99</v>
      </c>
      <c r="AU32" s="470">
        <v>3</v>
      </c>
      <c r="AV32" s="470">
        <v>3.99</v>
      </c>
      <c r="AW32" s="470">
        <v>6</v>
      </c>
      <c r="AX32" s="475">
        <v>6.99</v>
      </c>
      <c r="AY32" s="468">
        <v>6</v>
      </c>
      <c r="AZ32" s="482">
        <v>6.99</v>
      </c>
      <c r="BA32" s="481"/>
      <c r="BB32" s="481"/>
    </row>
    <row r="33" spans="1:54" ht="15.75" x14ac:dyDescent="0.25">
      <c r="A33" s="436"/>
      <c r="B33" s="437"/>
      <c r="C33" s="437"/>
      <c r="D33" s="433"/>
      <c r="E33" s="405"/>
      <c r="F33" s="368"/>
      <c r="G33" s="368"/>
      <c r="H33" s="368"/>
      <c r="I33" s="368"/>
      <c r="J33" s="368"/>
      <c r="K33" s="368"/>
      <c r="L33" s="368"/>
      <c r="M33" s="368"/>
      <c r="N33" s="368"/>
      <c r="O33" s="368"/>
      <c r="P33" s="369"/>
      <c r="Q33" s="405"/>
      <c r="R33" s="405"/>
      <c r="AK33" s="498" t="s">
        <v>520</v>
      </c>
      <c r="AL33" s="431">
        <v>17</v>
      </c>
      <c r="AM33" s="432">
        <v>1291</v>
      </c>
      <c r="AN33" s="434"/>
      <c r="AO33" s="476"/>
      <c r="AP33" s="476"/>
      <c r="AQ33" s="470">
        <v>1</v>
      </c>
      <c r="AR33" s="470">
        <v>1.99</v>
      </c>
      <c r="AS33" s="473">
        <v>4</v>
      </c>
      <c r="AT33" s="474">
        <v>6.99</v>
      </c>
      <c r="AU33" s="470">
        <v>3</v>
      </c>
      <c r="AV33" s="470">
        <v>3.99</v>
      </c>
      <c r="AW33" s="476"/>
      <c r="AX33" s="473">
        <v>2.99</v>
      </c>
      <c r="AY33" s="470">
        <v>3</v>
      </c>
      <c r="AZ33" s="470">
        <v>3.99</v>
      </c>
      <c r="BA33" s="476"/>
      <c r="BB33" s="476"/>
    </row>
    <row r="34" spans="1:54" ht="15.75" x14ac:dyDescent="0.25">
      <c r="A34" s="433"/>
      <c r="B34" s="433"/>
      <c r="C34" s="433"/>
      <c r="D34" s="433"/>
      <c r="E34" s="405"/>
      <c r="F34" s="368"/>
      <c r="G34" s="368"/>
      <c r="H34" s="368"/>
      <c r="I34" s="368"/>
      <c r="J34" s="368"/>
      <c r="K34" s="368"/>
      <c r="L34" s="368"/>
      <c r="M34" s="368"/>
      <c r="N34" s="368"/>
      <c r="O34" s="368"/>
      <c r="P34" s="369"/>
      <c r="Q34" s="405"/>
      <c r="R34" s="405"/>
      <c r="AK34" s="498" t="s">
        <v>521</v>
      </c>
      <c r="AL34" s="431">
        <v>17</v>
      </c>
      <c r="AM34" s="432">
        <v>1328</v>
      </c>
      <c r="AN34" s="434"/>
      <c r="AO34" s="476"/>
      <c r="AP34" s="476"/>
      <c r="AQ34" s="470">
        <v>3</v>
      </c>
      <c r="AR34" s="470">
        <v>3.99</v>
      </c>
      <c r="AS34" s="470">
        <v>6</v>
      </c>
      <c r="AT34" s="475">
        <v>6.99</v>
      </c>
      <c r="AU34" s="470">
        <v>3</v>
      </c>
      <c r="AV34" s="470">
        <v>3.99</v>
      </c>
      <c r="AW34" s="468">
        <v>4</v>
      </c>
      <c r="AX34" s="468">
        <v>4.99</v>
      </c>
      <c r="AY34" s="470">
        <v>4</v>
      </c>
      <c r="AZ34" s="470">
        <v>4.99</v>
      </c>
      <c r="BA34" s="476"/>
      <c r="BB34" s="476"/>
    </row>
    <row r="35" spans="1:54" ht="15.75" x14ac:dyDescent="0.25">
      <c r="AK35" s="498" t="s">
        <v>522</v>
      </c>
      <c r="AL35" s="431">
        <v>17</v>
      </c>
      <c r="AM35" s="432">
        <v>-628</v>
      </c>
      <c r="AN35" s="434"/>
      <c r="AO35" s="476"/>
      <c r="AP35" s="476"/>
      <c r="AQ35" s="468">
        <v>6</v>
      </c>
      <c r="AR35" s="482">
        <v>6.99</v>
      </c>
      <c r="AS35" s="468">
        <v>4</v>
      </c>
      <c r="AT35" s="468">
        <v>4.99</v>
      </c>
      <c r="AU35" s="470">
        <v>1</v>
      </c>
      <c r="AV35" s="470">
        <v>1.99</v>
      </c>
      <c r="AW35" s="476"/>
      <c r="AX35" s="473">
        <v>3.99</v>
      </c>
      <c r="AY35" s="470">
        <v>1</v>
      </c>
      <c r="AZ35" s="470">
        <v>1.99</v>
      </c>
      <c r="BA35" s="476"/>
      <c r="BB35" s="473">
        <v>4.99</v>
      </c>
    </row>
    <row r="36" spans="1:54" ht="15.75" x14ac:dyDescent="0.25">
      <c r="AK36" s="498" t="s">
        <v>523</v>
      </c>
      <c r="AL36" s="431">
        <v>17</v>
      </c>
      <c r="AM36" s="432">
        <v>1272</v>
      </c>
      <c r="AN36" s="434"/>
      <c r="AO36" s="483"/>
      <c r="AP36" s="483"/>
      <c r="AQ36" s="470">
        <v>2</v>
      </c>
      <c r="AR36" s="470">
        <v>2.99</v>
      </c>
      <c r="AS36" s="468">
        <v>6</v>
      </c>
      <c r="AT36" s="482">
        <v>6.99</v>
      </c>
      <c r="AU36" s="470">
        <v>3</v>
      </c>
      <c r="AV36" s="470">
        <v>3.99</v>
      </c>
      <c r="AW36" s="470">
        <v>3</v>
      </c>
      <c r="AX36" s="470">
        <v>3.99</v>
      </c>
      <c r="AY36" s="470">
        <v>2</v>
      </c>
      <c r="AZ36" s="470">
        <v>2.99</v>
      </c>
      <c r="BA36" s="470">
        <v>2</v>
      </c>
      <c r="BB36" s="470">
        <v>2.99</v>
      </c>
    </row>
    <row r="37" spans="1:54" ht="15.75" x14ac:dyDescent="0.25">
      <c r="AK37" s="498" t="s">
        <v>258</v>
      </c>
      <c r="AL37" s="431">
        <v>18</v>
      </c>
      <c r="AM37" s="432">
        <v>1200</v>
      </c>
      <c r="AN37" s="434"/>
      <c r="AO37" s="478"/>
      <c r="AP37" s="478"/>
      <c r="AQ37" s="470">
        <v>6</v>
      </c>
      <c r="AR37" s="475">
        <v>6.99</v>
      </c>
      <c r="AS37" s="470">
        <v>6.7</v>
      </c>
      <c r="AT37" s="475">
        <v>6.99</v>
      </c>
      <c r="AU37" s="470">
        <v>5</v>
      </c>
      <c r="AV37" s="471">
        <v>5.99</v>
      </c>
      <c r="AW37" s="470">
        <v>2</v>
      </c>
      <c r="AX37" s="470">
        <v>2.99</v>
      </c>
      <c r="AY37" s="470">
        <v>3</v>
      </c>
      <c r="AZ37" s="470">
        <v>3.99</v>
      </c>
      <c r="BA37" s="478"/>
      <c r="BB37" s="473">
        <v>2.99</v>
      </c>
    </row>
    <row r="38" spans="1:54" ht="15.75" x14ac:dyDescent="0.25">
      <c r="AK38" s="498" t="s">
        <v>524</v>
      </c>
      <c r="AL38" s="431">
        <v>18</v>
      </c>
      <c r="AM38" s="432">
        <v>1220</v>
      </c>
      <c r="AN38" s="434"/>
      <c r="AO38" s="476"/>
      <c r="AP38" s="473">
        <v>1.99</v>
      </c>
      <c r="AQ38" s="468">
        <v>6</v>
      </c>
      <c r="AR38" s="482">
        <v>6.99</v>
      </c>
      <c r="AS38" s="476"/>
      <c r="AT38" s="473">
        <v>3.99</v>
      </c>
      <c r="AU38" s="470">
        <v>3</v>
      </c>
      <c r="AV38" s="470">
        <v>3.99</v>
      </c>
      <c r="AW38" s="470">
        <v>2</v>
      </c>
      <c r="AX38" s="470">
        <v>2.99</v>
      </c>
      <c r="AY38" s="470">
        <v>4</v>
      </c>
      <c r="AZ38" s="470">
        <v>4.99</v>
      </c>
      <c r="BA38" s="476"/>
      <c r="BB38" s="472">
        <v>5.99</v>
      </c>
    </row>
    <row r="39" spans="1:54" ht="15.75" x14ac:dyDescent="0.25">
      <c r="AK39" s="498" t="s">
        <v>525</v>
      </c>
      <c r="AL39" s="431">
        <v>18</v>
      </c>
      <c r="AM39" s="432">
        <v>-673</v>
      </c>
      <c r="AN39" s="434"/>
      <c r="AO39" s="476"/>
      <c r="AP39" s="473">
        <v>1.99</v>
      </c>
      <c r="AQ39" s="470">
        <v>2</v>
      </c>
      <c r="AR39" s="470">
        <v>2.99</v>
      </c>
      <c r="AS39" s="470">
        <v>2</v>
      </c>
      <c r="AT39" s="470">
        <v>2.99</v>
      </c>
      <c r="AU39" s="470">
        <v>5</v>
      </c>
      <c r="AV39" s="471">
        <v>5.99</v>
      </c>
      <c r="AW39" s="473">
        <v>5</v>
      </c>
      <c r="AX39" s="474">
        <v>6.99</v>
      </c>
      <c r="AY39" s="470">
        <v>4</v>
      </c>
      <c r="AZ39" s="470">
        <v>4.99</v>
      </c>
      <c r="BA39" s="476"/>
      <c r="BB39" s="473">
        <v>4.99</v>
      </c>
    </row>
    <row r="40" spans="1:54" ht="15.75" x14ac:dyDescent="0.25">
      <c r="AK40" s="498" t="s">
        <v>297</v>
      </c>
      <c r="AL40" s="431">
        <v>17</v>
      </c>
      <c r="AM40" s="432">
        <v>1145</v>
      </c>
      <c r="AN40" s="434" t="s">
        <v>220</v>
      </c>
      <c r="AO40" s="476"/>
      <c r="AP40" s="473">
        <v>1.99</v>
      </c>
      <c r="AQ40" s="470">
        <v>5</v>
      </c>
      <c r="AR40" s="471">
        <v>5.99</v>
      </c>
      <c r="AS40" s="484">
        <v>7</v>
      </c>
      <c r="AT40" s="485">
        <v>7</v>
      </c>
      <c r="AU40" s="470">
        <v>1</v>
      </c>
      <c r="AV40" s="470">
        <v>1.99</v>
      </c>
      <c r="AW40" s="476"/>
      <c r="AX40" s="473">
        <v>2.99</v>
      </c>
      <c r="AY40" s="470">
        <v>1</v>
      </c>
      <c r="AZ40" s="470">
        <v>1.99</v>
      </c>
      <c r="BA40" s="476"/>
      <c r="BB40" s="476"/>
    </row>
    <row r="41" spans="1:54" ht="15.75" x14ac:dyDescent="0.25">
      <c r="AK41" s="498" t="s">
        <v>526</v>
      </c>
      <c r="AL41" s="431">
        <v>19</v>
      </c>
      <c r="AM41" s="432">
        <v>1042</v>
      </c>
      <c r="AN41" s="434" t="s">
        <v>94</v>
      </c>
      <c r="AO41" s="476"/>
      <c r="AP41" s="473">
        <v>1.99</v>
      </c>
      <c r="AQ41" s="473">
        <v>5</v>
      </c>
      <c r="AR41" s="474">
        <v>6.99</v>
      </c>
      <c r="AS41" s="468">
        <v>4</v>
      </c>
      <c r="AT41" s="468">
        <v>4.99</v>
      </c>
      <c r="AU41" s="470">
        <v>1</v>
      </c>
      <c r="AV41" s="470">
        <v>1.99</v>
      </c>
      <c r="AW41" s="476"/>
      <c r="AX41" s="473">
        <v>2.99</v>
      </c>
      <c r="AY41" s="473">
        <v>2</v>
      </c>
      <c r="AZ41" s="473">
        <v>3.99</v>
      </c>
      <c r="BA41" s="476"/>
      <c r="BB41" s="473">
        <v>1.99</v>
      </c>
    </row>
    <row r="42" spans="1:54" ht="15.75" x14ac:dyDescent="0.25">
      <c r="AK42" s="498" t="s">
        <v>527</v>
      </c>
      <c r="AL42" s="431">
        <v>19</v>
      </c>
      <c r="AM42" s="432">
        <v>-813</v>
      </c>
      <c r="AN42" s="434"/>
      <c r="AO42" s="478"/>
      <c r="AP42" s="473">
        <v>0.99</v>
      </c>
      <c r="AQ42" s="470">
        <v>3</v>
      </c>
      <c r="AR42" s="470">
        <v>3.99</v>
      </c>
      <c r="AS42" s="468">
        <v>5</v>
      </c>
      <c r="AT42" s="469">
        <v>5.99</v>
      </c>
      <c r="AU42" s="470">
        <v>5</v>
      </c>
      <c r="AV42" s="471">
        <v>5.99</v>
      </c>
      <c r="AW42" s="478"/>
      <c r="AX42" s="478">
        <v>3.99</v>
      </c>
      <c r="AY42" s="478"/>
      <c r="AZ42" s="486">
        <v>5.99</v>
      </c>
      <c r="BA42" s="478"/>
      <c r="BB42" s="478"/>
    </row>
    <row r="43" spans="1:54" ht="15.75" x14ac:dyDescent="0.25">
      <c r="AK43" s="498" t="s">
        <v>528</v>
      </c>
      <c r="AL43" s="431">
        <v>18</v>
      </c>
      <c r="AM43" s="432">
        <v>4</v>
      </c>
      <c r="AN43" s="434" t="s">
        <v>94</v>
      </c>
      <c r="AO43" s="476"/>
      <c r="AP43" s="473">
        <v>1.99</v>
      </c>
      <c r="AQ43" s="470">
        <v>4</v>
      </c>
      <c r="AR43" s="470">
        <v>4.99</v>
      </c>
      <c r="AS43" s="470">
        <v>3</v>
      </c>
      <c r="AT43" s="470">
        <v>3.99</v>
      </c>
      <c r="AU43" s="476"/>
      <c r="AV43" s="474">
        <v>6.99</v>
      </c>
      <c r="AW43" s="476"/>
      <c r="AX43" s="473">
        <v>3.99</v>
      </c>
      <c r="AY43" s="470">
        <v>2</v>
      </c>
      <c r="AZ43" s="470">
        <v>2.99</v>
      </c>
      <c r="BA43" s="476"/>
      <c r="BB43" s="476">
        <v>3.99</v>
      </c>
    </row>
    <row r="44" spans="1:54" ht="15.75" x14ac:dyDescent="0.25">
      <c r="AK44" s="498" t="s">
        <v>529</v>
      </c>
      <c r="AL44" s="431">
        <v>16</v>
      </c>
      <c r="AM44" s="432">
        <v>-718</v>
      </c>
      <c r="AN44" s="434" t="s">
        <v>220</v>
      </c>
      <c r="AO44" s="478"/>
      <c r="AP44" s="473">
        <v>1.99</v>
      </c>
      <c r="AQ44" s="470">
        <v>1</v>
      </c>
      <c r="AR44" s="470">
        <v>1.99</v>
      </c>
      <c r="AS44" s="468">
        <v>6</v>
      </c>
      <c r="AT44" s="482">
        <v>6.99</v>
      </c>
      <c r="AU44" s="478"/>
      <c r="AV44" s="473">
        <v>3.99</v>
      </c>
      <c r="AW44" s="478"/>
      <c r="AX44" s="473">
        <v>3.99</v>
      </c>
      <c r="AY44" s="470">
        <v>2</v>
      </c>
      <c r="AZ44" s="470">
        <v>2.99</v>
      </c>
      <c r="BA44" s="478"/>
      <c r="BB44" s="473">
        <v>2.99</v>
      </c>
    </row>
    <row r="45" spans="1:54" ht="15.75" x14ac:dyDescent="0.25">
      <c r="AK45" s="498" t="s">
        <v>530</v>
      </c>
      <c r="AL45" s="431">
        <v>18</v>
      </c>
      <c r="AM45" s="432">
        <v>1028</v>
      </c>
      <c r="AN45" s="434"/>
      <c r="AO45" s="487"/>
      <c r="AP45" s="487"/>
      <c r="AQ45" s="468">
        <v>5</v>
      </c>
      <c r="AR45" s="469">
        <v>5.99</v>
      </c>
      <c r="AS45" s="470">
        <v>6</v>
      </c>
      <c r="AT45" s="475">
        <v>6.99</v>
      </c>
      <c r="AU45" s="470">
        <v>2</v>
      </c>
      <c r="AV45" s="470">
        <v>2.99</v>
      </c>
      <c r="AW45" s="487"/>
      <c r="AX45" s="473">
        <v>2.99</v>
      </c>
      <c r="AY45" s="470">
        <v>4</v>
      </c>
      <c r="AZ45" s="470">
        <v>4.99</v>
      </c>
      <c r="BA45" s="487"/>
      <c r="BB45" s="487"/>
    </row>
    <row r="46" spans="1:54" ht="15.75" x14ac:dyDescent="0.25">
      <c r="AK46" s="498" t="s">
        <v>531</v>
      </c>
      <c r="AL46" s="431">
        <v>17</v>
      </c>
      <c r="AM46" s="432">
        <v>932</v>
      </c>
      <c r="AN46" s="434"/>
      <c r="AO46" s="476"/>
      <c r="AP46" s="476"/>
      <c r="AQ46" s="470">
        <v>2</v>
      </c>
      <c r="AR46" s="470">
        <v>2.99</v>
      </c>
      <c r="AS46" s="468">
        <v>7</v>
      </c>
      <c r="AT46" s="482">
        <v>7</v>
      </c>
      <c r="AU46" s="468">
        <v>3</v>
      </c>
      <c r="AV46" s="468">
        <v>3.99</v>
      </c>
      <c r="AW46" s="470">
        <v>1</v>
      </c>
      <c r="AX46" s="470">
        <v>1.99</v>
      </c>
      <c r="AY46" s="476"/>
      <c r="AZ46" s="473">
        <v>3.99</v>
      </c>
      <c r="BA46" s="476"/>
      <c r="BB46" s="476"/>
    </row>
    <row r="47" spans="1:54" ht="15.75" x14ac:dyDescent="0.25">
      <c r="AK47" s="498" t="s">
        <v>532</v>
      </c>
      <c r="AL47" s="431">
        <v>18</v>
      </c>
      <c r="AM47" s="432">
        <v>1032</v>
      </c>
      <c r="AN47" s="434" t="s">
        <v>105</v>
      </c>
      <c r="AO47" s="487"/>
      <c r="AP47" s="473">
        <v>1.99</v>
      </c>
      <c r="AQ47" s="487"/>
      <c r="AR47" s="473">
        <v>2.99</v>
      </c>
      <c r="AS47" s="470">
        <v>3</v>
      </c>
      <c r="AT47" s="470">
        <v>3.99</v>
      </c>
      <c r="AU47" s="470">
        <v>5</v>
      </c>
      <c r="AV47" s="471">
        <v>5.99</v>
      </c>
      <c r="AW47" s="470">
        <v>6</v>
      </c>
      <c r="AX47" s="475">
        <v>6.99</v>
      </c>
      <c r="AY47" s="470">
        <v>2</v>
      </c>
      <c r="AZ47" s="470">
        <v>2.99</v>
      </c>
      <c r="BA47" s="470">
        <v>4</v>
      </c>
      <c r="BB47" s="470">
        <v>4.99</v>
      </c>
    </row>
    <row r="48" spans="1:54" ht="15.75" x14ac:dyDescent="0.25">
      <c r="AK48" s="498" t="s">
        <v>533</v>
      </c>
      <c r="AL48" s="431">
        <v>17</v>
      </c>
      <c r="AM48" s="432">
        <v>959</v>
      </c>
      <c r="AN48" s="434"/>
      <c r="AO48" s="488"/>
      <c r="AP48" s="488">
        <v>1.99</v>
      </c>
      <c r="AQ48" s="488"/>
      <c r="AR48" s="473">
        <v>3.99</v>
      </c>
      <c r="AS48" s="468">
        <v>5</v>
      </c>
      <c r="AT48" s="469">
        <v>5.99</v>
      </c>
      <c r="AU48" s="487"/>
      <c r="AV48" s="473">
        <v>2.99</v>
      </c>
      <c r="AW48" s="470">
        <v>5</v>
      </c>
      <c r="AX48" s="471">
        <v>5.99</v>
      </c>
      <c r="AY48" s="468">
        <v>4</v>
      </c>
      <c r="AZ48" s="468">
        <v>4.99</v>
      </c>
      <c r="BA48" s="487"/>
      <c r="BB48" s="487">
        <v>3.99</v>
      </c>
    </row>
    <row r="49" spans="37:54" ht="15.75" x14ac:dyDescent="0.25">
      <c r="AK49" s="498" t="s">
        <v>534</v>
      </c>
      <c r="AL49" s="431">
        <v>17</v>
      </c>
      <c r="AM49" s="432">
        <v>852</v>
      </c>
      <c r="AN49" s="434"/>
      <c r="AO49" s="478"/>
      <c r="AP49" s="478"/>
      <c r="AQ49" s="478"/>
      <c r="AR49" s="473">
        <v>4.99</v>
      </c>
      <c r="AS49" s="470">
        <v>3</v>
      </c>
      <c r="AT49" s="470">
        <v>3.99</v>
      </c>
      <c r="AU49" s="468">
        <v>5</v>
      </c>
      <c r="AV49" s="469">
        <v>5.99</v>
      </c>
      <c r="AW49" s="478"/>
      <c r="AX49" s="473">
        <v>2.99</v>
      </c>
      <c r="AY49" s="470">
        <v>4</v>
      </c>
      <c r="AZ49" s="470">
        <v>4.99</v>
      </c>
      <c r="BA49" s="478"/>
      <c r="BB49" s="478"/>
    </row>
    <row r="50" spans="37:54" ht="15.75" x14ac:dyDescent="0.25">
      <c r="AK50" s="498" t="s">
        <v>535</v>
      </c>
      <c r="AL50" s="431">
        <v>18</v>
      </c>
      <c r="AM50" s="432">
        <v>908</v>
      </c>
      <c r="AN50" s="434" t="s">
        <v>220</v>
      </c>
      <c r="AO50" s="487"/>
      <c r="AP50" s="487"/>
      <c r="AQ50" s="473">
        <v>4</v>
      </c>
      <c r="AR50" s="472">
        <v>5.99</v>
      </c>
      <c r="AS50" s="470">
        <v>3</v>
      </c>
      <c r="AT50" s="470">
        <v>3.99</v>
      </c>
      <c r="AU50" s="468">
        <v>6</v>
      </c>
      <c r="AV50" s="482">
        <v>6.99</v>
      </c>
      <c r="AW50" s="473">
        <v>6</v>
      </c>
      <c r="AX50" s="474">
        <v>7</v>
      </c>
      <c r="AY50" s="470">
        <v>4</v>
      </c>
      <c r="AZ50" s="470">
        <v>4.99</v>
      </c>
      <c r="BA50" s="487"/>
      <c r="BB50" s="473">
        <v>2.99</v>
      </c>
    </row>
    <row r="51" spans="37:54" ht="15.75" x14ac:dyDescent="0.25">
      <c r="AK51" s="498" t="s">
        <v>536</v>
      </c>
      <c r="AL51" s="431">
        <v>17</v>
      </c>
      <c r="AM51" s="432">
        <v>856</v>
      </c>
      <c r="AN51" s="434" t="s">
        <v>220</v>
      </c>
      <c r="AO51" s="476"/>
      <c r="AP51" s="473">
        <v>0.99</v>
      </c>
      <c r="AQ51" s="473">
        <v>4</v>
      </c>
      <c r="AR51" s="472">
        <v>5.99</v>
      </c>
      <c r="AS51" s="470">
        <v>3</v>
      </c>
      <c r="AT51" s="470">
        <v>3.99</v>
      </c>
      <c r="AU51" s="470">
        <v>3</v>
      </c>
      <c r="AV51" s="470">
        <v>3.99</v>
      </c>
      <c r="AW51" s="470">
        <v>5.3</v>
      </c>
      <c r="AX51" s="471">
        <v>5.99</v>
      </c>
      <c r="AY51" s="473">
        <v>5</v>
      </c>
      <c r="AZ51" s="474">
        <v>6.99</v>
      </c>
      <c r="BA51" s="476"/>
      <c r="BB51" s="476"/>
    </row>
    <row r="52" spans="37:54" ht="15.75" x14ac:dyDescent="0.25">
      <c r="AK52" s="498" t="s">
        <v>537</v>
      </c>
      <c r="AL52" s="431">
        <v>18</v>
      </c>
      <c r="AM52" s="432">
        <v>-975</v>
      </c>
      <c r="AN52" s="434" t="s">
        <v>105</v>
      </c>
      <c r="AO52" s="476"/>
      <c r="AP52" s="473">
        <v>1.99</v>
      </c>
      <c r="AQ52" s="473">
        <v>4</v>
      </c>
      <c r="AR52" s="472">
        <v>5.99</v>
      </c>
      <c r="AS52" s="468">
        <v>5</v>
      </c>
      <c r="AT52" s="469">
        <v>5.99</v>
      </c>
      <c r="AU52" s="468">
        <v>4</v>
      </c>
      <c r="AV52" s="468">
        <v>4.99</v>
      </c>
      <c r="AW52" s="470">
        <v>4</v>
      </c>
      <c r="AX52" s="470">
        <v>4.99</v>
      </c>
      <c r="AY52" s="468">
        <v>3</v>
      </c>
      <c r="AZ52" s="468">
        <v>3.99</v>
      </c>
      <c r="BA52" s="476"/>
      <c r="BB52" s="476"/>
    </row>
    <row r="53" spans="37:54" ht="15.75" x14ac:dyDescent="0.25">
      <c r="AK53" s="498" t="s">
        <v>538</v>
      </c>
      <c r="AL53" s="431">
        <v>17</v>
      </c>
      <c r="AM53" s="432">
        <v>724</v>
      </c>
      <c r="AN53" s="434"/>
      <c r="AO53" s="476"/>
      <c r="AP53" s="473">
        <v>1.99</v>
      </c>
      <c r="AQ53" s="470">
        <v>4</v>
      </c>
      <c r="AR53" s="470">
        <v>4.99</v>
      </c>
      <c r="AS53" s="468">
        <v>6</v>
      </c>
      <c r="AT53" s="482">
        <v>6.99</v>
      </c>
      <c r="AU53" s="476"/>
      <c r="AV53" s="473">
        <v>3.99</v>
      </c>
      <c r="AW53" s="470">
        <v>2</v>
      </c>
      <c r="AX53" s="470">
        <v>2.99</v>
      </c>
      <c r="AY53" s="470">
        <v>3</v>
      </c>
      <c r="AZ53" s="470">
        <v>3.99</v>
      </c>
      <c r="BA53" s="476"/>
      <c r="BB53" s="472">
        <v>5.99</v>
      </c>
    </row>
    <row r="54" spans="37:54" ht="15.75" x14ac:dyDescent="0.25">
      <c r="AK54" s="498" t="s">
        <v>539</v>
      </c>
      <c r="AL54" s="431">
        <v>17</v>
      </c>
      <c r="AM54" s="432">
        <v>789</v>
      </c>
      <c r="AN54" s="434" t="s">
        <v>105</v>
      </c>
      <c r="AO54" s="478"/>
      <c r="AP54" s="478"/>
      <c r="AQ54" s="468">
        <v>5</v>
      </c>
      <c r="AR54" s="469">
        <v>5.99</v>
      </c>
      <c r="AS54" s="478"/>
      <c r="AT54" s="473">
        <v>2.99</v>
      </c>
      <c r="AU54" s="473">
        <v>5</v>
      </c>
      <c r="AV54" s="474">
        <v>7</v>
      </c>
      <c r="AW54" s="470">
        <v>3</v>
      </c>
      <c r="AX54" s="470">
        <v>3.99</v>
      </c>
      <c r="AY54" s="470">
        <v>3</v>
      </c>
      <c r="AZ54" s="470">
        <v>3.99</v>
      </c>
      <c r="BA54" s="478"/>
      <c r="BB54" s="473">
        <v>3.99</v>
      </c>
    </row>
    <row r="55" spans="37:54" ht="15.75" x14ac:dyDescent="0.25">
      <c r="AK55" s="498" t="s">
        <v>540</v>
      </c>
      <c r="AL55" s="431">
        <v>16</v>
      </c>
      <c r="AM55" s="432">
        <v>796</v>
      </c>
      <c r="AN55" s="434" t="s">
        <v>220</v>
      </c>
      <c r="AO55" s="487"/>
      <c r="AP55" s="487"/>
      <c r="AQ55" s="470">
        <v>2</v>
      </c>
      <c r="AR55" s="470">
        <v>2.99</v>
      </c>
      <c r="AS55" s="468">
        <v>5</v>
      </c>
      <c r="AT55" s="469">
        <v>5.99</v>
      </c>
      <c r="AU55" s="468">
        <v>5</v>
      </c>
      <c r="AV55" s="469">
        <v>5.99</v>
      </c>
      <c r="AW55" s="470">
        <v>4</v>
      </c>
      <c r="AX55" s="470">
        <v>4.99</v>
      </c>
      <c r="AY55" s="470">
        <v>3</v>
      </c>
      <c r="AZ55" s="470">
        <v>3.99</v>
      </c>
      <c r="BA55" s="487"/>
      <c r="BB55" s="487"/>
    </row>
    <row r="56" spans="37:54" ht="15.75" x14ac:dyDescent="0.25">
      <c r="AK56" s="498" t="s">
        <v>541</v>
      </c>
      <c r="AL56" s="431">
        <v>17</v>
      </c>
      <c r="AM56" s="432">
        <v>681</v>
      </c>
      <c r="AN56" s="434" t="s">
        <v>67</v>
      </c>
      <c r="AO56" s="476"/>
      <c r="AP56" s="473">
        <v>1.99</v>
      </c>
      <c r="AQ56" s="470">
        <v>3</v>
      </c>
      <c r="AR56" s="470">
        <v>3.99</v>
      </c>
      <c r="AS56" s="468">
        <v>5</v>
      </c>
      <c r="AT56" s="469">
        <v>5.99</v>
      </c>
      <c r="AU56" s="476"/>
      <c r="AV56" s="473">
        <v>2.99</v>
      </c>
      <c r="AW56" s="470">
        <v>4</v>
      </c>
      <c r="AX56" s="470">
        <v>4.99</v>
      </c>
      <c r="AY56" s="470">
        <v>4</v>
      </c>
      <c r="AZ56" s="470">
        <v>4.99</v>
      </c>
      <c r="BA56" s="470">
        <v>2</v>
      </c>
      <c r="BB56" s="470">
        <v>2.99</v>
      </c>
    </row>
    <row r="57" spans="37:54" ht="15.75" x14ac:dyDescent="0.25">
      <c r="AK57" s="498" t="s">
        <v>542</v>
      </c>
      <c r="AL57" s="431">
        <v>19</v>
      </c>
      <c r="AM57" s="432">
        <v>686</v>
      </c>
      <c r="AN57" s="434" t="s">
        <v>94</v>
      </c>
      <c r="AO57" s="487"/>
      <c r="AP57" s="473">
        <v>1.99</v>
      </c>
      <c r="AQ57" s="470">
        <v>2</v>
      </c>
      <c r="AR57" s="470">
        <v>2.99</v>
      </c>
      <c r="AS57" s="470">
        <v>3</v>
      </c>
      <c r="AT57" s="470">
        <v>3.99</v>
      </c>
      <c r="AU57" s="473">
        <v>4</v>
      </c>
      <c r="AV57" s="472">
        <v>5.99</v>
      </c>
      <c r="AW57" s="470">
        <v>4</v>
      </c>
      <c r="AX57" s="470">
        <v>4.99</v>
      </c>
      <c r="AY57" s="470">
        <v>5</v>
      </c>
      <c r="AZ57" s="471">
        <v>5.99</v>
      </c>
      <c r="BA57" s="487"/>
      <c r="BB57" s="473">
        <v>3.99</v>
      </c>
    </row>
    <row r="58" spans="37:54" ht="15.75" x14ac:dyDescent="0.25">
      <c r="AK58" s="498" t="s">
        <v>543</v>
      </c>
      <c r="AL58" s="431">
        <v>17</v>
      </c>
      <c r="AM58" s="432">
        <v>736</v>
      </c>
      <c r="AN58" s="434" t="s">
        <v>67</v>
      </c>
      <c r="AO58" s="476"/>
      <c r="AP58" s="473">
        <v>1.99</v>
      </c>
      <c r="AQ58" s="470">
        <v>1</v>
      </c>
      <c r="AR58" s="470">
        <v>1.99</v>
      </c>
      <c r="AS58" s="468">
        <v>6</v>
      </c>
      <c r="AT58" s="482">
        <v>6.99</v>
      </c>
      <c r="AU58" s="476"/>
      <c r="AV58" s="473">
        <v>2.99</v>
      </c>
      <c r="AW58" s="476"/>
      <c r="AX58" s="473">
        <v>3.99</v>
      </c>
      <c r="AY58" s="476"/>
      <c r="AZ58" s="473">
        <v>3.99</v>
      </c>
      <c r="BA58" s="476"/>
      <c r="BB58" s="473">
        <v>2.99</v>
      </c>
    </row>
    <row r="59" spans="37:54" ht="15.75" x14ac:dyDescent="0.25">
      <c r="AK59" s="498" t="s">
        <v>544</v>
      </c>
      <c r="AL59" s="431">
        <v>16</v>
      </c>
      <c r="AM59" s="432">
        <v>774</v>
      </c>
      <c r="AN59" s="434"/>
      <c r="AO59" s="487"/>
      <c r="AP59" s="473">
        <v>1.99</v>
      </c>
      <c r="AQ59" s="473">
        <v>4</v>
      </c>
      <c r="AR59" s="472">
        <v>5.99</v>
      </c>
      <c r="AS59" s="473">
        <v>4</v>
      </c>
      <c r="AT59" s="472">
        <v>5.99</v>
      </c>
      <c r="AU59" s="470">
        <v>5</v>
      </c>
      <c r="AV59" s="471">
        <v>5.99</v>
      </c>
      <c r="AW59" s="487"/>
      <c r="AX59" s="473">
        <v>3.99</v>
      </c>
      <c r="AY59" s="487"/>
      <c r="AZ59" s="473">
        <v>3.99</v>
      </c>
      <c r="BA59" s="487"/>
      <c r="BB59" s="473">
        <v>2.99</v>
      </c>
    </row>
    <row r="60" spans="37:54" ht="15.75" x14ac:dyDescent="0.25">
      <c r="AK60" s="498" t="s">
        <v>545</v>
      </c>
      <c r="AL60" s="431">
        <v>17</v>
      </c>
      <c r="AM60" s="432">
        <v>761</v>
      </c>
      <c r="AN60" s="434" t="s">
        <v>220</v>
      </c>
      <c r="AO60" s="478"/>
      <c r="AP60" s="473">
        <v>1.99</v>
      </c>
      <c r="AQ60" s="468">
        <v>3</v>
      </c>
      <c r="AR60" s="468">
        <v>3.99</v>
      </c>
      <c r="AS60" s="473">
        <v>5</v>
      </c>
      <c r="AT60" s="474">
        <v>6.99</v>
      </c>
      <c r="AU60" s="478"/>
      <c r="AV60" s="473">
        <v>2.99</v>
      </c>
      <c r="AW60" s="470">
        <v>2</v>
      </c>
      <c r="AX60" s="470">
        <v>2.99</v>
      </c>
      <c r="AY60" s="478"/>
      <c r="AZ60" s="472">
        <v>5.99</v>
      </c>
      <c r="BA60" s="470">
        <v>2</v>
      </c>
      <c r="BB60" s="470">
        <v>2.99</v>
      </c>
    </row>
    <row r="61" spans="37:54" ht="15.75" x14ac:dyDescent="0.25">
      <c r="AK61" s="498" t="s">
        <v>546</v>
      </c>
      <c r="AL61" s="431">
        <v>19</v>
      </c>
      <c r="AM61" s="432">
        <v>633</v>
      </c>
      <c r="AN61" s="434"/>
      <c r="AO61" s="476"/>
      <c r="AP61" s="476"/>
      <c r="AQ61" s="473">
        <v>5</v>
      </c>
      <c r="AR61" s="474">
        <v>6.99</v>
      </c>
      <c r="AS61" s="468">
        <v>4</v>
      </c>
      <c r="AT61" s="468">
        <v>4.99</v>
      </c>
      <c r="AU61" s="468">
        <v>4</v>
      </c>
      <c r="AV61" s="468">
        <v>4.99</v>
      </c>
      <c r="AW61" s="470">
        <v>3</v>
      </c>
      <c r="AX61" s="470">
        <v>3.99</v>
      </c>
      <c r="AY61" s="470">
        <v>3</v>
      </c>
      <c r="AZ61" s="470">
        <v>3.99</v>
      </c>
      <c r="BA61" s="476"/>
      <c r="BB61" s="476"/>
    </row>
    <row r="62" spans="37:54" ht="15.75" x14ac:dyDescent="0.25">
      <c r="AK62" s="498" t="s">
        <v>547</v>
      </c>
      <c r="AL62" s="431">
        <v>16</v>
      </c>
      <c r="AM62" s="432">
        <v>679</v>
      </c>
      <c r="AN62" s="434"/>
      <c r="AO62" s="487"/>
      <c r="AP62" s="473">
        <v>1.99</v>
      </c>
      <c r="AQ62" s="468">
        <v>5</v>
      </c>
      <c r="AR62" s="469">
        <v>5.99</v>
      </c>
      <c r="AS62" s="470">
        <v>3</v>
      </c>
      <c r="AT62" s="470">
        <v>3.99</v>
      </c>
      <c r="AU62" s="470">
        <v>4</v>
      </c>
      <c r="AV62" s="470">
        <v>4.99</v>
      </c>
      <c r="AW62" s="473">
        <v>3</v>
      </c>
      <c r="AX62" s="473">
        <v>4.99</v>
      </c>
      <c r="AY62" s="470">
        <v>1</v>
      </c>
      <c r="AZ62" s="470">
        <v>1.99</v>
      </c>
      <c r="BA62" s="487"/>
      <c r="BB62" s="473">
        <v>2.99</v>
      </c>
    </row>
    <row r="63" spans="37:54" ht="15.75" x14ac:dyDescent="0.25">
      <c r="AK63" s="498" t="s">
        <v>548</v>
      </c>
      <c r="AL63" s="431">
        <v>16</v>
      </c>
      <c r="AM63" s="432">
        <v>663</v>
      </c>
      <c r="AN63" s="434" t="s">
        <v>96</v>
      </c>
      <c r="AO63" s="487"/>
      <c r="AP63" s="487"/>
      <c r="AQ63" s="470">
        <v>4</v>
      </c>
      <c r="AR63" s="470">
        <v>4.99</v>
      </c>
      <c r="AS63" s="470">
        <v>5</v>
      </c>
      <c r="AT63" s="471">
        <v>5.99</v>
      </c>
      <c r="AU63" s="468">
        <v>4</v>
      </c>
      <c r="AV63" s="468">
        <v>4.99</v>
      </c>
      <c r="AW63" s="487"/>
      <c r="AX63" s="473">
        <v>3.99</v>
      </c>
      <c r="AY63" s="470">
        <v>3</v>
      </c>
      <c r="AZ63" s="470">
        <v>3.99</v>
      </c>
      <c r="BA63" s="487"/>
      <c r="BB63" s="487"/>
    </row>
    <row r="64" spans="37:54" ht="15.75" x14ac:dyDescent="0.25">
      <c r="AK64" s="498" t="s">
        <v>549</v>
      </c>
      <c r="AL64" s="431">
        <v>16</v>
      </c>
      <c r="AM64" s="432">
        <v>644</v>
      </c>
      <c r="AN64" s="434"/>
      <c r="AO64" s="487"/>
      <c r="AP64" s="473">
        <v>1.99</v>
      </c>
      <c r="AQ64" s="468">
        <v>3</v>
      </c>
      <c r="AR64" s="468">
        <v>3.99</v>
      </c>
      <c r="AS64" s="468">
        <v>6</v>
      </c>
      <c r="AT64" s="482">
        <v>6.99</v>
      </c>
      <c r="AU64" s="468">
        <v>5</v>
      </c>
      <c r="AV64" s="469">
        <v>5.99</v>
      </c>
      <c r="AW64" s="487"/>
      <c r="AX64" s="473">
        <v>2.99</v>
      </c>
      <c r="AY64" s="470">
        <v>3</v>
      </c>
      <c r="AZ64" s="470">
        <v>3.99</v>
      </c>
      <c r="BA64" s="487"/>
      <c r="BB64" s="487"/>
    </row>
    <row r="65" spans="37:54" ht="15.75" x14ac:dyDescent="0.25">
      <c r="AK65" s="498" t="s">
        <v>550</v>
      </c>
      <c r="AL65" s="431">
        <v>16</v>
      </c>
      <c r="AM65" s="432">
        <v>607</v>
      </c>
      <c r="AN65" s="434" t="s">
        <v>94</v>
      </c>
      <c r="AO65" s="487"/>
      <c r="AP65" s="487"/>
      <c r="AQ65" s="470">
        <v>4</v>
      </c>
      <c r="AR65" s="470">
        <v>4.99</v>
      </c>
      <c r="AS65" s="468">
        <v>4</v>
      </c>
      <c r="AT65" s="468">
        <v>4.99</v>
      </c>
      <c r="AU65" s="470">
        <v>4</v>
      </c>
      <c r="AV65" s="470">
        <v>4.99</v>
      </c>
      <c r="AW65" s="468">
        <v>4</v>
      </c>
      <c r="AX65" s="468">
        <v>4.99</v>
      </c>
      <c r="AY65" s="468">
        <v>5</v>
      </c>
      <c r="AZ65" s="469">
        <v>5.99</v>
      </c>
      <c r="BA65" s="487"/>
      <c r="BB65" s="473">
        <v>2.99</v>
      </c>
    </row>
    <row r="66" spans="37:54" ht="15.75" x14ac:dyDescent="0.25">
      <c r="AK66" s="498" t="s">
        <v>551</v>
      </c>
      <c r="AL66" s="431">
        <v>17</v>
      </c>
      <c r="AM66" s="432">
        <v>621</v>
      </c>
      <c r="AN66" s="434" t="s">
        <v>94</v>
      </c>
      <c r="AO66" s="478"/>
      <c r="AP66" s="478"/>
      <c r="AQ66" s="473">
        <v>3</v>
      </c>
      <c r="AR66" s="473">
        <v>4.99</v>
      </c>
      <c r="AS66" s="473">
        <v>5</v>
      </c>
      <c r="AT66" s="474">
        <v>6.99</v>
      </c>
      <c r="AU66" s="470">
        <v>5</v>
      </c>
      <c r="AV66" s="471">
        <v>5.99</v>
      </c>
      <c r="AW66" s="478"/>
      <c r="AX66" s="473">
        <v>2.99</v>
      </c>
      <c r="AY66" s="468">
        <v>5</v>
      </c>
      <c r="AZ66" s="469">
        <v>5.99</v>
      </c>
      <c r="BA66" s="478"/>
      <c r="BB66" s="473">
        <v>3.99</v>
      </c>
    </row>
    <row r="67" spans="37:54" ht="15.75" x14ac:dyDescent="0.25">
      <c r="AK67" s="498" t="s">
        <v>552</v>
      </c>
      <c r="AL67" s="431">
        <v>16</v>
      </c>
      <c r="AM67" s="432">
        <v>571</v>
      </c>
      <c r="AN67" s="434"/>
      <c r="AO67" s="487"/>
      <c r="AP67" s="473">
        <v>1.99</v>
      </c>
      <c r="AQ67" s="468">
        <v>4</v>
      </c>
      <c r="AR67" s="468">
        <v>4.99</v>
      </c>
      <c r="AS67" s="470">
        <v>3</v>
      </c>
      <c r="AT67" s="470">
        <v>3.99</v>
      </c>
      <c r="AU67" s="473">
        <v>7</v>
      </c>
      <c r="AV67" s="474">
        <v>7</v>
      </c>
      <c r="AW67" s="470">
        <v>2</v>
      </c>
      <c r="AX67" s="470">
        <v>2.99</v>
      </c>
      <c r="AY67" s="468">
        <v>4</v>
      </c>
      <c r="AZ67" s="468">
        <v>4.99</v>
      </c>
      <c r="BA67" s="487"/>
      <c r="BB67" s="487"/>
    </row>
    <row r="68" spans="37:54" ht="15.75" x14ac:dyDescent="0.25">
      <c r="AK68" s="498" t="s">
        <v>553</v>
      </c>
      <c r="AL68" s="431">
        <v>17</v>
      </c>
      <c r="AM68" s="432">
        <v>467</v>
      </c>
      <c r="AN68" s="434"/>
      <c r="AO68" s="478"/>
      <c r="AP68" s="478"/>
      <c r="AQ68" s="478"/>
      <c r="AR68" s="473">
        <v>2.99</v>
      </c>
      <c r="AS68" s="470">
        <v>2</v>
      </c>
      <c r="AT68" s="470">
        <v>2.99</v>
      </c>
      <c r="AU68" s="470">
        <v>5</v>
      </c>
      <c r="AV68" s="471">
        <v>5.99</v>
      </c>
      <c r="AW68" s="478"/>
      <c r="AX68" s="472">
        <v>5.99</v>
      </c>
      <c r="AY68" s="468">
        <v>3</v>
      </c>
      <c r="AZ68" s="468">
        <v>3.99</v>
      </c>
      <c r="BA68" s="478"/>
      <c r="BB68" s="478"/>
    </row>
    <row r="69" spans="37:54" ht="15.75" x14ac:dyDescent="0.25">
      <c r="AK69" s="498" t="s">
        <v>554</v>
      </c>
      <c r="AL69" s="431">
        <v>16</v>
      </c>
      <c r="AM69" s="432">
        <v>475</v>
      </c>
      <c r="AN69" s="434"/>
      <c r="AO69" s="487"/>
      <c r="AP69" s="473">
        <v>1.99</v>
      </c>
      <c r="AQ69" s="487"/>
      <c r="AR69" s="473">
        <v>3.99</v>
      </c>
      <c r="AS69" s="468">
        <v>5</v>
      </c>
      <c r="AT69" s="469">
        <v>5.99</v>
      </c>
      <c r="AU69" s="468">
        <v>6</v>
      </c>
      <c r="AV69" s="482">
        <v>6.99</v>
      </c>
      <c r="AW69" s="487"/>
      <c r="AX69" s="487"/>
      <c r="AY69" s="470">
        <v>2</v>
      </c>
      <c r="AZ69" s="470">
        <v>2.99</v>
      </c>
      <c r="BA69" s="487"/>
      <c r="BB69" s="487"/>
    </row>
    <row r="70" spans="37:54" ht="15.75" x14ac:dyDescent="0.25">
      <c r="AK70" s="498" t="s">
        <v>555</v>
      </c>
      <c r="AL70" s="431">
        <v>16</v>
      </c>
      <c r="AM70" s="432">
        <v>422</v>
      </c>
      <c r="AN70" s="434"/>
      <c r="AO70" s="487"/>
      <c r="AP70" s="487"/>
      <c r="AQ70" s="470">
        <v>1</v>
      </c>
      <c r="AR70" s="470">
        <v>1.99</v>
      </c>
      <c r="AS70" s="468">
        <v>5</v>
      </c>
      <c r="AT70" s="469">
        <v>5.99</v>
      </c>
      <c r="AU70" s="468">
        <v>4</v>
      </c>
      <c r="AV70" s="468">
        <v>4.99</v>
      </c>
      <c r="AW70" s="487"/>
      <c r="AX70" s="473">
        <v>2.99</v>
      </c>
      <c r="AY70" s="487"/>
      <c r="AZ70" s="473">
        <v>2.99</v>
      </c>
      <c r="BA70" s="487"/>
      <c r="BB70" s="487"/>
    </row>
    <row r="71" spans="37:54" ht="15.75" x14ac:dyDescent="0.25">
      <c r="AK71" s="498" t="s">
        <v>556</v>
      </c>
      <c r="AL71" s="431">
        <v>16</v>
      </c>
      <c r="AM71" s="432">
        <v>434</v>
      </c>
      <c r="AN71" s="434"/>
      <c r="AO71" s="487"/>
      <c r="AP71" s="473">
        <v>1.99</v>
      </c>
      <c r="AQ71" s="473">
        <v>3</v>
      </c>
      <c r="AR71" s="473">
        <v>4.99</v>
      </c>
      <c r="AS71" s="468">
        <v>2</v>
      </c>
      <c r="AT71" s="468">
        <v>2.99</v>
      </c>
      <c r="AU71" s="473">
        <v>4</v>
      </c>
      <c r="AV71" s="474">
        <v>6.99</v>
      </c>
      <c r="AW71" s="487"/>
      <c r="AX71" s="473">
        <v>2.99</v>
      </c>
      <c r="AY71" s="487"/>
      <c r="AZ71" s="474">
        <v>6.99</v>
      </c>
      <c r="BA71" s="487"/>
      <c r="BB71" s="487"/>
    </row>
    <row r="72" spans="37:54" ht="15.75" x14ac:dyDescent="0.25">
      <c r="AK72" s="498" t="s">
        <v>557</v>
      </c>
      <c r="AL72" s="431">
        <v>16</v>
      </c>
      <c r="AM72" s="432">
        <v>454</v>
      </c>
      <c r="AN72" s="434"/>
      <c r="AO72" s="487"/>
      <c r="AP72" s="473">
        <v>1.99</v>
      </c>
      <c r="AQ72" s="487"/>
      <c r="AR72" s="472">
        <v>5.99</v>
      </c>
      <c r="AS72" s="468">
        <v>5</v>
      </c>
      <c r="AT72" s="469">
        <v>5.99</v>
      </c>
      <c r="AU72" s="470">
        <v>4</v>
      </c>
      <c r="AV72" s="470">
        <v>4.99</v>
      </c>
      <c r="AW72" s="473">
        <v>3</v>
      </c>
      <c r="AX72" s="472">
        <v>5.99</v>
      </c>
      <c r="AY72" s="473">
        <v>4</v>
      </c>
      <c r="AZ72" s="472">
        <v>5.99</v>
      </c>
      <c r="BA72" s="487"/>
      <c r="BB72" s="487"/>
    </row>
    <row r="73" spans="37:54" ht="15.75" x14ac:dyDescent="0.25">
      <c r="AK73" s="498" t="s">
        <v>558</v>
      </c>
      <c r="AL73" s="431">
        <v>16</v>
      </c>
      <c r="AM73" s="432">
        <v>458</v>
      </c>
      <c r="AN73" s="434"/>
      <c r="AO73" s="487"/>
      <c r="AP73" s="487"/>
      <c r="AQ73" s="487"/>
      <c r="AR73" s="473">
        <v>2.99</v>
      </c>
      <c r="AS73" s="468">
        <v>5</v>
      </c>
      <c r="AT73" s="469">
        <v>5.99</v>
      </c>
      <c r="AU73" s="473">
        <v>4</v>
      </c>
      <c r="AV73" s="472">
        <v>5.99</v>
      </c>
      <c r="AW73" s="487"/>
      <c r="AX73" s="473">
        <v>3.99</v>
      </c>
      <c r="AY73" s="470">
        <v>2</v>
      </c>
      <c r="AZ73" s="470">
        <v>2.99</v>
      </c>
      <c r="BA73" s="487"/>
      <c r="BB73" s="487"/>
    </row>
    <row r="74" spans="37:54" ht="15.75" x14ac:dyDescent="0.25">
      <c r="AK74" s="498" t="s">
        <v>559</v>
      </c>
      <c r="AL74" s="431">
        <v>15</v>
      </c>
      <c r="AM74" s="432">
        <v>517</v>
      </c>
      <c r="AN74" s="434"/>
      <c r="AO74" s="487"/>
      <c r="AP74" s="487"/>
      <c r="AQ74" s="487"/>
      <c r="AR74" s="473">
        <v>4.99</v>
      </c>
      <c r="AS74" s="487"/>
      <c r="AT74" s="487"/>
      <c r="AU74" s="487"/>
      <c r="AV74" s="473">
        <v>4.99</v>
      </c>
      <c r="AW74" s="473">
        <v>3</v>
      </c>
      <c r="AX74" s="487"/>
      <c r="AY74" s="487"/>
      <c r="AZ74" s="472">
        <v>5.99</v>
      </c>
      <c r="BA74" s="487"/>
      <c r="BB74" s="487"/>
    </row>
    <row r="75" spans="37:54" ht="15.75" x14ac:dyDescent="0.25">
      <c r="AK75" s="498" t="s">
        <v>560</v>
      </c>
      <c r="AL75" s="431">
        <v>17</v>
      </c>
      <c r="AM75" s="432">
        <v>499</v>
      </c>
      <c r="AN75" s="434"/>
      <c r="AO75" s="487"/>
      <c r="AP75" s="487"/>
      <c r="AQ75" s="473">
        <v>4</v>
      </c>
      <c r="AR75" s="472">
        <v>5.99</v>
      </c>
      <c r="AS75" s="470">
        <v>4</v>
      </c>
      <c r="AT75" s="470">
        <v>4.99</v>
      </c>
      <c r="AU75" s="470">
        <v>4</v>
      </c>
      <c r="AV75" s="470">
        <v>4.99</v>
      </c>
      <c r="AW75" s="487"/>
      <c r="AX75" s="474">
        <v>6.99</v>
      </c>
      <c r="AY75" s="470">
        <v>2</v>
      </c>
      <c r="AZ75" s="470">
        <v>2.99</v>
      </c>
      <c r="BA75" s="487"/>
      <c r="BB75" s="487"/>
    </row>
    <row r="76" spans="37:54" ht="15.75" x14ac:dyDescent="0.25">
      <c r="AK76" s="498" t="s">
        <v>561</v>
      </c>
      <c r="AL76" s="431">
        <v>16</v>
      </c>
      <c r="AM76" s="432">
        <v>-1491</v>
      </c>
      <c r="AN76" s="434"/>
      <c r="AO76" s="478"/>
      <c r="AP76" s="478"/>
      <c r="AQ76" s="489">
        <v>1</v>
      </c>
      <c r="AR76" s="470">
        <v>1.99</v>
      </c>
      <c r="AS76" s="490">
        <v>5</v>
      </c>
      <c r="AT76" s="469">
        <v>5.99</v>
      </c>
      <c r="AU76" s="478"/>
      <c r="AV76" s="473">
        <v>2.99</v>
      </c>
      <c r="AW76" s="490" t="s">
        <v>562</v>
      </c>
      <c r="AX76" s="469">
        <v>5.99</v>
      </c>
      <c r="AY76" s="490">
        <v>4</v>
      </c>
      <c r="AZ76" s="469">
        <v>4.99</v>
      </c>
      <c r="BA76" s="478"/>
      <c r="BB76" s="478"/>
    </row>
    <row r="77" spans="37:54" ht="15.75" x14ac:dyDescent="0.25">
      <c r="AK77" s="498" t="s">
        <v>563</v>
      </c>
      <c r="AL77" s="431">
        <v>16</v>
      </c>
      <c r="AM77" s="432">
        <v>336</v>
      </c>
      <c r="AN77" s="434" t="s">
        <v>67</v>
      </c>
      <c r="AO77" s="478"/>
      <c r="AP77" s="473">
        <v>1.99</v>
      </c>
      <c r="AQ77" s="490">
        <v>6</v>
      </c>
      <c r="AR77" s="482">
        <v>6.99</v>
      </c>
      <c r="AS77" s="490">
        <v>5</v>
      </c>
      <c r="AT77" s="469">
        <v>5.99</v>
      </c>
      <c r="AU77" s="490">
        <v>3</v>
      </c>
      <c r="AV77" s="468">
        <v>3.99</v>
      </c>
      <c r="AW77" s="489">
        <v>1</v>
      </c>
      <c r="AX77" s="470">
        <v>1.99</v>
      </c>
      <c r="AY77" s="489">
        <v>2</v>
      </c>
      <c r="AZ77" s="470">
        <v>2.99</v>
      </c>
      <c r="BA77" s="478"/>
      <c r="BB77" s="478"/>
    </row>
    <row r="78" spans="37:54" ht="15.75" x14ac:dyDescent="0.25">
      <c r="AK78" s="498" t="s">
        <v>564</v>
      </c>
      <c r="AL78" s="431">
        <v>16</v>
      </c>
      <c r="AM78" s="432">
        <v>305</v>
      </c>
      <c r="AN78" s="434" t="s">
        <v>67</v>
      </c>
      <c r="AO78" s="478"/>
      <c r="AP78" s="473">
        <v>1.99</v>
      </c>
      <c r="AQ78" s="478"/>
      <c r="AR78" s="473">
        <v>3.99</v>
      </c>
      <c r="AS78" s="478"/>
      <c r="AT78" s="473">
        <v>2.99</v>
      </c>
      <c r="AU78" s="478"/>
      <c r="AV78" s="473">
        <v>2.99</v>
      </c>
      <c r="AW78" s="489">
        <v>3</v>
      </c>
      <c r="AX78" s="470">
        <v>3.99</v>
      </c>
      <c r="AY78" s="490">
        <v>5</v>
      </c>
      <c r="AZ78" s="469">
        <v>5.99</v>
      </c>
      <c r="BA78" s="478"/>
      <c r="BB78" s="478"/>
    </row>
    <row r="79" spans="37:54" ht="15.75" x14ac:dyDescent="0.25">
      <c r="AK79" s="498" t="s">
        <v>565</v>
      </c>
      <c r="AL79" s="431">
        <v>16</v>
      </c>
      <c r="AM79" s="432">
        <v>262</v>
      </c>
      <c r="AN79" s="434"/>
      <c r="AO79" s="478"/>
      <c r="AP79" s="473">
        <v>1.99</v>
      </c>
      <c r="AQ79" s="489">
        <v>1</v>
      </c>
      <c r="AR79" s="470">
        <v>1.99</v>
      </c>
      <c r="AS79" s="490">
        <v>4</v>
      </c>
      <c r="AT79" s="468">
        <v>4.99</v>
      </c>
      <c r="AU79" s="489">
        <v>5</v>
      </c>
      <c r="AV79" s="471">
        <v>5.99</v>
      </c>
      <c r="AW79" s="490">
        <v>6</v>
      </c>
      <c r="AX79" s="482">
        <v>6.99</v>
      </c>
      <c r="AY79" s="490">
        <v>2</v>
      </c>
      <c r="AZ79" s="468">
        <v>2.99</v>
      </c>
      <c r="BA79" s="478"/>
      <c r="BB79" s="478"/>
    </row>
    <row r="80" spans="37:54" ht="15.75" x14ac:dyDescent="0.25">
      <c r="AK80" s="498" t="s">
        <v>566</v>
      </c>
      <c r="AL80" s="431">
        <v>17</v>
      </c>
      <c r="AM80" s="432">
        <v>208</v>
      </c>
      <c r="AN80" s="434"/>
      <c r="AO80" s="478"/>
      <c r="AP80" s="473">
        <v>1.99</v>
      </c>
      <c r="AQ80" s="489">
        <v>2</v>
      </c>
      <c r="AR80" s="470">
        <v>2.99</v>
      </c>
      <c r="AS80" s="491">
        <v>5</v>
      </c>
      <c r="AT80" s="474">
        <v>7</v>
      </c>
      <c r="AU80" s="489">
        <v>3</v>
      </c>
      <c r="AV80" s="470">
        <v>3.99</v>
      </c>
      <c r="AW80" s="491">
        <v>4</v>
      </c>
      <c r="AX80" s="474">
        <v>6.99</v>
      </c>
      <c r="AY80" s="478"/>
      <c r="AZ80" s="473">
        <v>2.99</v>
      </c>
      <c r="BA80" s="478"/>
      <c r="BB80" s="478"/>
    </row>
    <row r="81" spans="37:54" x14ac:dyDescent="0.25">
      <c r="AK81" s="498" t="s">
        <v>567</v>
      </c>
      <c r="AL81" s="431"/>
      <c r="AM81" s="432"/>
      <c r="AN81" s="434"/>
      <c r="AO81" s="492"/>
      <c r="AP81" s="492"/>
      <c r="AQ81" s="492"/>
      <c r="AR81" s="492"/>
      <c r="AS81" s="492"/>
      <c r="AT81" s="492"/>
      <c r="AU81" s="492"/>
      <c r="AV81" s="492"/>
      <c r="AW81" s="492"/>
      <c r="AX81" s="492"/>
      <c r="AY81" s="492"/>
      <c r="AZ81" s="492"/>
      <c r="BA81" s="492"/>
      <c r="BB81" s="492"/>
    </row>
    <row r="82" spans="37:54" x14ac:dyDescent="0.25">
      <c r="AK82" s="498" t="s">
        <v>568</v>
      </c>
      <c r="AL82" s="431"/>
      <c r="AM82" s="432"/>
      <c r="AN82" s="434"/>
      <c r="AO82" s="492"/>
      <c r="AP82" s="492"/>
      <c r="AQ82" s="492"/>
      <c r="AR82" s="492"/>
      <c r="AS82" s="492"/>
      <c r="AT82" s="492"/>
      <c r="AU82" s="492"/>
      <c r="AV82" s="492"/>
      <c r="AW82" s="492"/>
      <c r="AX82" s="492"/>
      <c r="AY82" s="492"/>
      <c r="AZ82" s="492"/>
      <c r="BA82" s="492"/>
      <c r="BB82" s="492"/>
    </row>
    <row r="83" spans="37:54" x14ac:dyDescent="0.25">
      <c r="AK83" s="498" t="s">
        <v>569</v>
      </c>
      <c r="AL83" s="431"/>
      <c r="AM83" s="432"/>
      <c r="AN83" s="434"/>
      <c r="AO83" s="492"/>
      <c r="AP83" s="492"/>
      <c r="AQ83" s="492"/>
      <c r="AR83" s="492"/>
      <c r="AS83" s="492"/>
      <c r="AT83" s="492"/>
      <c r="AU83" s="492"/>
      <c r="AV83" s="492"/>
      <c r="AW83" s="492"/>
      <c r="AX83" s="492"/>
      <c r="AY83" s="492"/>
      <c r="AZ83" s="492"/>
      <c r="BA83" s="492"/>
      <c r="BB83" s="492"/>
    </row>
    <row r="84" spans="37:54" ht="15.75" x14ac:dyDescent="0.25">
      <c r="AK84" s="498" t="s">
        <v>570</v>
      </c>
      <c r="AL84" s="431">
        <v>16</v>
      </c>
      <c r="AM84" s="432">
        <v>146</v>
      </c>
      <c r="AN84" s="434"/>
      <c r="AO84" s="478"/>
      <c r="AP84" s="478"/>
      <c r="AQ84" s="489">
        <v>3</v>
      </c>
      <c r="AR84" s="470">
        <v>3.99</v>
      </c>
      <c r="AS84" s="489">
        <v>5</v>
      </c>
      <c r="AT84" s="471">
        <v>5.99</v>
      </c>
      <c r="AU84" s="489">
        <v>3</v>
      </c>
      <c r="AV84" s="470">
        <v>3.99</v>
      </c>
      <c r="AW84" s="489">
        <v>1</v>
      </c>
      <c r="AX84" s="470">
        <v>1.99</v>
      </c>
      <c r="AY84" s="478"/>
      <c r="AZ84" s="473">
        <v>1.99</v>
      </c>
      <c r="BA84" s="478"/>
      <c r="BB84" s="478"/>
    </row>
    <row r="85" spans="37:54" ht="15.75" x14ac:dyDescent="0.25">
      <c r="AK85" s="498" t="s">
        <v>571</v>
      </c>
      <c r="AL85" s="431">
        <v>16</v>
      </c>
      <c r="AM85" s="432">
        <v>210</v>
      </c>
      <c r="AN85" s="434"/>
      <c r="AO85" s="490">
        <v>6</v>
      </c>
      <c r="AP85" s="482">
        <v>6.99</v>
      </c>
      <c r="AQ85" s="489">
        <v>2.6</v>
      </c>
      <c r="AR85" s="470">
        <v>2.99</v>
      </c>
      <c r="AS85" s="478"/>
      <c r="AT85" s="473">
        <v>3.99</v>
      </c>
      <c r="AU85" s="478"/>
      <c r="AV85" s="473">
        <v>1.99</v>
      </c>
      <c r="AW85" s="478"/>
      <c r="AX85" s="473">
        <v>0.99</v>
      </c>
      <c r="AY85" s="478"/>
      <c r="AZ85" s="473">
        <v>2.99</v>
      </c>
      <c r="BA85" s="478"/>
      <c r="BB85" s="478"/>
    </row>
    <row r="86" spans="37:54" ht="15.75" x14ac:dyDescent="0.25">
      <c r="AK86" s="498" t="s">
        <v>572</v>
      </c>
      <c r="AL86" s="431">
        <v>17</v>
      </c>
      <c r="AM86" s="432">
        <v>384</v>
      </c>
      <c r="AN86" s="434" t="s">
        <v>105</v>
      </c>
      <c r="AO86" s="478"/>
      <c r="AP86" s="473">
        <v>1.99</v>
      </c>
      <c r="AQ86" s="489">
        <v>3</v>
      </c>
      <c r="AR86" s="470">
        <v>3.99</v>
      </c>
      <c r="AS86" s="489">
        <v>5</v>
      </c>
      <c r="AT86" s="471">
        <v>5.99</v>
      </c>
      <c r="AU86" s="489">
        <v>1</v>
      </c>
      <c r="AV86" s="470">
        <v>1.99</v>
      </c>
      <c r="AW86" s="489">
        <v>4</v>
      </c>
      <c r="AX86" s="470">
        <v>4.99</v>
      </c>
      <c r="AY86" s="490">
        <v>4</v>
      </c>
      <c r="AZ86" s="468">
        <v>4.99</v>
      </c>
      <c r="BA86" s="478"/>
      <c r="BB86" s="478"/>
    </row>
    <row r="87" spans="37:54" ht="15.75" x14ac:dyDescent="0.25">
      <c r="AK87" s="498" t="s">
        <v>573</v>
      </c>
      <c r="AL87" s="431">
        <v>17</v>
      </c>
      <c r="AM87" s="432">
        <v>382</v>
      </c>
      <c r="AN87" s="434"/>
      <c r="AO87" s="487"/>
      <c r="AP87" s="473">
        <v>1.99</v>
      </c>
      <c r="AQ87" s="490">
        <v>5</v>
      </c>
      <c r="AR87" s="469">
        <v>5.99</v>
      </c>
      <c r="AS87" s="489">
        <v>4</v>
      </c>
      <c r="AT87" s="470">
        <v>4.99</v>
      </c>
      <c r="AU87" s="491">
        <v>2</v>
      </c>
      <c r="AV87" s="473">
        <v>3.99</v>
      </c>
      <c r="AW87" s="489">
        <v>4</v>
      </c>
      <c r="AX87" s="470">
        <v>4.99</v>
      </c>
      <c r="AY87" s="487"/>
      <c r="AZ87" s="473">
        <v>4.99</v>
      </c>
      <c r="BA87" s="487"/>
      <c r="BB87" s="487"/>
    </row>
    <row r="88" spans="37:54" ht="15.75" x14ac:dyDescent="0.25">
      <c r="AK88" s="498" t="s">
        <v>574</v>
      </c>
      <c r="AL88" s="431">
        <v>18</v>
      </c>
      <c r="AM88" s="432">
        <v>408</v>
      </c>
      <c r="AN88" s="434"/>
      <c r="AO88" s="478"/>
      <c r="AP88" s="473">
        <v>1.99</v>
      </c>
      <c r="AQ88" s="489">
        <v>2</v>
      </c>
      <c r="AR88" s="470">
        <v>2.99</v>
      </c>
      <c r="AS88" s="478"/>
      <c r="AT88" s="473">
        <v>4.99</v>
      </c>
      <c r="AU88" s="478"/>
      <c r="AV88" s="472">
        <v>5.99</v>
      </c>
      <c r="AW88" s="489">
        <v>4</v>
      </c>
      <c r="AX88" s="470">
        <v>4.99</v>
      </c>
      <c r="AY88" s="489">
        <v>3</v>
      </c>
      <c r="AZ88" s="470">
        <v>3.99</v>
      </c>
      <c r="BA88" s="478"/>
      <c r="BB88" s="478"/>
    </row>
    <row r="89" spans="37:54" ht="15.75" x14ac:dyDescent="0.25">
      <c r="AK89" s="498" t="s">
        <v>575</v>
      </c>
      <c r="AL89" s="431">
        <v>18</v>
      </c>
      <c r="AM89" s="432">
        <v>423</v>
      </c>
      <c r="AN89" s="434" t="s">
        <v>94</v>
      </c>
      <c r="AO89" s="487"/>
      <c r="AP89" s="473">
        <v>1.99</v>
      </c>
      <c r="AQ89" s="489">
        <v>2</v>
      </c>
      <c r="AR89" s="470">
        <v>2.99</v>
      </c>
      <c r="AS89" s="490">
        <v>4</v>
      </c>
      <c r="AT89" s="468">
        <v>4.99</v>
      </c>
      <c r="AU89" s="489">
        <v>5</v>
      </c>
      <c r="AV89" s="471">
        <v>5.99</v>
      </c>
      <c r="AW89" s="489">
        <v>3</v>
      </c>
      <c r="AX89" s="470">
        <v>3.99</v>
      </c>
      <c r="AY89" s="491">
        <v>3</v>
      </c>
      <c r="AZ89" s="474">
        <v>7</v>
      </c>
      <c r="BA89" s="487"/>
      <c r="BB89" s="487"/>
    </row>
    <row r="90" spans="37:54" ht="15.75" x14ac:dyDescent="0.25">
      <c r="AK90" s="498" t="s">
        <v>576</v>
      </c>
      <c r="AL90" s="431">
        <v>17</v>
      </c>
      <c r="AM90" s="432">
        <v>408</v>
      </c>
      <c r="AN90" s="434" t="s">
        <v>105</v>
      </c>
      <c r="AO90" s="478"/>
      <c r="AP90" s="473">
        <v>0.99</v>
      </c>
      <c r="AQ90" s="489">
        <v>4</v>
      </c>
      <c r="AR90" s="470">
        <v>4.99</v>
      </c>
      <c r="AS90" s="489">
        <v>2</v>
      </c>
      <c r="AT90" s="470">
        <v>2.99</v>
      </c>
      <c r="AU90" s="491">
        <v>4</v>
      </c>
      <c r="AV90" s="472">
        <v>5.99</v>
      </c>
      <c r="AW90" s="489">
        <v>2</v>
      </c>
      <c r="AX90" s="470">
        <v>2.99</v>
      </c>
      <c r="AY90" s="489">
        <v>2</v>
      </c>
      <c r="AZ90" s="470">
        <v>2.99</v>
      </c>
      <c r="BA90" s="478"/>
      <c r="BB90" s="478"/>
    </row>
    <row r="91" spans="37:54" ht="15.75" x14ac:dyDescent="0.25">
      <c r="AK91" s="498" t="s">
        <v>577</v>
      </c>
      <c r="AL91" s="431">
        <v>17</v>
      </c>
      <c r="AM91" s="432">
        <v>330</v>
      </c>
      <c r="AN91" s="434"/>
      <c r="AO91" s="487"/>
      <c r="AP91" s="487"/>
      <c r="AQ91" s="487"/>
      <c r="AR91" s="473">
        <v>2.99</v>
      </c>
      <c r="AS91" s="489">
        <v>3</v>
      </c>
      <c r="AT91" s="470">
        <v>3.99</v>
      </c>
      <c r="AU91" s="491">
        <v>5</v>
      </c>
      <c r="AV91" s="474">
        <v>6.99</v>
      </c>
      <c r="AW91" s="490">
        <v>4</v>
      </c>
      <c r="AX91" s="468">
        <v>4.99</v>
      </c>
      <c r="AY91" s="490">
        <v>4</v>
      </c>
      <c r="AZ91" s="468">
        <v>4.99</v>
      </c>
      <c r="BA91" s="487"/>
      <c r="BB91" s="487"/>
    </row>
    <row r="92" spans="37:54" ht="15.75" x14ac:dyDescent="0.25">
      <c r="AK92" s="498" t="s">
        <v>578</v>
      </c>
      <c r="AL92" s="431">
        <v>16</v>
      </c>
      <c r="AM92" s="432">
        <v>329</v>
      </c>
      <c r="AN92" s="434"/>
      <c r="AO92" s="487"/>
      <c r="AP92" s="487"/>
      <c r="AQ92" s="490">
        <v>3</v>
      </c>
      <c r="AR92" s="468">
        <v>3.99</v>
      </c>
      <c r="AS92" s="491">
        <v>4</v>
      </c>
      <c r="AT92" s="474">
        <v>6.99</v>
      </c>
      <c r="AU92" s="487"/>
      <c r="AV92" s="473">
        <v>3.99</v>
      </c>
      <c r="AW92" s="490">
        <v>3</v>
      </c>
      <c r="AX92" s="468">
        <v>3.99</v>
      </c>
      <c r="AY92" s="487"/>
      <c r="AZ92" s="473">
        <v>3.99</v>
      </c>
      <c r="BA92" s="487"/>
      <c r="BB92" s="487"/>
    </row>
    <row r="93" spans="37:54" ht="15.75" x14ac:dyDescent="0.25">
      <c r="AK93" s="498" t="s">
        <v>579</v>
      </c>
      <c r="AL93" s="431">
        <v>16</v>
      </c>
      <c r="AM93" s="432">
        <v>331</v>
      </c>
      <c r="AN93" s="434"/>
      <c r="AO93" s="487"/>
      <c r="AP93" s="487"/>
      <c r="AQ93" s="489">
        <v>2</v>
      </c>
      <c r="AR93" s="470">
        <v>2.99</v>
      </c>
      <c r="AS93" s="490">
        <v>4</v>
      </c>
      <c r="AT93" s="468">
        <v>4.99</v>
      </c>
      <c r="AU93" s="489">
        <v>2</v>
      </c>
      <c r="AV93" s="470">
        <v>2.99</v>
      </c>
      <c r="AW93" s="489">
        <v>3</v>
      </c>
      <c r="AX93" s="470">
        <v>3.99</v>
      </c>
      <c r="AY93" s="491">
        <v>4</v>
      </c>
      <c r="AZ93" s="474">
        <v>6.99</v>
      </c>
      <c r="BA93" s="487"/>
      <c r="BB93" s="487"/>
    </row>
    <row r="94" spans="37:54" ht="15.75" x14ac:dyDescent="0.25">
      <c r="AK94" s="498" t="s">
        <v>580</v>
      </c>
      <c r="AL94" s="431">
        <v>16</v>
      </c>
      <c r="AM94" s="432">
        <v>342</v>
      </c>
      <c r="AN94" s="434"/>
      <c r="AO94" s="487"/>
      <c r="AP94" s="487"/>
      <c r="AQ94" s="491">
        <v>4</v>
      </c>
      <c r="AR94" s="474">
        <v>6.99</v>
      </c>
      <c r="AS94" s="489">
        <v>2</v>
      </c>
      <c r="AT94" s="470">
        <v>2.99</v>
      </c>
      <c r="AU94" s="493">
        <v>2</v>
      </c>
      <c r="AV94" s="494">
        <v>2.99</v>
      </c>
      <c r="AW94" s="490">
        <v>5</v>
      </c>
      <c r="AX94" s="469">
        <v>5.99</v>
      </c>
      <c r="AY94" s="491">
        <v>1</v>
      </c>
      <c r="AZ94" s="473">
        <v>2.99</v>
      </c>
      <c r="BA94" s="487"/>
      <c r="BB94" s="473">
        <v>3.99</v>
      </c>
    </row>
    <row r="95" spans="37:54" ht="15.75" x14ac:dyDescent="0.25">
      <c r="AK95" s="498" t="s">
        <v>581</v>
      </c>
      <c r="AL95" s="431">
        <v>16</v>
      </c>
      <c r="AM95" s="432">
        <v>373</v>
      </c>
      <c r="AN95" s="434"/>
      <c r="AO95" s="478"/>
      <c r="AP95" s="478"/>
      <c r="AQ95" s="490">
        <v>5</v>
      </c>
      <c r="AR95" s="469">
        <v>5.99</v>
      </c>
      <c r="AS95" s="489">
        <v>5</v>
      </c>
      <c r="AT95" s="471">
        <v>5.99</v>
      </c>
      <c r="AU95" s="478"/>
      <c r="AV95" s="473">
        <v>4.99</v>
      </c>
      <c r="AW95" s="478"/>
      <c r="AX95" s="473">
        <v>4.99</v>
      </c>
      <c r="AY95" s="478"/>
      <c r="AZ95" s="473">
        <v>4.99</v>
      </c>
      <c r="BA95" s="478"/>
      <c r="BB95" s="478"/>
    </row>
    <row r="96" spans="37:54" ht="15.75" x14ac:dyDescent="0.25">
      <c r="AK96" s="498" t="s">
        <v>582</v>
      </c>
      <c r="AL96" s="431">
        <v>16</v>
      </c>
      <c r="AM96" s="432">
        <v>390</v>
      </c>
      <c r="AN96" s="434" t="s">
        <v>67</v>
      </c>
      <c r="AO96" s="478"/>
      <c r="AP96" s="478"/>
      <c r="AQ96" s="489">
        <v>1</v>
      </c>
      <c r="AR96" s="470">
        <v>1.99</v>
      </c>
      <c r="AS96" s="489">
        <v>6</v>
      </c>
      <c r="AT96" s="475">
        <v>6.99</v>
      </c>
      <c r="AU96" s="490">
        <v>2</v>
      </c>
      <c r="AV96" s="468">
        <v>2.99</v>
      </c>
      <c r="AW96" s="489">
        <v>5</v>
      </c>
      <c r="AX96" s="471">
        <v>5.99</v>
      </c>
      <c r="AY96" s="490">
        <v>4</v>
      </c>
      <c r="AZ96" s="468">
        <v>4.99</v>
      </c>
      <c r="BA96" s="478"/>
      <c r="BB96" s="473">
        <v>3.99</v>
      </c>
    </row>
    <row r="97" spans="37:54" ht="15.75" x14ac:dyDescent="0.25">
      <c r="AK97" s="498" t="s">
        <v>583</v>
      </c>
      <c r="AL97" s="431">
        <v>16</v>
      </c>
      <c r="AM97" s="432">
        <v>262</v>
      </c>
      <c r="AN97" s="434"/>
      <c r="AO97" s="478"/>
      <c r="AP97" s="478"/>
      <c r="AQ97" s="490">
        <v>6</v>
      </c>
      <c r="AR97" s="482">
        <v>6.99</v>
      </c>
      <c r="AS97" s="493">
        <v>3</v>
      </c>
      <c r="AT97" s="468">
        <v>3.99</v>
      </c>
      <c r="AU97" s="490">
        <v>5</v>
      </c>
      <c r="AV97" s="469">
        <v>5.99</v>
      </c>
      <c r="AW97" s="478"/>
      <c r="AX97" s="473">
        <v>2.99</v>
      </c>
      <c r="AY97" s="491">
        <v>3</v>
      </c>
      <c r="AZ97" s="473">
        <v>4.99</v>
      </c>
      <c r="BA97" s="478"/>
      <c r="BB97" s="478"/>
    </row>
    <row r="98" spans="37:54" ht="15.75" x14ac:dyDescent="0.25">
      <c r="AK98" s="498" t="s">
        <v>584</v>
      </c>
      <c r="AL98" s="431">
        <v>16</v>
      </c>
      <c r="AM98" s="432">
        <v>240</v>
      </c>
      <c r="AN98" s="434" t="s">
        <v>67</v>
      </c>
      <c r="AO98" s="478"/>
      <c r="AP98" s="478"/>
      <c r="AQ98" s="478"/>
      <c r="AR98" s="473">
        <v>2.99</v>
      </c>
      <c r="AS98" s="490">
        <v>5</v>
      </c>
      <c r="AT98" s="469">
        <v>5.99</v>
      </c>
      <c r="AU98" s="489">
        <v>2</v>
      </c>
      <c r="AV98" s="470">
        <v>2.99</v>
      </c>
      <c r="AW98" s="489">
        <v>3</v>
      </c>
      <c r="AX98" s="470">
        <v>3.99</v>
      </c>
      <c r="AY98" s="491">
        <v>3</v>
      </c>
      <c r="AZ98" s="473">
        <v>4.99</v>
      </c>
      <c r="BA98" s="478"/>
      <c r="BB98" s="478"/>
    </row>
    <row r="99" spans="37:54" ht="15.75" x14ac:dyDescent="0.25">
      <c r="AK99" s="498" t="s">
        <v>585</v>
      </c>
      <c r="AL99" s="431">
        <v>16</v>
      </c>
      <c r="AM99" s="432">
        <v>255</v>
      </c>
      <c r="AN99" s="434"/>
      <c r="AO99" s="478"/>
      <c r="AP99" s="473">
        <v>0.99</v>
      </c>
      <c r="AQ99" s="489">
        <v>2</v>
      </c>
      <c r="AR99" s="470">
        <v>2.99</v>
      </c>
      <c r="AS99" s="491">
        <v>5</v>
      </c>
      <c r="AT99" s="474">
        <v>6.99</v>
      </c>
      <c r="AU99" s="493">
        <v>2</v>
      </c>
      <c r="AV99" s="494">
        <v>2.99</v>
      </c>
      <c r="AW99" s="489">
        <v>2</v>
      </c>
      <c r="AX99" s="470">
        <v>2.99</v>
      </c>
      <c r="AY99" s="489">
        <v>2</v>
      </c>
      <c r="AZ99" s="470">
        <v>2.99</v>
      </c>
      <c r="BA99" s="478"/>
      <c r="BB99" s="478"/>
    </row>
    <row r="100" spans="37:54" ht="15.75" x14ac:dyDescent="0.25">
      <c r="AK100" s="498" t="s">
        <v>586</v>
      </c>
      <c r="AL100" s="425">
        <v>18</v>
      </c>
      <c r="AM100" s="426">
        <v>238</v>
      </c>
      <c r="AN100" s="427" t="s">
        <v>94</v>
      </c>
      <c r="AO100" s="487"/>
      <c r="AP100" s="473">
        <v>1.99</v>
      </c>
      <c r="AQ100" s="490">
        <v>4</v>
      </c>
      <c r="AR100" s="468">
        <v>4.99</v>
      </c>
      <c r="AS100" s="489">
        <v>2</v>
      </c>
      <c r="AT100" s="470">
        <v>2.99</v>
      </c>
      <c r="AU100" s="489">
        <v>3</v>
      </c>
      <c r="AV100" s="470">
        <v>3.99</v>
      </c>
      <c r="AW100" s="489">
        <v>1</v>
      </c>
      <c r="AX100" s="470">
        <v>1.99</v>
      </c>
      <c r="AY100" s="491">
        <v>4</v>
      </c>
      <c r="AZ100" s="474">
        <v>6.99</v>
      </c>
      <c r="BA100" s="487"/>
      <c r="BB100" s="487"/>
    </row>
    <row r="101" spans="37:54" ht="15.75" x14ac:dyDescent="0.25">
      <c r="AK101" s="498" t="s">
        <v>587</v>
      </c>
      <c r="AL101" s="431">
        <v>17</v>
      </c>
      <c r="AM101" s="432">
        <v>105</v>
      </c>
      <c r="AN101" s="434" t="s">
        <v>94</v>
      </c>
      <c r="AO101" s="478"/>
      <c r="AP101" s="473">
        <v>1.99</v>
      </c>
      <c r="AQ101" s="489">
        <v>3</v>
      </c>
      <c r="AR101" s="470">
        <v>3.99</v>
      </c>
      <c r="AS101" s="490">
        <v>5</v>
      </c>
      <c r="AT101" s="469">
        <v>5.99</v>
      </c>
      <c r="AU101" s="489">
        <v>4</v>
      </c>
      <c r="AV101" s="470">
        <v>4.99</v>
      </c>
      <c r="AW101" s="489">
        <v>4</v>
      </c>
      <c r="AX101" s="470">
        <v>4.99</v>
      </c>
      <c r="AY101" s="478"/>
      <c r="AZ101" s="473">
        <v>2.99</v>
      </c>
      <c r="BA101" s="478"/>
      <c r="BB101" s="478"/>
    </row>
    <row r="102" spans="37:54" ht="15.75" x14ac:dyDescent="0.25">
      <c r="AK102" s="498" t="s">
        <v>588</v>
      </c>
      <c r="AL102" s="431">
        <v>17</v>
      </c>
      <c r="AM102" s="432">
        <v>181</v>
      </c>
      <c r="AN102" s="434" t="s">
        <v>105</v>
      </c>
      <c r="AO102" s="478"/>
      <c r="AP102" s="478"/>
      <c r="AQ102" s="490">
        <v>5</v>
      </c>
      <c r="AR102" s="469">
        <v>5.99</v>
      </c>
      <c r="AS102" s="490">
        <v>4</v>
      </c>
      <c r="AT102" s="468">
        <v>4.99</v>
      </c>
      <c r="AU102" s="478"/>
      <c r="AV102" s="472">
        <v>5.99</v>
      </c>
      <c r="AW102" s="489">
        <v>3</v>
      </c>
      <c r="AX102" s="470">
        <v>3.99</v>
      </c>
      <c r="AY102" s="478"/>
      <c r="AZ102" s="473">
        <v>2.99</v>
      </c>
      <c r="BA102" s="478"/>
      <c r="BB102" s="478"/>
    </row>
    <row r="103" spans="37:54" ht="15.75" x14ac:dyDescent="0.25">
      <c r="AK103" s="498" t="s">
        <v>589</v>
      </c>
      <c r="AL103" s="431">
        <v>17</v>
      </c>
      <c r="AM103" s="432">
        <v>34</v>
      </c>
      <c r="AN103" s="434" t="s">
        <v>220</v>
      </c>
      <c r="AO103" s="487"/>
      <c r="AP103" s="473">
        <v>0.99</v>
      </c>
      <c r="AQ103" s="489">
        <v>5</v>
      </c>
      <c r="AR103" s="471">
        <v>5.99</v>
      </c>
      <c r="AS103" s="491">
        <v>4</v>
      </c>
      <c r="AT103" s="472">
        <v>5.99</v>
      </c>
      <c r="AU103" s="495">
        <v>6</v>
      </c>
      <c r="AV103" s="496">
        <v>6.99</v>
      </c>
      <c r="AW103" s="487"/>
      <c r="AX103" s="473">
        <v>2.99</v>
      </c>
      <c r="AY103" s="495">
        <v>5</v>
      </c>
      <c r="AZ103" s="497">
        <v>5.99</v>
      </c>
      <c r="BA103" s="487"/>
      <c r="BB103" s="487"/>
    </row>
    <row r="104" spans="37:54" ht="15.75" x14ac:dyDescent="0.25">
      <c r="AK104" s="633" t="s">
        <v>477</v>
      </c>
      <c r="AL104" s="433">
        <v>17</v>
      </c>
      <c r="AM104" s="432">
        <v>51</v>
      </c>
      <c r="AN104" s="434" t="s">
        <v>67</v>
      </c>
      <c r="AO104" s="478"/>
      <c r="AP104" s="478"/>
      <c r="AQ104" s="489">
        <v>5</v>
      </c>
      <c r="AR104" s="471">
        <v>5.99</v>
      </c>
      <c r="AS104" s="490">
        <v>4</v>
      </c>
      <c r="AT104" s="468">
        <v>4.99</v>
      </c>
      <c r="AU104" s="478"/>
      <c r="AV104" s="473">
        <v>2.99</v>
      </c>
      <c r="AW104" s="478"/>
      <c r="AX104" s="473">
        <v>3.99</v>
      </c>
      <c r="AY104" s="493">
        <v>3</v>
      </c>
      <c r="AZ104" s="494">
        <v>3.99</v>
      </c>
      <c r="BA104" s="478"/>
      <c r="BB104" s="478"/>
    </row>
    <row r="105" spans="37:54" ht="15.75" x14ac:dyDescent="0.25">
      <c r="AK105" s="633" t="s">
        <v>480</v>
      </c>
      <c r="AL105" s="433">
        <v>18</v>
      </c>
      <c r="AM105" s="432">
        <v>26</v>
      </c>
      <c r="AN105" s="434"/>
      <c r="AO105" s="478"/>
      <c r="AP105" s="473">
        <v>0.99</v>
      </c>
      <c r="AQ105" s="495">
        <v>6</v>
      </c>
      <c r="AR105" s="496">
        <v>6.99</v>
      </c>
      <c r="AS105" s="490">
        <v>4</v>
      </c>
      <c r="AT105" s="468">
        <v>4.99</v>
      </c>
      <c r="AU105" s="478"/>
      <c r="AV105" s="473">
        <v>3.99</v>
      </c>
      <c r="AW105" s="478"/>
      <c r="AX105" s="473">
        <v>2.99</v>
      </c>
      <c r="AY105" s="478"/>
      <c r="AZ105" s="473">
        <v>2.99</v>
      </c>
      <c r="BA105" s="478"/>
      <c r="BB105" s="478"/>
    </row>
  </sheetData>
  <mergeCells count="7">
    <mergeCell ref="A16:E16"/>
    <mergeCell ref="AK3:AN3"/>
    <mergeCell ref="AO3:BB3"/>
    <mergeCell ref="AK1:AN1"/>
    <mergeCell ref="A1:E1"/>
    <mergeCell ref="A4:E4"/>
    <mergeCell ref="A9:E9"/>
  </mergeCells>
  <conditionalFormatting sqref="E12:E15 E3 E19 E21:E28 E7:E8">
    <cfRule type="cellIs" dxfId="44" priority="6" operator="between">
      <formula>1</formula>
      <formula>50</formula>
    </cfRule>
    <cfRule type="cellIs" dxfId="43" priority="7" operator="greaterThan">
      <formula>50</formula>
    </cfRule>
    <cfRule type="cellIs" dxfId="42" priority="8" operator="lessThan">
      <formula>1</formula>
    </cfRule>
  </conditionalFormatting>
  <conditionalFormatting sqref="E20">
    <cfRule type="cellIs" dxfId="41" priority="2" operator="between">
      <formula>1</formula>
      <formula>50</formula>
    </cfRule>
    <cfRule type="cellIs" dxfId="40" priority="3" operator="greaterThan">
      <formula>50</formula>
    </cfRule>
    <cfRule type="cellIs" dxfId="39" priority="4" operator="lessThan">
      <formula>1</formula>
    </cfRule>
  </conditionalFormatting>
  <conditionalFormatting sqref="W20">
    <cfRule type="colorScale" priority="1">
      <colorScale>
        <cfvo type="min"/>
        <cfvo type="percentile" val="50"/>
        <cfvo type="max"/>
        <color rgb="FFF8696B"/>
        <color rgb="FFFFEB84"/>
        <color rgb="FF63BE7B"/>
      </colorScale>
    </cfRule>
  </conditionalFormatting>
  <conditionalFormatting sqref="W21:W28 W19 W3 W12:W15 W7:W8">
    <cfRule type="colorScale" priority="3600">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R38" sqref="R38"/>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2"/>
      <c r="B1" s="502"/>
      <c r="C1" s="502"/>
      <c r="D1" s="665" t="s">
        <v>671</v>
      </c>
      <c r="E1" s="666"/>
      <c r="F1" s="666"/>
      <c r="G1" s="666"/>
      <c r="H1" s="666"/>
      <c r="I1" s="667"/>
      <c r="K1" s="502"/>
      <c r="L1" s="503"/>
      <c r="M1" s="503"/>
      <c r="N1" s="504">
        <v>43637</v>
      </c>
      <c r="O1" s="504">
        <f t="shared" ref="O1:AD1" si="0">N1+7</f>
        <v>43644</v>
      </c>
      <c r="P1" s="504">
        <f t="shared" si="0"/>
        <v>43651</v>
      </c>
      <c r="Q1" s="504">
        <f t="shared" si="0"/>
        <v>43658</v>
      </c>
      <c r="R1" s="577">
        <f t="shared" si="0"/>
        <v>43665</v>
      </c>
      <c r="S1" s="504">
        <f t="shared" si="0"/>
        <v>43672</v>
      </c>
      <c r="T1" s="504">
        <f t="shared" si="0"/>
        <v>43679</v>
      </c>
      <c r="U1" s="504">
        <f t="shared" si="0"/>
        <v>43686</v>
      </c>
      <c r="V1" s="504">
        <f t="shared" si="0"/>
        <v>43693</v>
      </c>
      <c r="W1" s="504">
        <f t="shared" si="0"/>
        <v>43700</v>
      </c>
      <c r="X1" s="504">
        <f t="shared" si="0"/>
        <v>43707</v>
      </c>
      <c r="Y1" s="504">
        <f t="shared" si="0"/>
        <v>43714</v>
      </c>
      <c r="Z1" s="504">
        <f t="shared" si="0"/>
        <v>43721</v>
      </c>
      <c r="AA1" s="504">
        <f t="shared" si="0"/>
        <v>43728</v>
      </c>
      <c r="AB1" s="504">
        <f t="shared" si="0"/>
        <v>43735</v>
      </c>
      <c r="AC1" s="504">
        <f t="shared" si="0"/>
        <v>43742</v>
      </c>
      <c r="AD1" s="504">
        <f t="shared" si="0"/>
        <v>43749</v>
      </c>
    </row>
    <row r="2" spans="1:33" x14ac:dyDescent="0.25">
      <c r="A2" s="507"/>
      <c r="B2" s="507"/>
      <c r="C2" s="507"/>
      <c r="D2" s="668" t="s">
        <v>609</v>
      </c>
      <c r="E2" s="669"/>
      <c r="F2" s="670"/>
      <c r="G2" s="670"/>
      <c r="H2" s="670"/>
      <c r="I2" s="671"/>
      <c r="K2" s="505"/>
      <c r="L2" s="505"/>
      <c r="M2" s="505" t="s">
        <v>608</v>
      </c>
      <c r="N2" s="506" t="s">
        <v>43</v>
      </c>
      <c r="O2" s="506" t="s">
        <v>28</v>
      </c>
      <c r="P2" s="506" t="s">
        <v>29</v>
      </c>
      <c r="Q2" s="506" t="s">
        <v>30</v>
      </c>
      <c r="R2" s="593" t="s">
        <v>31</v>
      </c>
      <c r="S2" s="506" t="s">
        <v>32</v>
      </c>
      <c r="T2" s="506" t="s">
        <v>33</v>
      </c>
      <c r="U2" s="506" t="s">
        <v>34</v>
      </c>
      <c r="V2" s="506" t="s">
        <v>35</v>
      </c>
      <c r="W2" s="506" t="s">
        <v>36</v>
      </c>
      <c r="X2" s="506" t="s">
        <v>37</v>
      </c>
      <c r="Y2" s="506" t="s">
        <v>38</v>
      </c>
      <c r="Z2" s="506" t="s">
        <v>39</v>
      </c>
      <c r="AA2" s="506" t="s">
        <v>40</v>
      </c>
      <c r="AB2" s="506" t="s">
        <v>41</v>
      </c>
      <c r="AC2" s="506" t="s">
        <v>42</v>
      </c>
      <c r="AD2" s="506" t="s">
        <v>43</v>
      </c>
    </row>
    <row r="3" spans="1:33" ht="18.75" x14ac:dyDescent="0.3">
      <c r="A3" s="510"/>
      <c r="B3" s="510"/>
      <c r="C3" s="510"/>
      <c r="D3" s="672" t="s">
        <v>611</v>
      </c>
      <c r="E3" s="673"/>
      <c r="F3" s="626"/>
      <c r="G3" s="674" t="s">
        <v>612</v>
      </c>
      <c r="H3" s="675"/>
      <c r="I3" s="511"/>
      <c r="K3" s="499"/>
      <c r="L3" s="508"/>
      <c r="M3" s="508" t="s">
        <v>610</v>
      </c>
      <c r="N3" s="509">
        <f>3345+6</f>
        <v>3351</v>
      </c>
      <c r="O3" s="509">
        <v>3345</v>
      </c>
      <c r="P3" s="509">
        <f>O3+O11</f>
        <v>3345</v>
      </c>
      <c r="Q3" s="509">
        <f t="shared" ref="Q3:AD3" si="1">P3+P11</f>
        <v>3435</v>
      </c>
      <c r="R3" s="578">
        <f>Q3+Q11-2</f>
        <v>3433</v>
      </c>
      <c r="S3" s="509">
        <f t="shared" si="1"/>
        <v>3433</v>
      </c>
      <c r="T3" s="509">
        <f t="shared" si="1"/>
        <v>3433</v>
      </c>
      <c r="U3" s="509">
        <f t="shared" si="1"/>
        <v>3433</v>
      </c>
      <c r="V3" s="509">
        <f t="shared" si="1"/>
        <v>3433</v>
      </c>
      <c r="W3" s="509">
        <f t="shared" si="1"/>
        <v>3433</v>
      </c>
      <c r="X3" s="509">
        <f t="shared" si="1"/>
        <v>3433</v>
      </c>
      <c r="Y3" s="509">
        <f t="shared" si="1"/>
        <v>3433</v>
      </c>
      <c r="Z3" s="509">
        <f t="shared" si="1"/>
        <v>3433</v>
      </c>
      <c r="AA3" s="509">
        <f t="shared" si="1"/>
        <v>3433</v>
      </c>
      <c r="AB3" s="509">
        <f t="shared" si="1"/>
        <v>3433</v>
      </c>
      <c r="AC3" s="509">
        <f t="shared" si="1"/>
        <v>3433</v>
      </c>
      <c r="AD3" s="509">
        <f t="shared" si="1"/>
        <v>3433</v>
      </c>
    </row>
    <row r="4" spans="1:33" ht="18.75" x14ac:dyDescent="0.3">
      <c r="A4" s="510"/>
      <c r="B4" s="510"/>
      <c r="C4" s="510"/>
      <c r="D4" s="520"/>
      <c r="E4" s="530"/>
      <c r="F4" s="562"/>
      <c r="G4" s="516"/>
      <c r="H4" s="562"/>
      <c r="I4" s="517"/>
      <c r="K4" s="594" t="s">
        <v>666</v>
      </c>
      <c r="L4" s="594"/>
      <c r="M4" s="595">
        <f>10164100+500000</f>
        <v>10664100</v>
      </c>
      <c r="N4" s="596">
        <f>M4</f>
        <v>10664100</v>
      </c>
      <c r="O4" s="596">
        <f>N4-N13+N23</f>
        <v>10164100</v>
      </c>
      <c r="P4" s="596">
        <f t="shared" ref="P4:AD4" si="2">O4-O13+O23</f>
        <v>9664100</v>
      </c>
      <c r="Q4" s="596">
        <f t="shared" si="2"/>
        <v>9164100</v>
      </c>
      <c r="R4" s="596">
        <f t="shared" si="2"/>
        <v>8664100</v>
      </c>
      <c r="S4" s="596">
        <f t="shared" si="2"/>
        <v>8164100</v>
      </c>
      <c r="T4" s="596">
        <f t="shared" si="2"/>
        <v>7664100</v>
      </c>
      <c r="U4" s="596">
        <f t="shared" si="2"/>
        <v>7164100</v>
      </c>
      <c r="V4" s="596">
        <f t="shared" si="2"/>
        <v>6664100</v>
      </c>
      <c r="W4" s="596">
        <f t="shared" si="2"/>
        <v>6164100</v>
      </c>
      <c r="X4" s="596">
        <f t="shared" si="2"/>
        <v>5664100</v>
      </c>
      <c r="Y4" s="596">
        <f t="shared" si="2"/>
        <v>5164100</v>
      </c>
      <c r="Z4" s="596">
        <f t="shared" si="2"/>
        <v>4664100</v>
      </c>
      <c r="AA4" s="596">
        <f t="shared" si="2"/>
        <v>4164100</v>
      </c>
      <c r="AB4" s="596">
        <f t="shared" si="2"/>
        <v>3664100</v>
      </c>
      <c r="AC4" s="596">
        <f t="shared" si="2"/>
        <v>3164100</v>
      </c>
      <c r="AD4" s="596">
        <f t="shared" si="2"/>
        <v>2664100</v>
      </c>
    </row>
    <row r="5" spans="1:33" ht="18.75" x14ac:dyDescent="0.3">
      <c r="A5" s="515"/>
      <c r="B5" s="515"/>
      <c r="C5" s="515"/>
      <c r="D5" s="520" t="s">
        <v>615</v>
      </c>
      <c r="E5" s="521">
        <f>SUM(E6:E8)</f>
        <v>8627340</v>
      </c>
      <c r="F5" s="600">
        <f>E5/E35</f>
        <v>0.10868323949154676</v>
      </c>
      <c r="G5" s="520" t="s">
        <v>616</v>
      </c>
      <c r="H5" s="610">
        <f>H6+H7</f>
        <v>63454367</v>
      </c>
      <c r="I5" s="522">
        <f>H5/$H$35</f>
        <v>0.79936877014763541</v>
      </c>
      <c r="K5" s="512" t="s">
        <v>613</v>
      </c>
      <c r="L5" s="512"/>
      <c r="M5" s="513">
        <f>16859431-5919847+1711665-500000</f>
        <v>12151249</v>
      </c>
      <c r="N5" s="514">
        <f>M5</f>
        <v>12151249</v>
      </c>
      <c r="O5" s="514">
        <f t="shared" ref="O5:AD5" si="3">N26</f>
        <v>16853431</v>
      </c>
      <c r="P5" s="514">
        <f t="shared" si="3"/>
        <v>11755916</v>
      </c>
      <c r="Q5" s="514">
        <f t="shared" si="3"/>
        <v>12415332</v>
      </c>
      <c r="R5" s="514">
        <f t="shared" si="3"/>
        <v>13710711</v>
      </c>
      <c r="S5" s="514">
        <f t="shared" si="3"/>
        <v>14305050</v>
      </c>
      <c r="T5" s="514">
        <f t="shared" si="3"/>
        <v>15171389</v>
      </c>
      <c r="U5" s="514">
        <f t="shared" si="3"/>
        <v>15737728</v>
      </c>
      <c r="V5" s="514">
        <f t="shared" si="3"/>
        <v>16604067</v>
      </c>
      <c r="W5" s="514">
        <f t="shared" si="3"/>
        <v>17170406</v>
      </c>
      <c r="X5" s="514">
        <f t="shared" si="3"/>
        <v>18036745</v>
      </c>
      <c r="Y5" s="514">
        <f t="shared" si="3"/>
        <v>18603084</v>
      </c>
      <c r="Z5" s="514">
        <f t="shared" si="3"/>
        <v>19469423</v>
      </c>
      <c r="AA5" s="514">
        <f t="shared" si="3"/>
        <v>20035762</v>
      </c>
      <c r="AB5" s="514">
        <f t="shared" si="3"/>
        <v>20902101</v>
      </c>
      <c r="AC5" s="514">
        <f t="shared" si="3"/>
        <v>21468440</v>
      </c>
      <c r="AD5" s="514">
        <f t="shared" si="3"/>
        <v>22034779</v>
      </c>
    </row>
    <row r="6" spans="1:33" x14ac:dyDescent="0.25">
      <c r="A6" s="518" t="str">
        <f t="shared" ref="A6:A13" si="4">L6</f>
        <v>Taquillas</v>
      </c>
      <c r="B6" s="519">
        <f t="shared" ref="B6:B13" si="5">M6/$M$14</f>
        <v>0.1310719019093409</v>
      </c>
      <c r="D6" s="523" t="s">
        <v>618</v>
      </c>
      <c r="E6" s="524">
        <v>4158040</v>
      </c>
      <c r="F6" s="601">
        <f>E6/E35</f>
        <v>5.2381064978942647E-2</v>
      </c>
      <c r="G6" s="525" t="s">
        <v>619</v>
      </c>
      <c r="H6" s="611">
        <v>300000</v>
      </c>
      <c r="I6" s="526">
        <f>H6/$H$35</f>
        <v>3.7792612609986423E-3</v>
      </c>
      <c r="K6" s="574" t="s">
        <v>614</v>
      </c>
      <c r="L6" s="574" t="s">
        <v>614</v>
      </c>
      <c r="M6" s="591">
        <f t="shared" ref="M6:M25" si="6">SUM(N6:AD6)</f>
        <v>2788086</v>
      </c>
      <c r="N6" s="575">
        <v>27384</v>
      </c>
      <c r="O6" s="575">
        <f>2819+34650</f>
        <v>37469</v>
      </c>
      <c r="P6" s="575">
        <v>34650</v>
      </c>
      <c r="Q6" s="575">
        <f>734316+34267</f>
        <v>768583</v>
      </c>
      <c r="R6" s="575">
        <v>60000</v>
      </c>
      <c r="S6" s="575">
        <v>330000</v>
      </c>
      <c r="T6" s="575">
        <v>30000</v>
      </c>
      <c r="U6" s="575">
        <v>330000</v>
      </c>
      <c r="V6" s="575">
        <v>30000</v>
      </c>
      <c r="W6" s="575">
        <v>330000</v>
      </c>
      <c r="X6" s="575">
        <v>30000</v>
      </c>
      <c r="Y6" s="575">
        <v>330000</v>
      </c>
      <c r="Z6" s="575">
        <v>30000</v>
      </c>
      <c r="AA6" s="575">
        <v>330000</v>
      </c>
      <c r="AB6" s="575">
        <v>30000</v>
      </c>
      <c r="AC6" s="575">
        <v>30000</v>
      </c>
      <c r="AD6" s="575">
        <v>30000</v>
      </c>
    </row>
    <row r="7" spans="1:33" x14ac:dyDescent="0.25">
      <c r="A7" s="518" t="str">
        <f t="shared" si="4"/>
        <v>Patrocinadores</v>
      </c>
      <c r="B7" s="519">
        <f t="shared" si="5"/>
        <v>0.19746651658111841</v>
      </c>
      <c r="D7" s="523" t="s">
        <v>622</v>
      </c>
      <c r="E7" s="524">
        <f>1916000+300+2553000</f>
        <v>4469300</v>
      </c>
      <c r="F7" s="601">
        <f>E7/E35</f>
        <v>5.6302174512604108E-2</v>
      </c>
      <c r="G7" s="525" t="s">
        <v>623</v>
      </c>
      <c r="H7" s="611">
        <f>63609618-455251</f>
        <v>63154367</v>
      </c>
      <c r="I7" s="526">
        <f>H7/$H$35</f>
        <v>0.79558950888663682</v>
      </c>
      <c r="K7" s="574" t="s">
        <v>617</v>
      </c>
      <c r="L7" s="574" t="s">
        <v>617</v>
      </c>
      <c r="M7" s="591">
        <f t="shared" si="6"/>
        <v>4200394</v>
      </c>
      <c r="N7" s="576">
        <v>270844</v>
      </c>
      <c r="O7" s="576">
        <v>187040</v>
      </c>
      <c r="P7" s="576">
        <v>224225</v>
      </c>
      <c r="Q7" s="576">
        <v>246055</v>
      </c>
      <c r="R7" s="576">
        <v>257710</v>
      </c>
      <c r="S7" s="576">
        <f t="shared" ref="R7:AD7" si="7">R7-1000</f>
        <v>256710</v>
      </c>
      <c r="T7" s="576">
        <f t="shared" si="7"/>
        <v>255710</v>
      </c>
      <c r="U7" s="576">
        <f t="shared" si="7"/>
        <v>254710</v>
      </c>
      <c r="V7" s="576">
        <f t="shared" si="7"/>
        <v>253710</v>
      </c>
      <c r="W7" s="576">
        <f t="shared" si="7"/>
        <v>252710</v>
      </c>
      <c r="X7" s="576">
        <f t="shared" si="7"/>
        <v>251710</v>
      </c>
      <c r="Y7" s="576">
        <f t="shared" si="7"/>
        <v>250710</v>
      </c>
      <c r="Z7" s="576">
        <f t="shared" si="7"/>
        <v>249710</v>
      </c>
      <c r="AA7" s="576">
        <f t="shared" si="7"/>
        <v>248710</v>
      </c>
      <c r="AB7" s="576">
        <f t="shared" si="7"/>
        <v>247710</v>
      </c>
      <c r="AC7" s="576">
        <f t="shared" si="7"/>
        <v>246710</v>
      </c>
      <c r="AD7" s="576">
        <f t="shared" si="7"/>
        <v>245710</v>
      </c>
    </row>
    <row r="8" spans="1:33" x14ac:dyDescent="0.25">
      <c r="A8" s="518" t="str">
        <f t="shared" si="4"/>
        <v>Ventas</v>
      </c>
      <c r="B8" s="519">
        <f t="shared" si="5"/>
        <v>0.18312074452561333</v>
      </c>
      <c r="D8" s="527" t="s">
        <v>625</v>
      </c>
      <c r="E8" s="528">
        <v>0</v>
      </c>
      <c r="F8" s="601">
        <f>E8/E35</f>
        <v>0</v>
      </c>
      <c r="G8" s="531"/>
      <c r="H8" s="609"/>
      <c r="I8" s="522"/>
      <c r="K8" s="574" t="s">
        <v>620</v>
      </c>
      <c r="L8" s="574" t="s">
        <v>621</v>
      </c>
      <c r="M8" s="591">
        <f t="shared" si="6"/>
        <v>3895239</v>
      </c>
      <c r="N8" s="575">
        <f>959086+1751596+1184557</f>
        <v>3895239</v>
      </c>
      <c r="O8" s="575">
        <v>0</v>
      </c>
      <c r="P8" s="575">
        <v>0</v>
      </c>
      <c r="Q8" s="575">
        <v>0</v>
      </c>
      <c r="R8" s="575">
        <v>0</v>
      </c>
      <c r="S8" s="575">
        <v>0</v>
      </c>
      <c r="T8" s="575">
        <v>0</v>
      </c>
      <c r="U8" s="575">
        <v>0</v>
      </c>
      <c r="V8" s="575">
        <v>0</v>
      </c>
      <c r="W8" s="575">
        <v>0</v>
      </c>
      <c r="X8" s="575">
        <v>0</v>
      </c>
      <c r="Y8" s="575">
        <v>0</v>
      </c>
      <c r="Z8" s="575">
        <v>0</v>
      </c>
      <c r="AA8" s="575">
        <v>0</v>
      </c>
      <c r="AB8" s="575">
        <v>0</v>
      </c>
      <c r="AC8" s="575">
        <v>0</v>
      </c>
      <c r="AD8" s="575">
        <v>0</v>
      </c>
      <c r="AF8" s="501"/>
      <c r="AG8" s="501"/>
    </row>
    <row r="9" spans="1:33" x14ac:dyDescent="0.25">
      <c r="A9" s="518" t="str">
        <f t="shared" si="4"/>
        <v>VentasCantera</v>
      </c>
      <c r="B9" s="519">
        <f t="shared" si="5"/>
        <v>2.425084470132324E-2</v>
      </c>
      <c r="D9" s="529"/>
      <c r="E9" s="530"/>
      <c r="F9" s="600"/>
      <c r="G9" s="531"/>
      <c r="H9" s="609"/>
      <c r="I9" s="522"/>
      <c r="K9" s="574"/>
      <c r="L9" s="574" t="s">
        <v>624</v>
      </c>
      <c r="M9" s="591">
        <f t="shared" si="6"/>
        <v>515850</v>
      </c>
      <c r="N9" s="575">
        <f>515850</f>
        <v>515850</v>
      </c>
      <c r="O9" s="575">
        <v>0</v>
      </c>
      <c r="P9" s="575">
        <v>0</v>
      </c>
      <c r="Q9" s="575">
        <v>0</v>
      </c>
      <c r="R9" s="575">
        <v>0</v>
      </c>
      <c r="S9" s="575">
        <v>0</v>
      </c>
      <c r="T9" s="575">
        <v>0</v>
      </c>
      <c r="U9" s="575">
        <v>0</v>
      </c>
      <c r="V9" s="575">
        <v>0</v>
      </c>
      <c r="W9" s="575">
        <v>0</v>
      </c>
      <c r="X9" s="575">
        <v>0</v>
      </c>
      <c r="Y9" s="575">
        <v>0</v>
      </c>
      <c r="Z9" s="575">
        <v>0</v>
      </c>
      <c r="AA9" s="575">
        <v>0</v>
      </c>
      <c r="AB9" s="575">
        <v>0</v>
      </c>
      <c r="AC9" s="575">
        <v>0</v>
      </c>
      <c r="AD9" s="575">
        <v>0</v>
      </c>
    </row>
    <row r="10" spans="1:33" x14ac:dyDescent="0.25">
      <c r="A10" s="518" t="str">
        <f t="shared" si="4"/>
        <v>Comisiones</v>
      </c>
      <c r="B10" s="519">
        <f t="shared" si="5"/>
        <v>1.0400573088101672E-2</v>
      </c>
      <c r="D10" s="520" t="s">
        <v>668</v>
      </c>
      <c r="E10" s="521">
        <f>E11+E12+E13</f>
        <v>2164100</v>
      </c>
      <c r="F10" s="600">
        <f>E10/E35</f>
        <v>2.7262330983090541E-2</v>
      </c>
      <c r="G10" s="520" t="s">
        <v>630</v>
      </c>
      <c r="H10" s="610">
        <f>SUM(H11:H16)</f>
        <v>5104671</v>
      </c>
      <c r="I10" s="522">
        <f t="shared" ref="I10:I16" si="8">H10/$H$35</f>
        <v>6.4306284534810673E-2</v>
      </c>
      <c r="K10" s="574" t="s">
        <v>626</v>
      </c>
      <c r="L10" s="574" t="s">
        <v>626</v>
      </c>
      <c r="M10" s="591">
        <f t="shared" si="6"/>
        <v>221235</v>
      </c>
      <c r="N10" s="576">
        <v>60000</v>
      </c>
      <c r="O10" s="576">
        <f>15320+1915</f>
        <v>17235</v>
      </c>
      <c r="P10" s="576">
        <v>120000</v>
      </c>
      <c r="Q10" s="576">
        <v>0</v>
      </c>
      <c r="R10" s="576">
        <v>0</v>
      </c>
      <c r="S10" s="576">
        <v>2000</v>
      </c>
      <c r="T10" s="576">
        <f t="shared" ref="S10:AD10" si="9">S10</f>
        <v>2000</v>
      </c>
      <c r="U10" s="576">
        <f t="shared" si="9"/>
        <v>2000</v>
      </c>
      <c r="V10" s="576">
        <f t="shared" si="9"/>
        <v>2000</v>
      </c>
      <c r="W10" s="576">
        <f t="shared" si="9"/>
        <v>2000</v>
      </c>
      <c r="X10" s="576">
        <f t="shared" si="9"/>
        <v>2000</v>
      </c>
      <c r="Y10" s="576">
        <f t="shared" si="9"/>
        <v>2000</v>
      </c>
      <c r="Z10" s="576">
        <f t="shared" si="9"/>
        <v>2000</v>
      </c>
      <c r="AA10" s="576">
        <f t="shared" si="9"/>
        <v>2000</v>
      </c>
      <c r="AB10" s="576">
        <f t="shared" si="9"/>
        <v>2000</v>
      </c>
      <c r="AC10" s="576">
        <f t="shared" si="9"/>
        <v>2000</v>
      </c>
      <c r="AD10" s="576">
        <f t="shared" si="9"/>
        <v>2000</v>
      </c>
    </row>
    <row r="11" spans="1:33" x14ac:dyDescent="0.25">
      <c r="A11" s="518" t="str">
        <f t="shared" si="4"/>
        <v>Nuevos Socios</v>
      </c>
      <c r="B11" s="519">
        <f t="shared" si="5"/>
        <v>4.7302898010025095E-3</v>
      </c>
      <c r="D11" s="532" t="s">
        <v>673</v>
      </c>
      <c r="E11" s="533">
        <f>N4</f>
        <v>10664100</v>
      </c>
      <c r="F11" s="601">
        <f>E11/E35</f>
        <v>0.13434140004471873</v>
      </c>
      <c r="G11" s="555" t="s">
        <v>633</v>
      </c>
      <c r="H11" s="623">
        <v>0</v>
      </c>
      <c r="I11" s="526">
        <f t="shared" si="8"/>
        <v>0</v>
      </c>
      <c r="K11" s="678" t="s">
        <v>627</v>
      </c>
      <c r="L11" s="574" t="s">
        <v>628</v>
      </c>
      <c r="M11" s="591">
        <f t="shared" si="6"/>
        <v>100620</v>
      </c>
      <c r="N11" s="576">
        <v>100530</v>
      </c>
      <c r="O11" s="576">
        <v>0</v>
      </c>
      <c r="P11" s="576">
        <f>30+60</f>
        <v>90</v>
      </c>
      <c r="Q11" s="576">
        <v>0</v>
      </c>
      <c r="R11" s="576">
        <f t="shared" ref="R11:AD11" si="10">Q11</f>
        <v>0</v>
      </c>
      <c r="S11" s="576">
        <f t="shared" si="10"/>
        <v>0</v>
      </c>
      <c r="T11" s="576">
        <f t="shared" si="10"/>
        <v>0</v>
      </c>
      <c r="U11" s="576">
        <f t="shared" si="10"/>
        <v>0</v>
      </c>
      <c r="V11" s="576">
        <f t="shared" si="10"/>
        <v>0</v>
      </c>
      <c r="W11" s="576">
        <f t="shared" si="10"/>
        <v>0</v>
      </c>
      <c r="X11" s="576">
        <f t="shared" si="10"/>
        <v>0</v>
      </c>
      <c r="Y11" s="576">
        <f t="shared" si="10"/>
        <v>0</v>
      </c>
      <c r="Z11" s="576">
        <f t="shared" si="10"/>
        <v>0</v>
      </c>
      <c r="AA11" s="576">
        <f t="shared" si="10"/>
        <v>0</v>
      </c>
      <c r="AB11" s="576">
        <f t="shared" si="10"/>
        <v>0</v>
      </c>
      <c r="AC11" s="576">
        <f t="shared" si="10"/>
        <v>0</v>
      </c>
      <c r="AD11" s="576">
        <f t="shared" si="10"/>
        <v>0</v>
      </c>
    </row>
    <row r="12" spans="1:33" x14ac:dyDescent="0.25">
      <c r="A12" s="518" t="str">
        <f t="shared" si="4"/>
        <v>Premios</v>
      </c>
      <c r="B12" s="519">
        <f t="shared" si="5"/>
        <v>4.936199851970418E-2</v>
      </c>
      <c r="D12" s="532" t="str">
        <f>L13</f>
        <v>Ing Reservas</v>
      </c>
      <c r="E12" s="533">
        <f>M13*-1</f>
        <v>-8500000</v>
      </c>
      <c r="F12" s="601">
        <f>E12/E35</f>
        <v>-0.1070790690616282</v>
      </c>
      <c r="G12" s="624" t="s">
        <v>635</v>
      </c>
      <c r="H12" s="625">
        <v>0</v>
      </c>
      <c r="I12" s="599">
        <f t="shared" si="8"/>
        <v>0</v>
      </c>
      <c r="K12" s="679"/>
      <c r="L12" s="574" t="s">
        <v>631</v>
      </c>
      <c r="M12" s="591">
        <f t="shared" si="6"/>
        <v>1050000</v>
      </c>
      <c r="N12" s="576">
        <v>1050000</v>
      </c>
      <c r="O12" s="576">
        <v>0</v>
      </c>
      <c r="P12" s="576">
        <v>0</v>
      </c>
      <c r="Q12" s="576">
        <v>0</v>
      </c>
      <c r="R12" s="576">
        <v>0</v>
      </c>
      <c r="S12" s="576">
        <v>0</v>
      </c>
      <c r="T12" s="576">
        <v>0</v>
      </c>
      <c r="U12" s="576">
        <v>0</v>
      </c>
      <c r="V12" s="576">
        <v>0</v>
      </c>
      <c r="W12" s="576">
        <v>0</v>
      </c>
      <c r="X12" s="576">
        <v>0</v>
      </c>
      <c r="Y12" s="576">
        <v>0</v>
      </c>
      <c r="Z12" s="576">
        <v>0</v>
      </c>
      <c r="AA12" s="576">
        <v>0</v>
      </c>
      <c r="AB12" s="576">
        <v>0</v>
      </c>
      <c r="AC12" s="576">
        <v>0</v>
      </c>
      <c r="AD12" s="576">
        <v>0</v>
      </c>
    </row>
    <row r="13" spans="1:33" s="590" customFormat="1" ht="18.75" x14ac:dyDescent="0.3">
      <c r="A13" s="518" t="str">
        <f t="shared" si="4"/>
        <v>Ing Reservas</v>
      </c>
      <c r="B13" s="519">
        <f t="shared" si="5"/>
        <v>0.39959713087379578</v>
      </c>
      <c r="C13" s="588"/>
      <c r="D13" s="532" t="str">
        <f>L23</f>
        <v>Pago Reservas</v>
      </c>
      <c r="E13" s="533">
        <f>M23</f>
        <v>0</v>
      </c>
      <c r="F13" s="601">
        <f>E13/E35</f>
        <v>0</v>
      </c>
      <c r="G13" s="555" t="s">
        <v>638</v>
      </c>
      <c r="H13" s="623">
        <f>515850</f>
        <v>515850</v>
      </c>
      <c r="I13" s="526">
        <f t="shared" si="8"/>
        <v>6.4984397382871657E-3</v>
      </c>
      <c r="K13" s="680"/>
      <c r="L13" s="574" t="s">
        <v>669</v>
      </c>
      <c r="M13" s="591">
        <f t="shared" si="6"/>
        <v>8500000</v>
      </c>
      <c r="N13" s="576">
        <v>500000</v>
      </c>
      <c r="O13" s="576">
        <f>N13</f>
        <v>500000</v>
      </c>
      <c r="P13" s="576">
        <f t="shared" ref="P13:AD13" si="11">O13</f>
        <v>500000</v>
      </c>
      <c r="Q13" s="576">
        <f t="shared" si="11"/>
        <v>500000</v>
      </c>
      <c r="R13" s="576">
        <f t="shared" si="11"/>
        <v>500000</v>
      </c>
      <c r="S13" s="576">
        <f t="shared" si="11"/>
        <v>500000</v>
      </c>
      <c r="T13" s="576">
        <f t="shared" si="11"/>
        <v>500000</v>
      </c>
      <c r="U13" s="576">
        <f t="shared" si="11"/>
        <v>500000</v>
      </c>
      <c r="V13" s="576">
        <f t="shared" si="11"/>
        <v>500000</v>
      </c>
      <c r="W13" s="576">
        <f t="shared" si="11"/>
        <v>500000</v>
      </c>
      <c r="X13" s="576">
        <f t="shared" si="11"/>
        <v>500000</v>
      </c>
      <c r="Y13" s="576">
        <f t="shared" si="11"/>
        <v>500000</v>
      </c>
      <c r="Z13" s="576">
        <f t="shared" si="11"/>
        <v>500000</v>
      </c>
      <c r="AA13" s="576">
        <f t="shared" si="11"/>
        <v>500000</v>
      </c>
      <c r="AB13" s="576">
        <f t="shared" si="11"/>
        <v>500000</v>
      </c>
      <c r="AC13" s="576">
        <f t="shared" si="11"/>
        <v>500000</v>
      </c>
      <c r="AD13" s="576">
        <f t="shared" si="11"/>
        <v>500000</v>
      </c>
    </row>
    <row r="14" spans="1:33" ht="18.75" x14ac:dyDescent="0.3">
      <c r="A14" s="588"/>
      <c r="B14" s="589">
        <f>SUM(B6:B13)</f>
        <v>1</v>
      </c>
      <c r="D14" s="529"/>
      <c r="E14" s="603"/>
      <c r="G14" s="555" t="s">
        <v>641</v>
      </c>
      <c r="H14" s="623">
        <f>959086-941000-910+1751596-1140-1841100+1184557-1900-1169788</f>
        <v>-60599</v>
      </c>
      <c r="I14" s="526">
        <f t="shared" si="8"/>
        <v>-7.6339817718418907E-4</v>
      </c>
      <c r="K14" s="585" t="s">
        <v>634</v>
      </c>
      <c r="L14" s="586"/>
      <c r="M14" s="592">
        <f t="shared" si="6"/>
        <v>21271424</v>
      </c>
      <c r="N14" s="587">
        <f>SUM(N6:N13)</f>
        <v>6419847</v>
      </c>
      <c r="O14" s="587">
        <f t="shared" ref="O14:AD14" si="12">SUM(O6:O13)</f>
        <v>741744</v>
      </c>
      <c r="P14" s="587">
        <f t="shared" si="12"/>
        <v>878965</v>
      </c>
      <c r="Q14" s="587">
        <f t="shared" si="12"/>
        <v>1514638</v>
      </c>
      <c r="R14" s="587">
        <f t="shared" si="12"/>
        <v>817710</v>
      </c>
      <c r="S14" s="587">
        <f t="shared" si="12"/>
        <v>1088710</v>
      </c>
      <c r="T14" s="587">
        <f t="shared" si="12"/>
        <v>787710</v>
      </c>
      <c r="U14" s="587">
        <f t="shared" si="12"/>
        <v>1086710</v>
      </c>
      <c r="V14" s="587">
        <f t="shared" si="12"/>
        <v>785710</v>
      </c>
      <c r="W14" s="587">
        <f t="shared" si="12"/>
        <v>1084710</v>
      </c>
      <c r="X14" s="587">
        <f t="shared" si="12"/>
        <v>783710</v>
      </c>
      <c r="Y14" s="587">
        <f t="shared" si="12"/>
        <v>1082710</v>
      </c>
      <c r="Z14" s="587">
        <f t="shared" si="12"/>
        <v>781710</v>
      </c>
      <c r="AA14" s="587">
        <f t="shared" si="12"/>
        <v>1080710</v>
      </c>
      <c r="AB14" s="587">
        <f t="shared" si="12"/>
        <v>779710</v>
      </c>
      <c r="AC14" s="587">
        <f t="shared" si="12"/>
        <v>778710</v>
      </c>
      <c r="AD14" s="587">
        <f t="shared" si="12"/>
        <v>777710</v>
      </c>
    </row>
    <row r="15" spans="1:33" ht="18.75" x14ac:dyDescent="0.3">
      <c r="A15" s="676">
        <f>M14</f>
        <v>21271424</v>
      </c>
      <c r="B15" s="676"/>
      <c r="D15" s="520" t="s">
        <v>629</v>
      </c>
      <c r="E15" s="521">
        <f>SUM(E16:E19)</f>
        <v>35166480</v>
      </c>
      <c r="F15" s="600">
        <f>E15/E35</f>
        <v>0.44301105183227846</v>
      </c>
      <c r="G15" s="555" t="s">
        <v>643</v>
      </c>
      <c r="H15" s="623">
        <v>0</v>
      </c>
      <c r="I15" s="526">
        <f t="shared" si="8"/>
        <v>0</v>
      </c>
      <c r="K15" s="581" t="s">
        <v>636</v>
      </c>
      <c r="L15" s="582" t="str">
        <f>K15</f>
        <v>Sueldos</v>
      </c>
      <c r="M15" s="534">
        <f t="shared" si="6"/>
        <v>1372506</v>
      </c>
      <c r="N15" s="579">
        <v>82664</v>
      </c>
      <c r="O15" s="579">
        <v>79866</v>
      </c>
      <c r="P15" s="579">
        <v>85172</v>
      </c>
      <c r="Q15" s="579">
        <v>84882</v>
      </c>
      <c r="R15" s="579">
        <v>85994</v>
      </c>
      <c r="S15" s="579">
        <f t="shared" ref="R15:AD15" si="13">R15-1000</f>
        <v>84994</v>
      </c>
      <c r="T15" s="579">
        <f t="shared" si="13"/>
        <v>83994</v>
      </c>
      <c r="U15" s="579">
        <f t="shared" si="13"/>
        <v>82994</v>
      </c>
      <c r="V15" s="579">
        <f t="shared" si="13"/>
        <v>81994</v>
      </c>
      <c r="W15" s="579">
        <f t="shared" si="13"/>
        <v>80994</v>
      </c>
      <c r="X15" s="579">
        <f t="shared" si="13"/>
        <v>79994</v>
      </c>
      <c r="Y15" s="579">
        <f t="shared" si="13"/>
        <v>78994</v>
      </c>
      <c r="Z15" s="579">
        <f t="shared" si="13"/>
        <v>77994</v>
      </c>
      <c r="AA15" s="579">
        <f t="shared" si="13"/>
        <v>76994</v>
      </c>
      <c r="AB15" s="579">
        <f t="shared" si="13"/>
        <v>75994</v>
      </c>
      <c r="AC15" s="579">
        <f t="shared" si="13"/>
        <v>74994</v>
      </c>
      <c r="AD15" s="579">
        <f t="shared" si="13"/>
        <v>73994</v>
      </c>
    </row>
    <row r="16" spans="1:33" x14ac:dyDescent="0.25">
      <c r="D16" s="532" t="s">
        <v>632</v>
      </c>
      <c r="E16" s="533">
        <v>0</v>
      </c>
      <c r="F16" s="601">
        <f>E16/E35</f>
        <v>0</v>
      </c>
      <c r="G16" s="618" t="s">
        <v>645</v>
      </c>
      <c r="H16" s="612">
        <f>E29-H26</f>
        <v>4649420</v>
      </c>
      <c r="I16" s="526">
        <f t="shared" si="8"/>
        <v>5.8571242973707693E-2</v>
      </c>
      <c r="K16" s="581" t="s">
        <v>639</v>
      </c>
      <c r="L16" s="582" t="str">
        <f>K16</f>
        <v xml:space="preserve">Mantenimiento </v>
      </c>
      <c r="M16" s="534">
        <f t="shared" si="6"/>
        <v>834649</v>
      </c>
      <c r="N16" s="579">
        <v>49097</v>
      </c>
      <c r="O16" s="579">
        <f>N16</f>
        <v>49097</v>
      </c>
      <c r="P16" s="579">
        <f t="shared" ref="P16:AD16" si="14">O16</f>
        <v>49097</v>
      </c>
      <c r="Q16" s="579">
        <f t="shared" si="14"/>
        <v>49097</v>
      </c>
      <c r="R16" s="579">
        <f t="shared" si="14"/>
        <v>49097</v>
      </c>
      <c r="S16" s="579">
        <f t="shared" si="14"/>
        <v>49097</v>
      </c>
      <c r="T16" s="579">
        <f t="shared" si="14"/>
        <v>49097</v>
      </c>
      <c r="U16" s="579">
        <f t="shared" si="14"/>
        <v>49097</v>
      </c>
      <c r="V16" s="579">
        <f t="shared" si="14"/>
        <v>49097</v>
      </c>
      <c r="W16" s="579">
        <f t="shared" si="14"/>
        <v>49097</v>
      </c>
      <c r="X16" s="579">
        <f t="shared" si="14"/>
        <v>49097</v>
      </c>
      <c r="Y16" s="579">
        <f t="shared" si="14"/>
        <v>49097</v>
      </c>
      <c r="Z16" s="579">
        <f t="shared" si="14"/>
        <v>49097</v>
      </c>
      <c r="AA16" s="579">
        <f t="shared" si="14"/>
        <v>49097</v>
      </c>
      <c r="AB16" s="579">
        <f t="shared" si="14"/>
        <v>49097</v>
      </c>
      <c r="AC16" s="579">
        <f t="shared" si="14"/>
        <v>49097</v>
      </c>
      <c r="AD16" s="579">
        <f t="shared" si="14"/>
        <v>49097</v>
      </c>
    </row>
    <row r="17" spans="1:30" ht="15.75" customHeight="1" x14ac:dyDescent="0.25">
      <c r="D17" s="597" t="s">
        <v>629</v>
      </c>
      <c r="E17" s="598">
        <f>11662680+35000</f>
        <v>11697680</v>
      </c>
      <c r="F17" s="602">
        <f>E17/E35</f>
        <v>0.14736196289186199</v>
      </c>
      <c r="G17" s="529"/>
      <c r="H17" s="609"/>
      <c r="I17" s="538"/>
      <c r="K17" s="581" t="s">
        <v>642</v>
      </c>
      <c r="L17" s="582" t="s">
        <v>618</v>
      </c>
      <c r="M17" s="534">
        <f t="shared" si="6"/>
        <v>0</v>
      </c>
      <c r="N17" s="579">
        <v>0</v>
      </c>
      <c r="O17" s="579">
        <v>0</v>
      </c>
      <c r="P17" s="579">
        <v>0</v>
      </c>
      <c r="Q17" s="579">
        <v>0</v>
      </c>
      <c r="R17" s="579">
        <v>0</v>
      </c>
      <c r="S17" s="579">
        <v>0</v>
      </c>
      <c r="T17" s="579">
        <v>0</v>
      </c>
      <c r="U17" s="579">
        <v>0</v>
      </c>
      <c r="V17" s="579">
        <v>0</v>
      </c>
      <c r="W17" s="579">
        <v>0</v>
      </c>
      <c r="X17" s="579">
        <v>0</v>
      </c>
      <c r="Y17" s="579">
        <v>0</v>
      </c>
      <c r="Z17" s="579">
        <v>0</v>
      </c>
      <c r="AA17" s="579">
        <v>0</v>
      </c>
      <c r="AB17" s="579">
        <v>0</v>
      </c>
      <c r="AC17" s="579">
        <v>0</v>
      </c>
      <c r="AD17" s="579">
        <v>0</v>
      </c>
    </row>
    <row r="18" spans="1:30" x14ac:dyDescent="0.25">
      <c r="D18" s="532" t="s">
        <v>637</v>
      </c>
      <c r="E18" s="533">
        <f>3852540+924+1308000+870+4689000+1490+1887000+1044+740000+948+2327000+684</f>
        <v>14809500</v>
      </c>
      <c r="F18" s="601">
        <f>E18/E35</f>
        <v>0.18656323214919798</v>
      </c>
      <c r="G18" s="520" t="s">
        <v>649</v>
      </c>
      <c r="H18" s="613">
        <f>H19</f>
        <v>7110640</v>
      </c>
      <c r="I18" s="522">
        <f>H18/$H$35</f>
        <v>8.9576554309691289E-2</v>
      </c>
      <c r="K18" s="581" t="s">
        <v>644</v>
      </c>
      <c r="L18" s="582" t="str">
        <f>K18</f>
        <v>Empleados</v>
      </c>
      <c r="M18" s="534">
        <f t="shared" si="6"/>
        <v>1109760</v>
      </c>
      <c r="N18" s="579">
        <v>65280</v>
      </c>
      <c r="O18" s="579">
        <f>N18</f>
        <v>65280</v>
      </c>
      <c r="P18" s="579">
        <f t="shared" ref="P18:AD18" si="15">O18</f>
        <v>65280</v>
      </c>
      <c r="Q18" s="579">
        <f t="shared" si="15"/>
        <v>65280</v>
      </c>
      <c r="R18" s="579">
        <f t="shared" si="15"/>
        <v>65280</v>
      </c>
      <c r="S18" s="579">
        <f t="shared" si="15"/>
        <v>65280</v>
      </c>
      <c r="T18" s="579">
        <f t="shared" si="15"/>
        <v>65280</v>
      </c>
      <c r="U18" s="579">
        <f t="shared" si="15"/>
        <v>65280</v>
      </c>
      <c r="V18" s="579">
        <f t="shared" si="15"/>
        <v>65280</v>
      </c>
      <c r="W18" s="579">
        <f t="shared" si="15"/>
        <v>65280</v>
      </c>
      <c r="X18" s="579">
        <f t="shared" si="15"/>
        <v>65280</v>
      </c>
      <c r="Y18" s="579">
        <f t="shared" si="15"/>
        <v>65280</v>
      </c>
      <c r="Z18" s="579">
        <f t="shared" si="15"/>
        <v>65280</v>
      </c>
      <c r="AA18" s="579">
        <f t="shared" si="15"/>
        <v>65280</v>
      </c>
      <c r="AB18" s="579">
        <f t="shared" si="15"/>
        <v>65280</v>
      </c>
      <c r="AC18" s="579">
        <f t="shared" si="15"/>
        <v>65280</v>
      </c>
      <c r="AD18" s="579">
        <f t="shared" si="15"/>
        <v>65280</v>
      </c>
    </row>
    <row r="19" spans="1:30" x14ac:dyDescent="0.25">
      <c r="D19" s="532" t="s">
        <v>640</v>
      </c>
      <c r="E19" s="533">
        <f>1486140+2484+1548000+660+3600000+3132+2017000+1884</f>
        <v>8659300</v>
      </c>
      <c r="F19" s="601">
        <f>E19/E35</f>
        <v>0.10908585679121847</v>
      </c>
      <c r="G19" s="539" t="s">
        <v>648</v>
      </c>
      <c r="H19" s="614">
        <f>M20</f>
        <v>7110640</v>
      </c>
      <c r="I19" s="526">
        <f>H19/$H$35</f>
        <v>8.9576554309691289E-2</v>
      </c>
      <c r="K19" s="581" t="s">
        <v>646</v>
      </c>
      <c r="L19" s="582" t="str">
        <f>K19</f>
        <v>Juveniles</v>
      </c>
      <c r="M19" s="534">
        <f t="shared" si="6"/>
        <v>340000</v>
      </c>
      <c r="N19" s="579">
        <v>20000</v>
      </c>
      <c r="O19" s="579">
        <f>N19</f>
        <v>20000</v>
      </c>
      <c r="P19" s="579">
        <f t="shared" ref="P19:AD19" si="16">O19</f>
        <v>20000</v>
      </c>
      <c r="Q19" s="579">
        <f t="shared" si="16"/>
        <v>20000</v>
      </c>
      <c r="R19" s="579">
        <f t="shared" si="16"/>
        <v>20000</v>
      </c>
      <c r="S19" s="579">
        <f t="shared" si="16"/>
        <v>20000</v>
      </c>
      <c r="T19" s="579">
        <f t="shared" si="16"/>
        <v>20000</v>
      </c>
      <c r="U19" s="579">
        <f t="shared" si="16"/>
        <v>20000</v>
      </c>
      <c r="V19" s="579">
        <f t="shared" si="16"/>
        <v>20000</v>
      </c>
      <c r="W19" s="579">
        <f t="shared" si="16"/>
        <v>20000</v>
      </c>
      <c r="X19" s="579">
        <f t="shared" si="16"/>
        <v>20000</v>
      </c>
      <c r="Y19" s="579">
        <f t="shared" si="16"/>
        <v>20000</v>
      </c>
      <c r="Z19" s="579">
        <f t="shared" si="16"/>
        <v>20000</v>
      </c>
      <c r="AA19" s="579">
        <f t="shared" si="16"/>
        <v>20000</v>
      </c>
      <c r="AB19" s="579">
        <f t="shared" si="16"/>
        <v>20000</v>
      </c>
      <c r="AC19" s="579">
        <f t="shared" si="16"/>
        <v>20000</v>
      </c>
      <c r="AD19" s="579">
        <f t="shared" si="16"/>
        <v>20000</v>
      </c>
    </row>
    <row r="20" spans="1:30" x14ac:dyDescent="0.25">
      <c r="D20" s="529"/>
      <c r="E20" s="603"/>
      <c r="F20" s="606"/>
      <c r="G20" s="535"/>
      <c r="H20" s="615"/>
      <c r="I20" s="540"/>
      <c r="K20" s="581" t="s">
        <v>647</v>
      </c>
      <c r="L20" s="582" t="s">
        <v>648</v>
      </c>
      <c r="M20" s="534">
        <f t="shared" si="6"/>
        <v>7110640</v>
      </c>
      <c r="N20" s="579">
        <f>1486140+2484</f>
        <v>1488624</v>
      </c>
      <c r="O20" s="579">
        <f>3600000+3132+2017000+1884</f>
        <v>5622016</v>
      </c>
      <c r="P20" s="579">
        <v>0</v>
      </c>
      <c r="Q20" s="579">
        <f t="shared" ref="Q20:AD20" si="17">P20</f>
        <v>0</v>
      </c>
      <c r="R20" s="579">
        <f t="shared" si="17"/>
        <v>0</v>
      </c>
      <c r="S20" s="579">
        <f t="shared" si="17"/>
        <v>0</v>
      </c>
      <c r="T20" s="579">
        <f t="shared" si="17"/>
        <v>0</v>
      </c>
      <c r="U20" s="579">
        <f t="shared" si="17"/>
        <v>0</v>
      </c>
      <c r="V20" s="579">
        <f t="shared" si="17"/>
        <v>0</v>
      </c>
      <c r="W20" s="579">
        <f t="shared" si="17"/>
        <v>0</v>
      </c>
      <c r="X20" s="579">
        <f t="shared" si="17"/>
        <v>0</v>
      </c>
      <c r="Y20" s="579">
        <f t="shared" si="17"/>
        <v>0</v>
      </c>
      <c r="Z20" s="579">
        <f t="shared" si="17"/>
        <v>0</v>
      </c>
      <c r="AA20" s="579">
        <f t="shared" si="17"/>
        <v>0</v>
      </c>
      <c r="AB20" s="579">
        <f t="shared" si="17"/>
        <v>0</v>
      </c>
      <c r="AC20" s="579">
        <f t="shared" si="17"/>
        <v>0</v>
      </c>
      <c r="AD20" s="579">
        <f t="shared" si="17"/>
        <v>0</v>
      </c>
    </row>
    <row r="21" spans="1:30" x14ac:dyDescent="0.25">
      <c r="D21" s="520" t="s">
        <v>621</v>
      </c>
      <c r="E21" s="537">
        <f>E22</f>
        <v>4411089</v>
      </c>
      <c r="F21" s="600">
        <f>E21/E35</f>
        <v>5.5568859255057466E-2</v>
      </c>
      <c r="G21" s="535"/>
      <c r="H21" s="615"/>
      <c r="I21" s="540"/>
      <c r="K21" s="681" t="s">
        <v>627</v>
      </c>
      <c r="L21" s="582" t="s">
        <v>622</v>
      </c>
      <c r="M21" s="534">
        <f t="shared" si="6"/>
        <v>0</v>
      </c>
      <c r="N21" s="579">
        <v>0</v>
      </c>
      <c r="O21" s="579">
        <f>N21</f>
        <v>0</v>
      </c>
      <c r="P21" s="579">
        <f t="shared" ref="P21:AD21" si="18">O21</f>
        <v>0</v>
      </c>
      <c r="Q21" s="579">
        <f t="shared" si="18"/>
        <v>0</v>
      </c>
      <c r="R21" s="579">
        <f t="shared" si="18"/>
        <v>0</v>
      </c>
      <c r="S21" s="579">
        <f t="shared" si="18"/>
        <v>0</v>
      </c>
      <c r="T21" s="579">
        <f t="shared" si="18"/>
        <v>0</v>
      </c>
      <c r="U21" s="579">
        <f t="shared" si="18"/>
        <v>0</v>
      </c>
      <c r="V21" s="579">
        <f t="shared" si="18"/>
        <v>0</v>
      </c>
      <c r="W21" s="579">
        <f t="shared" si="18"/>
        <v>0</v>
      </c>
      <c r="X21" s="579">
        <f t="shared" si="18"/>
        <v>0</v>
      </c>
      <c r="Y21" s="579">
        <f t="shared" si="18"/>
        <v>0</v>
      </c>
      <c r="Z21" s="579">
        <f t="shared" si="18"/>
        <v>0</v>
      </c>
      <c r="AA21" s="579">
        <f t="shared" si="18"/>
        <v>0</v>
      </c>
      <c r="AB21" s="579">
        <f t="shared" si="18"/>
        <v>0</v>
      </c>
      <c r="AC21" s="579">
        <f t="shared" si="18"/>
        <v>0</v>
      </c>
      <c r="AD21" s="579">
        <f t="shared" si="18"/>
        <v>0</v>
      </c>
    </row>
    <row r="22" spans="1:30" x14ac:dyDescent="0.25">
      <c r="D22" s="532" t="s">
        <v>621</v>
      </c>
      <c r="E22" s="533">
        <f>M8+M9</f>
        <v>4411089</v>
      </c>
      <c r="F22" s="601">
        <f>E22/E35</f>
        <v>5.5568859255057466E-2</v>
      </c>
      <c r="G22" s="520" t="s">
        <v>653</v>
      </c>
      <c r="H22" s="610">
        <f>SUM(H23:H24)</f>
        <v>0</v>
      </c>
      <c r="I22" s="522">
        <f>H22/$H$35</f>
        <v>0</v>
      </c>
      <c r="K22" s="682"/>
      <c r="L22" s="582" t="s">
        <v>650</v>
      </c>
      <c r="M22" s="534">
        <f t="shared" si="6"/>
        <v>54000</v>
      </c>
      <c r="N22" s="579">
        <v>12000</v>
      </c>
      <c r="O22" s="579">
        <v>3000</v>
      </c>
      <c r="P22" s="579">
        <v>0</v>
      </c>
      <c r="Q22" s="579">
        <v>0</v>
      </c>
      <c r="R22" s="579">
        <v>3000</v>
      </c>
      <c r="S22" s="579">
        <f t="shared" ref="S22:AD22" si="19">R22</f>
        <v>3000</v>
      </c>
      <c r="T22" s="579">
        <f t="shared" si="19"/>
        <v>3000</v>
      </c>
      <c r="U22" s="579">
        <f t="shared" si="19"/>
        <v>3000</v>
      </c>
      <c r="V22" s="579">
        <f t="shared" si="19"/>
        <v>3000</v>
      </c>
      <c r="W22" s="579">
        <f t="shared" si="19"/>
        <v>3000</v>
      </c>
      <c r="X22" s="579">
        <f t="shared" si="19"/>
        <v>3000</v>
      </c>
      <c r="Y22" s="579">
        <f t="shared" si="19"/>
        <v>3000</v>
      </c>
      <c r="Z22" s="579">
        <f t="shared" si="19"/>
        <v>3000</v>
      </c>
      <c r="AA22" s="579">
        <f t="shared" si="19"/>
        <v>3000</v>
      </c>
      <c r="AB22" s="579">
        <f t="shared" si="19"/>
        <v>3000</v>
      </c>
      <c r="AC22" s="579">
        <f t="shared" si="19"/>
        <v>3000</v>
      </c>
      <c r="AD22" s="579">
        <f t="shared" si="19"/>
        <v>3000</v>
      </c>
    </row>
    <row r="23" spans="1:30" ht="18.75" x14ac:dyDescent="0.3">
      <c r="C23" s="542"/>
      <c r="D23" s="529"/>
      <c r="E23" s="603"/>
      <c r="F23" s="606"/>
      <c r="G23" s="539" t="s">
        <v>618</v>
      </c>
      <c r="H23" s="616">
        <f>M17</f>
        <v>0</v>
      </c>
      <c r="I23" s="526">
        <f>H23/$H$35</f>
        <v>0</v>
      </c>
      <c r="K23" s="683"/>
      <c r="L23" s="582" t="s">
        <v>667</v>
      </c>
      <c r="M23" s="534">
        <f t="shared" si="6"/>
        <v>0</v>
      </c>
      <c r="N23" s="579">
        <v>0</v>
      </c>
      <c r="O23" s="579">
        <f>N23</f>
        <v>0</v>
      </c>
      <c r="P23" s="579">
        <f t="shared" ref="P23:AD24" si="20">O23</f>
        <v>0</v>
      </c>
      <c r="Q23" s="579">
        <f t="shared" si="20"/>
        <v>0</v>
      </c>
      <c r="R23" s="579">
        <f t="shared" si="20"/>
        <v>0</v>
      </c>
      <c r="S23" s="579">
        <f t="shared" si="20"/>
        <v>0</v>
      </c>
      <c r="T23" s="579">
        <f t="shared" si="20"/>
        <v>0</v>
      </c>
      <c r="U23" s="579">
        <f t="shared" si="20"/>
        <v>0</v>
      </c>
      <c r="V23" s="579">
        <f t="shared" si="20"/>
        <v>0</v>
      </c>
      <c r="W23" s="579">
        <f t="shared" si="20"/>
        <v>0</v>
      </c>
      <c r="X23" s="579">
        <f t="shared" si="20"/>
        <v>0</v>
      </c>
      <c r="Y23" s="579">
        <f t="shared" si="20"/>
        <v>0</v>
      </c>
      <c r="Z23" s="579">
        <f t="shared" si="20"/>
        <v>0</v>
      </c>
      <c r="AA23" s="579">
        <f t="shared" si="20"/>
        <v>0</v>
      </c>
      <c r="AB23" s="579">
        <f t="shared" si="20"/>
        <v>0</v>
      </c>
      <c r="AC23" s="579">
        <f t="shared" si="20"/>
        <v>0</v>
      </c>
      <c r="AD23" s="579">
        <f t="shared" si="20"/>
        <v>0</v>
      </c>
    </row>
    <row r="24" spans="1:30" ht="18.75" x14ac:dyDescent="0.3">
      <c r="A24" s="543" t="str">
        <f t="shared" ref="A24:A31" si="21">L15</f>
        <v>Sueldos</v>
      </c>
      <c r="B24" s="544">
        <f t="shared" ref="B24:B31" si="22">M15/$M$25</f>
        <v>0.12683075583869416</v>
      </c>
      <c r="C24" s="515"/>
      <c r="D24" s="520" t="s">
        <v>672</v>
      </c>
      <c r="E24" s="521">
        <f>E25+E26-E27</f>
        <v>20651249</v>
      </c>
      <c r="F24" s="600">
        <f>E24/E35</f>
        <v>0.26015488445645651</v>
      </c>
      <c r="G24" s="539" t="s">
        <v>622</v>
      </c>
      <c r="H24" s="616">
        <f>M21</f>
        <v>0</v>
      </c>
      <c r="I24" s="526">
        <f>H24/$H$35</f>
        <v>0</v>
      </c>
      <c r="K24" s="581" t="s">
        <v>651</v>
      </c>
      <c r="L24" s="582" t="str">
        <f>K24</f>
        <v>Intereses</v>
      </c>
      <c r="M24" s="534">
        <f t="shared" si="6"/>
        <v>0</v>
      </c>
      <c r="N24" s="579">
        <v>0</v>
      </c>
      <c r="O24" s="579">
        <f t="shared" ref="O24" si="23">N24</f>
        <v>0</v>
      </c>
      <c r="P24" s="579">
        <f t="shared" si="20"/>
        <v>0</v>
      </c>
      <c r="Q24" s="579">
        <f t="shared" si="20"/>
        <v>0</v>
      </c>
      <c r="R24" s="579">
        <f t="shared" si="20"/>
        <v>0</v>
      </c>
      <c r="S24" s="579">
        <f t="shared" si="20"/>
        <v>0</v>
      </c>
      <c r="T24" s="579">
        <f t="shared" si="20"/>
        <v>0</v>
      </c>
      <c r="U24" s="579">
        <f t="shared" si="20"/>
        <v>0</v>
      </c>
      <c r="V24" s="579">
        <f t="shared" si="20"/>
        <v>0</v>
      </c>
      <c r="W24" s="579">
        <f t="shared" si="20"/>
        <v>0</v>
      </c>
      <c r="X24" s="579">
        <f t="shared" si="20"/>
        <v>0</v>
      </c>
      <c r="Y24" s="579">
        <f t="shared" si="20"/>
        <v>0</v>
      </c>
      <c r="Z24" s="579">
        <f t="shared" si="20"/>
        <v>0</v>
      </c>
      <c r="AA24" s="579">
        <f t="shared" si="20"/>
        <v>0</v>
      </c>
      <c r="AB24" s="579">
        <f t="shared" si="20"/>
        <v>0</v>
      </c>
      <c r="AC24" s="579">
        <f t="shared" si="20"/>
        <v>0</v>
      </c>
      <c r="AD24" s="579">
        <f t="shared" si="20"/>
        <v>0</v>
      </c>
    </row>
    <row r="25" spans="1:30" ht="18.75" x14ac:dyDescent="0.3">
      <c r="A25" s="543" t="str">
        <f t="shared" si="21"/>
        <v xml:space="preserve">Mantenimiento </v>
      </c>
      <c r="B25" s="544">
        <f t="shared" si="22"/>
        <v>7.7128379424213994E-2</v>
      </c>
      <c r="C25" s="502"/>
      <c r="D25" s="555" t="s">
        <v>674</v>
      </c>
      <c r="E25" s="556">
        <f>N5</f>
        <v>12151249</v>
      </c>
      <c r="F25" s="601">
        <f>E25/E35</f>
        <v>0.15307581539482831</v>
      </c>
      <c r="G25" s="549"/>
      <c r="H25" s="617"/>
      <c r="I25" s="550"/>
      <c r="K25" s="583" t="s">
        <v>652</v>
      </c>
      <c r="L25" s="584"/>
      <c r="M25" s="541">
        <f t="shared" si="6"/>
        <v>10821555</v>
      </c>
      <c r="N25" s="580">
        <f>SUM(N15:N24)</f>
        <v>1717665</v>
      </c>
      <c r="O25" s="580">
        <f t="shared" ref="O25:AD25" si="24">SUM(O15:O24)</f>
        <v>5839259</v>
      </c>
      <c r="P25" s="580">
        <f t="shared" si="24"/>
        <v>219549</v>
      </c>
      <c r="Q25" s="580">
        <f t="shared" si="24"/>
        <v>219259</v>
      </c>
      <c r="R25" s="580">
        <f t="shared" si="24"/>
        <v>223371</v>
      </c>
      <c r="S25" s="580">
        <f t="shared" si="24"/>
        <v>222371</v>
      </c>
      <c r="T25" s="580">
        <f t="shared" si="24"/>
        <v>221371</v>
      </c>
      <c r="U25" s="580">
        <f t="shared" si="24"/>
        <v>220371</v>
      </c>
      <c r="V25" s="580">
        <f t="shared" si="24"/>
        <v>219371</v>
      </c>
      <c r="W25" s="580">
        <f t="shared" si="24"/>
        <v>218371</v>
      </c>
      <c r="X25" s="580">
        <f t="shared" si="24"/>
        <v>217371</v>
      </c>
      <c r="Y25" s="580">
        <f t="shared" si="24"/>
        <v>216371</v>
      </c>
      <c r="Z25" s="580">
        <f t="shared" si="24"/>
        <v>215371</v>
      </c>
      <c r="AA25" s="580">
        <f t="shared" si="24"/>
        <v>214371</v>
      </c>
      <c r="AB25" s="580">
        <f t="shared" si="24"/>
        <v>213371</v>
      </c>
      <c r="AC25" s="580">
        <f t="shared" si="24"/>
        <v>212371</v>
      </c>
      <c r="AD25" s="580">
        <f t="shared" si="24"/>
        <v>211371</v>
      </c>
    </row>
    <row r="26" spans="1:30" ht="18.75" x14ac:dyDescent="0.3">
      <c r="A26" s="543" t="str">
        <f t="shared" si="21"/>
        <v>Estadio</v>
      </c>
      <c r="B26" s="544">
        <f t="shared" si="22"/>
        <v>0</v>
      </c>
      <c r="C26" s="510"/>
      <c r="D26" s="555" t="str">
        <f>D12</f>
        <v>Ing Reservas</v>
      </c>
      <c r="E26" s="556">
        <f>M13</f>
        <v>8500000</v>
      </c>
      <c r="F26" s="601">
        <f>E26/E35</f>
        <v>0.1070790690616282</v>
      </c>
      <c r="G26" s="520" t="s">
        <v>656</v>
      </c>
      <c r="H26" s="610">
        <f>SUM(H27:H32)</f>
        <v>3710915</v>
      </c>
      <c r="I26" s="522">
        <f t="shared" ref="I26:I32" si="25">H26/$H$35</f>
        <v>4.6748391007862586E-2</v>
      </c>
      <c r="K26" s="545" t="s">
        <v>654</v>
      </c>
      <c r="L26" s="545"/>
      <c r="M26" s="514">
        <f t="shared" ref="M26:AD26" si="26">M5+M14-M25</f>
        <v>22601118</v>
      </c>
      <c r="N26" s="514">
        <f t="shared" si="26"/>
        <v>16853431</v>
      </c>
      <c r="O26" s="514">
        <f t="shared" si="26"/>
        <v>11755916</v>
      </c>
      <c r="P26" s="514">
        <f t="shared" si="26"/>
        <v>12415332</v>
      </c>
      <c r="Q26" s="514">
        <f t="shared" si="26"/>
        <v>13710711</v>
      </c>
      <c r="R26" s="514">
        <f t="shared" si="26"/>
        <v>14305050</v>
      </c>
      <c r="S26" s="514">
        <f t="shared" si="26"/>
        <v>15171389</v>
      </c>
      <c r="T26" s="514">
        <f t="shared" si="26"/>
        <v>15737728</v>
      </c>
      <c r="U26" s="514">
        <f t="shared" si="26"/>
        <v>16604067</v>
      </c>
      <c r="V26" s="514">
        <f t="shared" si="26"/>
        <v>17170406</v>
      </c>
      <c r="W26" s="514">
        <f t="shared" si="26"/>
        <v>18036745</v>
      </c>
      <c r="X26" s="514">
        <f t="shared" si="26"/>
        <v>18603084</v>
      </c>
      <c r="Y26" s="514">
        <f t="shared" si="26"/>
        <v>19469423</v>
      </c>
      <c r="Z26" s="514">
        <f t="shared" si="26"/>
        <v>20035762</v>
      </c>
      <c r="AA26" s="514">
        <f t="shared" si="26"/>
        <v>20902101</v>
      </c>
      <c r="AB26" s="514">
        <f t="shared" si="26"/>
        <v>21468440</v>
      </c>
      <c r="AC26" s="514">
        <f t="shared" si="26"/>
        <v>22034779</v>
      </c>
      <c r="AD26" s="514">
        <f t="shared" si="26"/>
        <v>22601118</v>
      </c>
    </row>
    <row r="27" spans="1:30" x14ac:dyDescent="0.25">
      <c r="A27" s="543" t="str">
        <f t="shared" si="21"/>
        <v>Empleados</v>
      </c>
      <c r="B27" s="544">
        <f t="shared" si="22"/>
        <v>0.10255088108871599</v>
      </c>
      <c r="C27" s="507"/>
      <c r="D27" s="555" t="str">
        <f>D13</f>
        <v>Pago Reservas</v>
      </c>
      <c r="E27" s="556">
        <f>M23*-1</f>
        <v>0</v>
      </c>
      <c r="F27" s="601">
        <f>E27/E35</f>
        <v>0</v>
      </c>
      <c r="G27" s="539" t="s">
        <v>658</v>
      </c>
      <c r="H27" s="616">
        <f>M15</f>
        <v>1372506</v>
      </c>
      <c r="I27" s="526">
        <f t="shared" si="25"/>
        <v>1.7290195854294008E-2</v>
      </c>
      <c r="K27" s="546"/>
      <c r="L27" s="546"/>
      <c r="M27" s="546"/>
      <c r="N27" s="547">
        <f>N1+7</f>
        <v>43644</v>
      </c>
      <c r="O27" s="547">
        <f t="shared" ref="O27:AD27" si="27">N27+7</f>
        <v>43651</v>
      </c>
      <c r="P27" s="547">
        <f t="shared" si="27"/>
        <v>43658</v>
      </c>
      <c r="Q27" s="547">
        <f t="shared" si="27"/>
        <v>43665</v>
      </c>
      <c r="R27" s="547">
        <f t="shared" si="27"/>
        <v>43672</v>
      </c>
      <c r="S27" s="547">
        <f t="shared" si="27"/>
        <v>43679</v>
      </c>
      <c r="T27" s="547">
        <f t="shared" si="27"/>
        <v>43686</v>
      </c>
      <c r="U27" s="547">
        <f t="shared" si="27"/>
        <v>43693</v>
      </c>
      <c r="V27" s="547">
        <f t="shared" si="27"/>
        <v>43700</v>
      </c>
      <c r="W27" s="547">
        <f t="shared" si="27"/>
        <v>43707</v>
      </c>
      <c r="X27" s="547">
        <f t="shared" si="27"/>
        <v>43714</v>
      </c>
      <c r="Y27" s="547">
        <f t="shared" si="27"/>
        <v>43721</v>
      </c>
      <c r="Z27" s="547">
        <f t="shared" si="27"/>
        <v>43728</v>
      </c>
      <c r="AA27" s="547">
        <f t="shared" si="27"/>
        <v>43735</v>
      </c>
      <c r="AB27" s="547">
        <f t="shared" si="27"/>
        <v>43742</v>
      </c>
      <c r="AC27" s="547">
        <f t="shared" si="27"/>
        <v>43749</v>
      </c>
      <c r="AD27" s="547">
        <f t="shared" si="27"/>
        <v>43756</v>
      </c>
    </row>
    <row r="28" spans="1:30" x14ac:dyDescent="0.25">
      <c r="A28" s="543" t="str">
        <f t="shared" si="21"/>
        <v>Juveniles</v>
      </c>
      <c r="B28" s="544">
        <f t="shared" si="22"/>
        <v>3.1418774843356617E-2</v>
      </c>
      <c r="C28" s="510"/>
      <c r="D28" s="535"/>
      <c r="E28" s="536"/>
      <c r="F28" s="601"/>
      <c r="G28" s="539" t="s">
        <v>639</v>
      </c>
      <c r="H28" s="616">
        <f>M16</f>
        <v>834649</v>
      </c>
      <c r="I28" s="526">
        <f t="shared" si="25"/>
        <v>1.0514522107437519E-2</v>
      </c>
      <c r="K28" s="548"/>
      <c r="L28" s="548"/>
      <c r="M28" s="548"/>
      <c r="N28" s="548"/>
      <c r="O28" s="548"/>
      <c r="P28" s="548"/>
      <c r="Q28" s="548"/>
      <c r="R28" s="548"/>
      <c r="S28" s="548"/>
      <c r="T28" s="548"/>
      <c r="U28" s="548"/>
      <c r="V28" s="548"/>
      <c r="W28" s="548"/>
      <c r="X28" s="548"/>
      <c r="Y28" s="548"/>
      <c r="Z28" s="548"/>
      <c r="AA28" s="548"/>
      <c r="AB28" s="548"/>
      <c r="AC28" s="548"/>
      <c r="AD28" s="548"/>
    </row>
    <row r="29" spans="1:30" x14ac:dyDescent="0.25">
      <c r="A29" s="543" t="str">
        <f t="shared" si="21"/>
        <v>Compra</v>
      </c>
      <c r="B29" s="544">
        <f t="shared" si="22"/>
        <v>0.65708116809460382</v>
      </c>
      <c r="D29" s="520" t="s">
        <v>655</v>
      </c>
      <c r="E29" s="521">
        <f>SUM(E30:E34)</f>
        <v>8360335</v>
      </c>
      <c r="F29" s="600">
        <f>E29/E35</f>
        <v>0.10531963398157028</v>
      </c>
      <c r="G29" s="539" t="s">
        <v>644</v>
      </c>
      <c r="H29" s="616">
        <f>M18</f>
        <v>1109760</v>
      </c>
      <c r="I29" s="526">
        <f t="shared" si="25"/>
        <v>1.3980243256686177E-2</v>
      </c>
      <c r="K29" s="551"/>
      <c r="L29" s="551"/>
      <c r="M29" s="552" t="s">
        <v>629</v>
      </c>
      <c r="N29" s="553"/>
      <c r="O29" s="553">
        <v>22</v>
      </c>
      <c r="P29" s="553">
        <v>25</v>
      </c>
      <c r="Q29" s="553">
        <v>24</v>
      </c>
      <c r="R29" s="553">
        <v>25</v>
      </c>
      <c r="S29" s="553"/>
      <c r="T29" s="553"/>
      <c r="U29" s="553"/>
      <c r="V29" s="553"/>
      <c r="W29" s="553"/>
      <c r="X29" s="553"/>
      <c r="Y29" s="553"/>
      <c r="Z29" s="553"/>
      <c r="AA29" s="553"/>
      <c r="AB29" s="553"/>
      <c r="AC29" s="553"/>
      <c r="AD29" s="553"/>
    </row>
    <row r="30" spans="1:30" x14ac:dyDescent="0.25">
      <c r="A30" s="543" t="str">
        <f t="shared" si="21"/>
        <v>Entrenador</v>
      </c>
      <c r="B30" s="544">
        <f t="shared" si="22"/>
        <v>0</v>
      </c>
      <c r="D30" s="555" t="s">
        <v>610</v>
      </c>
      <c r="E30" s="556">
        <f>M11</f>
        <v>100620</v>
      </c>
      <c r="F30" s="601">
        <f>E30/E35</f>
        <v>1.2675642269389447E-3</v>
      </c>
      <c r="G30" s="539" t="s">
        <v>646</v>
      </c>
      <c r="H30" s="616">
        <f>M19</f>
        <v>340000</v>
      </c>
      <c r="I30" s="526">
        <f t="shared" si="25"/>
        <v>4.2831627624651276E-3</v>
      </c>
      <c r="K30" s="499"/>
      <c r="L30" s="684" t="s">
        <v>657</v>
      </c>
      <c r="M30" s="554" t="s">
        <v>73</v>
      </c>
      <c r="N30" s="553"/>
      <c r="O30" s="553">
        <v>345970</v>
      </c>
      <c r="P30" s="553">
        <v>414040</v>
      </c>
      <c r="Q30" s="553">
        <v>409350</v>
      </c>
      <c r="R30" s="553">
        <v>405290</v>
      </c>
      <c r="S30" s="553"/>
      <c r="T30" s="553"/>
      <c r="U30" s="553"/>
      <c r="V30" s="553"/>
      <c r="W30" s="553"/>
      <c r="X30" s="553"/>
      <c r="Y30" s="553"/>
      <c r="Z30" s="553"/>
      <c r="AA30" s="553"/>
      <c r="AB30" s="553"/>
      <c r="AC30" s="553"/>
      <c r="AD30" s="553"/>
    </row>
    <row r="31" spans="1:30" x14ac:dyDescent="0.25">
      <c r="A31" s="543" t="str">
        <f t="shared" si="21"/>
        <v>Viajes+Venta</v>
      </c>
      <c r="B31" s="544">
        <f t="shared" si="22"/>
        <v>4.9900407104154628E-3</v>
      </c>
      <c r="D31" s="555" t="s">
        <v>631</v>
      </c>
      <c r="E31" s="556">
        <f>M12</f>
        <v>1050000</v>
      </c>
      <c r="F31" s="601">
        <f>E31/E35</f>
        <v>1.3227414413495248E-2</v>
      </c>
      <c r="G31" s="539" t="s">
        <v>650</v>
      </c>
      <c r="H31" s="616">
        <f>M22</f>
        <v>54000</v>
      </c>
      <c r="I31" s="526">
        <f t="shared" si="25"/>
        <v>6.8026702697975559E-4</v>
      </c>
      <c r="K31" s="499"/>
      <c r="L31" s="684"/>
      <c r="M31" s="554" t="s">
        <v>65</v>
      </c>
      <c r="N31" s="553"/>
      <c r="O31" s="553">
        <v>79566</v>
      </c>
      <c r="P31" s="553">
        <v>84872</v>
      </c>
      <c r="Q31" s="553">
        <v>85038</v>
      </c>
      <c r="R31" s="553">
        <v>86476</v>
      </c>
      <c r="S31" s="553"/>
      <c r="T31" s="553"/>
      <c r="U31" s="553"/>
      <c r="V31" s="553"/>
      <c r="W31" s="553"/>
      <c r="X31" s="553"/>
      <c r="Y31" s="553"/>
      <c r="Z31" s="553"/>
      <c r="AA31" s="553"/>
      <c r="AB31" s="553"/>
      <c r="AC31" s="553"/>
      <c r="AD31" s="553"/>
    </row>
    <row r="32" spans="1:30" x14ac:dyDescent="0.25">
      <c r="A32" s="543" t="str">
        <f>L24</f>
        <v>Intereses</v>
      </c>
      <c r="B32" s="544">
        <f>M24/$M$25</f>
        <v>0</v>
      </c>
      <c r="D32" s="555" t="s">
        <v>614</v>
      </c>
      <c r="E32" s="556">
        <f>M6</f>
        <v>2788086</v>
      </c>
      <c r="F32" s="601">
        <f>E32/E35</f>
        <v>3.5123018040442204E-2</v>
      </c>
      <c r="G32" s="539" t="s">
        <v>651</v>
      </c>
      <c r="H32" s="616">
        <f>M24</f>
        <v>0</v>
      </c>
      <c r="I32" s="526">
        <f t="shared" si="25"/>
        <v>0</v>
      </c>
      <c r="K32" s="499"/>
      <c r="L32" s="684"/>
      <c r="M32" s="554" t="s">
        <v>659</v>
      </c>
      <c r="N32" s="553"/>
      <c r="O32" s="553">
        <v>280250</v>
      </c>
      <c r="P32" s="553">
        <v>325260</v>
      </c>
      <c r="Q32" s="553">
        <v>321450</v>
      </c>
      <c r="R32" s="553">
        <v>315120</v>
      </c>
      <c r="S32" s="553"/>
      <c r="T32" s="553"/>
      <c r="U32" s="553"/>
      <c r="V32" s="553"/>
      <c r="W32" s="553"/>
      <c r="X32" s="553"/>
      <c r="Y32" s="553"/>
      <c r="Z32" s="553"/>
      <c r="AA32" s="553"/>
      <c r="AB32" s="553"/>
      <c r="AC32" s="553"/>
      <c r="AD32" s="553"/>
    </row>
    <row r="33" spans="1:30" ht="18.75" x14ac:dyDescent="0.3">
      <c r="A33" s="510"/>
      <c r="B33" s="558">
        <f>SUM(B24:B32)</f>
        <v>1</v>
      </c>
      <c r="D33" s="555" t="s">
        <v>617</v>
      </c>
      <c r="E33" s="556">
        <f>M7</f>
        <v>4200394</v>
      </c>
      <c r="F33" s="601">
        <f>E33/E35</f>
        <v>5.2914621083770437E-2</v>
      </c>
      <c r="G33" s="535"/>
      <c r="H33" s="615"/>
      <c r="I33" s="540"/>
      <c r="K33" s="499"/>
      <c r="L33" s="684"/>
      <c r="M33" s="554" t="s">
        <v>660</v>
      </c>
      <c r="N33" s="553"/>
      <c r="O33" s="553">
        <v>65410</v>
      </c>
      <c r="P33" s="553">
        <v>60046</v>
      </c>
      <c r="Q33" s="553">
        <v>58040</v>
      </c>
      <c r="R33" s="553">
        <v>59634</v>
      </c>
      <c r="S33" s="553"/>
      <c r="T33" s="553"/>
      <c r="U33" s="553"/>
      <c r="V33" s="553"/>
      <c r="W33" s="553"/>
      <c r="X33" s="553"/>
      <c r="Y33" s="553"/>
      <c r="Z33" s="553"/>
      <c r="AA33" s="553"/>
      <c r="AB33" s="553"/>
      <c r="AC33" s="553"/>
      <c r="AD33" s="553"/>
    </row>
    <row r="34" spans="1:30" ht="18.75" x14ac:dyDescent="0.3">
      <c r="A34" s="507"/>
      <c r="B34" s="560"/>
      <c r="D34" s="604" t="s">
        <v>626</v>
      </c>
      <c r="E34" s="605">
        <f>M10</f>
        <v>221235</v>
      </c>
      <c r="F34" s="601">
        <f>E34/E35</f>
        <v>2.7870162169234486E-3</v>
      </c>
      <c r="G34" s="621"/>
      <c r="H34" s="622"/>
      <c r="I34" s="620"/>
      <c r="K34" s="499"/>
      <c r="L34" s="684"/>
      <c r="M34" s="554" t="s">
        <v>661</v>
      </c>
      <c r="N34" s="557"/>
      <c r="O34" s="557" t="s">
        <v>670</v>
      </c>
      <c r="P34" s="557" t="s">
        <v>677</v>
      </c>
      <c r="Q34" s="557" t="s">
        <v>681</v>
      </c>
      <c r="R34" s="557" t="s">
        <v>684</v>
      </c>
      <c r="S34" s="557"/>
      <c r="T34" s="557"/>
      <c r="U34" s="557"/>
      <c r="V34" s="557"/>
      <c r="W34" s="557"/>
      <c r="X34" s="557"/>
      <c r="Y34" s="557"/>
      <c r="Z34" s="557"/>
      <c r="AA34" s="557"/>
      <c r="AB34" s="557"/>
      <c r="AC34" s="557"/>
      <c r="AD34" s="557"/>
    </row>
    <row r="35" spans="1:30" ht="18.75" x14ac:dyDescent="0.3">
      <c r="A35" s="685">
        <f>M25</f>
        <v>10821555</v>
      </c>
      <c r="B35" s="685"/>
      <c r="D35" s="607" t="s">
        <v>27</v>
      </c>
      <c r="E35" s="608">
        <f>E29+E21+E15+E5+E10+E24</f>
        <v>79380593</v>
      </c>
      <c r="F35" s="561">
        <f>F29+F21+F15+F5+F10+F24</f>
        <v>1</v>
      </c>
      <c r="G35" s="607" t="s">
        <v>27</v>
      </c>
      <c r="H35" s="608">
        <f>H26+H18+H10+H5+H22</f>
        <v>79380593</v>
      </c>
      <c r="I35" s="619">
        <f>H35/$H$35</f>
        <v>1</v>
      </c>
      <c r="K35" s="499"/>
      <c r="L35" s="684"/>
      <c r="M35" s="554" t="s">
        <v>662</v>
      </c>
      <c r="N35" s="559"/>
      <c r="O35" s="559">
        <v>5.5</v>
      </c>
      <c r="P35" s="559">
        <v>5.75</v>
      </c>
      <c r="Q35" s="559">
        <v>5.5</v>
      </c>
      <c r="R35" s="559">
        <v>5.5</v>
      </c>
      <c r="S35" s="559"/>
      <c r="T35" s="559"/>
      <c r="U35" s="559"/>
      <c r="V35" s="559"/>
      <c r="W35" s="559"/>
      <c r="X35" s="559"/>
      <c r="Y35" s="559"/>
      <c r="Z35" s="559"/>
      <c r="AA35" s="559"/>
      <c r="AB35" s="559"/>
      <c r="AC35" s="559"/>
      <c r="AD35" s="559"/>
    </row>
    <row r="36" spans="1:30" x14ac:dyDescent="0.25">
      <c r="E36" s="501"/>
      <c r="F36" s="562"/>
      <c r="G36" s="563"/>
      <c r="H36" s="564">
        <f>E35-H35</f>
        <v>0</v>
      </c>
      <c r="I36" s="501"/>
      <c r="K36" s="510"/>
      <c r="L36" s="684"/>
      <c r="M36" s="554" t="s">
        <v>663</v>
      </c>
      <c r="N36" s="559"/>
      <c r="O36" s="559">
        <v>5.5</v>
      </c>
      <c r="P36" s="559">
        <v>6</v>
      </c>
      <c r="Q36" s="559">
        <v>6.25</v>
      </c>
      <c r="R36" s="559">
        <v>6</v>
      </c>
      <c r="S36" s="559"/>
      <c r="T36" s="559"/>
      <c r="U36" s="559"/>
      <c r="V36" s="559"/>
      <c r="W36" s="559"/>
      <c r="X36" s="559"/>
      <c r="Y36" s="559"/>
      <c r="Z36" s="559"/>
      <c r="AA36" s="559"/>
      <c r="AB36" s="559"/>
      <c r="AC36" s="559"/>
      <c r="AD36" s="559"/>
    </row>
    <row r="37" spans="1:30" x14ac:dyDescent="0.25">
      <c r="E37" s="501"/>
      <c r="F37" s="501"/>
      <c r="H37" s="501"/>
      <c r="I37" s="501"/>
      <c r="K37" s="510"/>
      <c r="L37" s="684"/>
      <c r="M37" s="554" t="s">
        <v>664</v>
      </c>
      <c r="N37" s="559"/>
      <c r="O37" s="559">
        <v>11.75</v>
      </c>
      <c r="P37" s="559">
        <v>10.75</v>
      </c>
      <c r="Q37" s="559">
        <v>9.5</v>
      </c>
      <c r="R37" s="559">
        <v>9.75</v>
      </c>
      <c r="S37" s="559"/>
      <c r="T37" s="559"/>
      <c r="U37" s="559"/>
      <c r="V37" s="559"/>
      <c r="W37" s="559"/>
      <c r="X37" s="559"/>
      <c r="Y37" s="559"/>
      <c r="Z37" s="559"/>
      <c r="AA37" s="559"/>
      <c r="AB37" s="559"/>
      <c r="AC37" s="559"/>
      <c r="AD37" s="559"/>
    </row>
    <row r="38" spans="1:30" ht="15.75" x14ac:dyDescent="0.25">
      <c r="D38" s="567"/>
      <c r="E38" s="568"/>
      <c r="F38" s="501"/>
      <c r="G38" s="2"/>
      <c r="H38" s="569"/>
      <c r="I38" s="569"/>
      <c r="K38" s="510"/>
      <c r="L38" s="510"/>
      <c r="M38" s="565" t="s">
        <v>665</v>
      </c>
      <c r="N38" s="566"/>
      <c r="O38" s="566">
        <f t="shared" ref="O38:AD38" si="28">O30/O31</f>
        <v>4.3482140612824569</v>
      </c>
      <c r="P38" s="566">
        <f t="shared" si="28"/>
        <v>4.8784051277217459</v>
      </c>
      <c r="Q38" s="566">
        <f t="shared" si="28"/>
        <v>4.8137303323220211</v>
      </c>
      <c r="R38" s="566">
        <f t="shared" si="28"/>
        <v>4.6867338914843426</v>
      </c>
      <c r="S38" s="566" t="e">
        <f t="shared" si="28"/>
        <v>#DIV/0!</v>
      </c>
      <c r="T38" s="566" t="e">
        <f t="shared" si="28"/>
        <v>#DIV/0!</v>
      </c>
      <c r="U38" s="566" t="e">
        <f t="shared" si="28"/>
        <v>#DIV/0!</v>
      </c>
      <c r="V38" s="566" t="e">
        <f t="shared" si="28"/>
        <v>#DIV/0!</v>
      </c>
      <c r="W38" s="566" t="e">
        <f t="shared" si="28"/>
        <v>#DIV/0!</v>
      </c>
      <c r="X38" s="566" t="e">
        <f t="shared" si="28"/>
        <v>#DIV/0!</v>
      </c>
      <c r="Y38" s="566" t="e">
        <f t="shared" si="28"/>
        <v>#DIV/0!</v>
      </c>
      <c r="Z38" s="566" t="e">
        <f t="shared" si="28"/>
        <v>#DIV/0!</v>
      </c>
      <c r="AA38" s="566" t="e">
        <f t="shared" si="28"/>
        <v>#DIV/0!</v>
      </c>
      <c r="AB38" s="566" t="e">
        <f t="shared" si="28"/>
        <v>#DIV/0!</v>
      </c>
      <c r="AC38" s="566" t="e">
        <f t="shared" si="28"/>
        <v>#DIV/0!</v>
      </c>
      <c r="AD38" s="566" t="e">
        <f t="shared" si="28"/>
        <v>#DIV/0!</v>
      </c>
    </row>
    <row r="39" spans="1:30" x14ac:dyDescent="0.25">
      <c r="E39" s="569"/>
      <c r="F39" s="501"/>
      <c r="H39" s="501"/>
      <c r="I39" s="501"/>
      <c r="K39" s="510"/>
      <c r="L39" s="510"/>
      <c r="M39" s="510"/>
      <c r="N39" s="343"/>
      <c r="O39" s="500"/>
      <c r="P39" s="686"/>
      <c r="Q39" s="686"/>
      <c r="R39" s="686"/>
      <c r="S39" s="686"/>
    </row>
    <row r="40" spans="1:30" x14ac:dyDescent="0.25">
      <c r="E40" s="501"/>
      <c r="F40" s="501"/>
      <c r="H40" s="501"/>
      <c r="I40" s="501"/>
      <c r="K40" s="510"/>
      <c r="L40" s="510"/>
      <c r="M40" s="510"/>
      <c r="N40" s="570"/>
      <c r="O40" s="570"/>
      <c r="P40" s="570"/>
      <c r="Q40" s="570"/>
      <c r="R40" s="570"/>
      <c r="S40" s="570"/>
      <c r="T40" s="570"/>
      <c r="U40" s="570"/>
      <c r="V40" s="570"/>
      <c r="W40" s="570"/>
      <c r="X40" s="570"/>
      <c r="Y40" s="570"/>
    </row>
    <row r="41" spans="1:30" x14ac:dyDescent="0.25">
      <c r="K41" s="510"/>
      <c r="L41" s="510"/>
      <c r="M41" s="510"/>
      <c r="O41" s="500"/>
      <c r="P41" s="500"/>
      <c r="Q41" s="500"/>
      <c r="R41" s="500"/>
      <c r="S41" s="500"/>
      <c r="T41" s="500"/>
      <c r="U41" s="500"/>
      <c r="V41" s="500"/>
      <c r="W41" s="500"/>
      <c r="X41" s="500"/>
      <c r="Y41" s="500"/>
      <c r="Z41" s="500"/>
      <c r="AA41" s="500"/>
      <c r="AB41" s="500"/>
      <c r="AC41" s="500"/>
      <c r="AD41" s="500"/>
    </row>
    <row r="42" spans="1:30" x14ac:dyDescent="0.25">
      <c r="K42" s="510"/>
      <c r="L42" s="510"/>
      <c r="M42" s="510"/>
      <c r="O42" s="500"/>
      <c r="P42" s="677"/>
      <c r="Q42" s="677"/>
      <c r="R42" s="677"/>
      <c r="S42" s="677"/>
      <c r="V42" s="571"/>
    </row>
    <row r="43" spans="1:30" x14ac:dyDescent="0.25">
      <c r="K43" s="510"/>
      <c r="L43" s="510"/>
      <c r="M43" s="510"/>
      <c r="N43" s="571"/>
      <c r="O43" s="500"/>
      <c r="P43" s="572"/>
      <c r="Q43" s="572"/>
      <c r="R43" s="572"/>
      <c r="S43" s="572"/>
    </row>
    <row r="44" spans="1:30" x14ac:dyDescent="0.25">
      <c r="K44" s="510"/>
      <c r="L44" s="510"/>
      <c r="M44" s="510"/>
      <c r="O44" s="500"/>
      <c r="P44" s="677"/>
      <c r="Q44" s="677"/>
      <c r="R44" s="677"/>
      <c r="S44" s="677"/>
      <c r="Y44" s="571"/>
    </row>
    <row r="45" spans="1:30" x14ac:dyDescent="0.25">
      <c r="K45" s="510"/>
      <c r="L45" s="510"/>
      <c r="M45" s="510"/>
      <c r="O45" s="500"/>
      <c r="P45" s="677"/>
      <c r="Q45" s="677"/>
      <c r="R45" s="677"/>
      <c r="S45" s="573"/>
    </row>
    <row r="46" spans="1:30" x14ac:dyDescent="0.25">
      <c r="K46" s="510"/>
      <c r="L46" s="510"/>
      <c r="M46" s="510"/>
      <c r="O46" s="500"/>
    </row>
    <row r="47" spans="1:30" x14ac:dyDescent="0.25">
      <c r="K47" s="510"/>
      <c r="L47" s="510"/>
      <c r="M47" s="510"/>
      <c r="O47" s="500"/>
    </row>
    <row r="48" spans="1:30" x14ac:dyDescent="0.25">
      <c r="K48" s="510"/>
      <c r="L48" s="510"/>
      <c r="M48" s="510"/>
      <c r="O48" s="500"/>
    </row>
    <row r="49" spans="11:15" x14ac:dyDescent="0.25">
      <c r="K49" s="510"/>
      <c r="L49" s="510"/>
      <c r="M49" s="510"/>
      <c r="O49" s="500"/>
    </row>
    <row r="50" spans="11:15" x14ac:dyDescent="0.25">
      <c r="K50" s="510"/>
      <c r="L50" s="510"/>
      <c r="M50" s="510"/>
      <c r="O50" s="500"/>
    </row>
    <row r="51" spans="11:15" x14ac:dyDescent="0.25">
      <c r="K51" s="510"/>
      <c r="L51" s="510"/>
      <c r="M51" s="510"/>
      <c r="O51" s="500"/>
    </row>
    <row r="52" spans="11:15" x14ac:dyDescent="0.25">
      <c r="K52" s="510"/>
      <c r="L52" s="510"/>
      <c r="M52" s="510"/>
      <c r="O52" s="500"/>
    </row>
    <row r="53" spans="11:15" x14ac:dyDescent="0.25">
      <c r="K53" s="510"/>
      <c r="L53" s="510"/>
      <c r="M53" s="510"/>
      <c r="O53" s="500"/>
    </row>
    <row r="54" spans="11:15" x14ac:dyDescent="0.25">
      <c r="K54" s="510"/>
      <c r="L54" s="510"/>
      <c r="M54" s="510"/>
      <c r="O54" s="500"/>
    </row>
    <row r="55" spans="11:15" x14ac:dyDescent="0.25">
      <c r="K55" s="510"/>
      <c r="L55" s="510"/>
      <c r="M55" s="510"/>
      <c r="O55" s="500"/>
    </row>
    <row r="56" spans="11:15" x14ac:dyDescent="0.25">
      <c r="K56" s="510"/>
      <c r="L56" s="510"/>
      <c r="M56" s="510"/>
      <c r="O56" s="500"/>
    </row>
    <row r="57" spans="11:15" x14ac:dyDescent="0.25">
      <c r="K57" s="510"/>
      <c r="L57" s="510"/>
      <c r="M57" s="510"/>
      <c r="O57" s="500"/>
    </row>
    <row r="58" spans="11:15" x14ac:dyDescent="0.25">
      <c r="K58" s="510"/>
      <c r="L58" s="510"/>
      <c r="M58" s="510"/>
      <c r="O58" s="500"/>
    </row>
    <row r="59" spans="11:15" x14ac:dyDescent="0.25">
      <c r="K59" s="510"/>
      <c r="L59" s="510"/>
      <c r="M59" s="510"/>
      <c r="O59" s="500"/>
    </row>
    <row r="60" spans="11:15" x14ac:dyDescent="0.25">
      <c r="K60" s="510"/>
      <c r="L60" s="510"/>
      <c r="M60" s="510"/>
      <c r="O60" s="500"/>
    </row>
    <row r="61" spans="11:15" x14ac:dyDescent="0.25">
      <c r="K61" s="510"/>
      <c r="L61" s="510"/>
      <c r="M61" s="510"/>
      <c r="O61" s="500"/>
    </row>
    <row r="62" spans="11:15" x14ac:dyDescent="0.25">
      <c r="K62" s="510"/>
      <c r="L62" s="510"/>
      <c r="M62" s="510"/>
      <c r="O62" s="500"/>
    </row>
    <row r="63" spans="11:15" x14ac:dyDescent="0.25">
      <c r="K63" s="510"/>
      <c r="L63" s="510"/>
      <c r="M63" s="510"/>
      <c r="O63" s="500"/>
    </row>
    <row r="64" spans="11:15" x14ac:dyDescent="0.25">
      <c r="K64" s="510"/>
      <c r="L64" s="510"/>
      <c r="M64" s="510"/>
      <c r="O64" s="500"/>
    </row>
    <row r="65" spans="11:15" x14ac:dyDescent="0.25">
      <c r="K65" s="510"/>
      <c r="L65" s="510"/>
      <c r="M65" s="510"/>
      <c r="O65" s="500"/>
    </row>
    <row r="66" spans="11:15" x14ac:dyDescent="0.25">
      <c r="K66" s="510"/>
      <c r="L66" s="510"/>
      <c r="M66" s="510"/>
      <c r="O66" s="500"/>
    </row>
    <row r="67" spans="11:15" x14ac:dyDescent="0.25">
      <c r="K67" s="510"/>
      <c r="L67" s="510"/>
      <c r="M67" s="510"/>
      <c r="O67" s="500"/>
    </row>
    <row r="68" spans="11:15" x14ac:dyDescent="0.25">
      <c r="K68" s="510"/>
      <c r="L68" s="510"/>
      <c r="M68" s="510"/>
      <c r="O68" s="500"/>
    </row>
    <row r="69" spans="11:15" x14ac:dyDescent="0.25">
      <c r="K69" s="510"/>
      <c r="L69" s="510"/>
      <c r="M69" s="510"/>
      <c r="O69" s="500"/>
    </row>
    <row r="70" spans="11:15" x14ac:dyDescent="0.25">
      <c r="K70" s="510"/>
      <c r="L70" s="510"/>
      <c r="M70" s="510"/>
      <c r="O70" s="500"/>
    </row>
    <row r="71" spans="11:15" x14ac:dyDescent="0.25">
      <c r="K71" s="510"/>
      <c r="L71" s="510"/>
      <c r="M71" s="510"/>
      <c r="O71" s="500"/>
    </row>
    <row r="72" spans="11:15" x14ac:dyDescent="0.25">
      <c r="K72" s="510"/>
      <c r="L72" s="510"/>
      <c r="M72" s="510"/>
      <c r="O72" s="500"/>
    </row>
    <row r="73" spans="11:15" x14ac:dyDescent="0.25">
      <c r="K73" s="510"/>
      <c r="L73" s="510"/>
      <c r="M73" s="510"/>
      <c r="O73" s="500"/>
    </row>
    <row r="74" spans="11:15" x14ac:dyDescent="0.25">
      <c r="K74" s="510"/>
      <c r="L74" s="510"/>
      <c r="M74" s="510"/>
      <c r="O74" s="500"/>
    </row>
    <row r="75" spans="11:15" x14ac:dyDescent="0.25">
      <c r="K75" s="510"/>
      <c r="L75" s="510"/>
      <c r="M75" s="510"/>
      <c r="O75" s="500"/>
    </row>
    <row r="76" spans="11:15" x14ac:dyDescent="0.25">
      <c r="K76" s="510"/>
      <c r="L76" s="510"/>
      <c r="M76" s="510"/>
      <c r="O76" s="500"/>
    </row>
    <row r="77" spans="11:15" x14ac:dyDescent="0.25">
      <c r="K77" s="510"/>
      <c r="L77" s="510"/>
      <c r="M77" s="510"/>
      <c r="O77" s="500"/>
    </row>
    <row r="78" spans="11:15" x14ac:dyDescent="0.25">
      <c r="K78" s="510"/>
      <c r="L78" s="510"/>
      <c r="M78" s="510"/>
      <c r="O78" s="500"/>
    </row>
    <row r="79" spans="11:15" x14ac:dyDescent="0.25">
      <c r="K79" s="510"/>
      <c r="L79" s="510"/>
      <c r="M79" s="510"/>
      <c r="O79" s="500"/>
    </row>
    <row r="80" spans="11:15" x14ac:dyDescent="0.25">
      <c r="K80" s="510"/>
      <c r="L80" s="510"/>
      <c r="M80" s="510"/>
      <c r="O80" s="500"/>
    </row>
    <row r="81" spans="11:15" x14ac:dyDescent="0.25">
      <c r="K81" s="510"/>
      <c r="L81" s="510"/>
      <c r="M81" s="510"/>
      <c r="O81" s="500"/>
    </row>
  </sheetData>
  <mergeCells count="14">
    <mergeCell ref="P45:R45"/>
    <mergeCell ref="K11:K13"/>
    <mergeCell ref="K21:K23"/>
    <mergeCell ref="L30:L37"/>
    <mergeCell ref="A35:B35"/>
    <mergeCell ref="P39:Q39"/>
    <mergeCell ref="R39:S39"/>
    <mergeCell ref="P42:S42"/>
    <mergeCell ref="P44:S44"/>
    <mergeCell ref="D1:I1"/>
    <mergeCell ref="D2:I2"/>
    <mergeCell ref="D3:E3"/>
    <mergeCell ref="G3:H3"/>
    <mergeCell ref="A15:B15"/>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87" t="s">
        <v>445</v>
      </c>
      <c r="B1" s="687"/>
      <c r="C1" s="687"/>
      <c r="D1" s="687"/>
      <c r="E1" s="687"/>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31</v>
      </c>
      <c r="D3" s="186">
        <f>Plantilla!G4</f>
        <v>0</v>
      </c>
      <c r="E3" s="265">
        <f>Plantilla!O4</f>
        <v>42468</v>
      </c>
      <c r="F3" s="115">
        <f>Plantilla!Q4</f>
        <v>6</v>
      </c>
      <c r="G3" s="142">
        <f>(F3/7)^0.5</f>
        <v>0.92582009977255142</v>
      </c>
      <c r="H3" s="142">
        <f>IF(F3=7,1,((F3+0.99)/7)^0.5)</f>
        <v>0.99928545900129484</v>
      </c>
      <c r="I3" s="195">
        <f ca="1">Plantilla!P4</f>
        <v>1</v>
      </c>
      <c r="J3" s="196">
        <f>Plantilla!I4</f>
        <v>23.9</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8.6816791481271789</v>
      </c>
      <c r="T3" s="49">
        <f>(0.5*P3+ 0.3*Q3)/10</f>
        <v>0.54600000000000004</v>
      </c>
      <c r="U3" s="49">
        <f>(0.4*L3+0.3*Q3)/10</f>
        <v>1.024</v>
      </c>
      <c r="V3" s="196">
        <f ca="1">IF(TODAY()-E3&gt;335,(Q3+1+(LOG(J3)*4/3))*(F3/7)^0.5,(Q3+((TODAY()-E3)^0.5)/(336^0.5)+(LOG(J3)*4/3))*(F3/7)^0.5)</f>
        <v>19.477277225209093</v>
      </c>
      <c r="W3" s="196">
        <f ca="1">IF(F3=7,V3,IF(TODAY()-E3&gt;335,(Q3+1+(LOG(J3)*4/3))*((F3+0.99)/7)^0.5,(Q3+((TODAY()-E3)^0.5)/(336^0.5)+(LOG(J3)*4/3))*((F3+0.99)/7)^0.5))</f>
        <v>21.022831451672033</v>
      </c>
      <c r="X3" s="83">
        <f ca="1">((K3+I3+(LOG(J3)*4/3))*0.597)+((L3+I3+(LOG(J3)*4/3))*0.276)</f>
        <v>15.725655156703631</v>
      </c>
      <c r="Y3" s="83">
        <f ca="1">((K3+I3+(LOG(J3)*4/3))*0.866)+((L3+I3+(LOG(J3)*4/3))*0.425)</f>
        <v>23.175765586832064</v>
      </c>
      <c r="Z3" s="83">
        <f ca="1">X3</f>
        <v>15.725655156703631</v>
      </c>
      <c r="AA3" s="83">
        <f ca="1">((L3+I3+(LOG(J3)*4/3))*0.516)</f>
        <v>7.630537755852318</v>
      </c>
      <c r="AB3" s="83">
        <f ca="1">(L3+I3+(LOG(J3)*4/3))*1</f>
        <v>14.787863867930849</v>
      </c>
      <c r="AC3" s="83">
        <f ca="1">AA3/2</f>
        <v>3.815268877926159</v>
      </c>
      <c r="AD3" s="83">
        <f ca="1">(M3+I3+(LOG(J3)*4/3))*0.238</f>
        <v>1.168071600567542</v>
      </c>
      <c r="AE3" s="83">
        <f ca="1">((L3+I3+(LOG(J3)*4/3))*0.378)</f>
        <v>5.589812542077861</v>
      </c>
      <c r="AF3" s="83">
        <f ca="1">(L3+I3+(LOG(J3)*4/3))*0.723</f>
        <v>10.691625576514003</v>
      </c>
      <c r="AG3" s="83">
        <f ca="1">AE3/2</f>
        <v>2.7949062710389305</v>
      </c>
      <c r="AH3" s="83">
        <f ca="1">(M3+I3+(LOG(J3)*4/3))*0.385</f>
        <v>1.8895275891533769</v>
      </c>
      <c r="AI3" s="83">
        <f ca="1">((L3+I3+(LOG(J3)*4/3))*0.92)</f>
        <v>13.604834758496381</v>
      </c>
      <c r="AJ3" s="83">
        <f ca="1">(L3+I3+(LOG(J3)*4/3))*0.414</f>
        <v>6.1221756413233708</v>
      </c>
      <c r="AK3" s="83">
        <f ca="1">((M3+I3+(LOG(J3)*4/3))*0.167)</f>
        <v>0.81961326594445183</v>
      </c>
      <c r="AL3" s="83">
        <f ca="1">(N3+I3+(LOG(J3)*4/3))*0.588</f>
        <v>2.9328639543433397</v>
      </c>
      <c r="AM3" s="83">
        <f ca="1">((L3+I3+(LOG(J3)*4/3))*0.754)</f>
        <v>11.15004935641986</v>
      </c>
      <c r="AN3" s="83">
        <f ca="1">((L3+I3+(LOG(J3)*4/3))*0.708)</f>
        <v>10.469807618495039</v>
      </c>
      <c r="AO3" s="83">
        <f ca="1">((Q3+I3+(LOG(J3)*4/3))*0.167)</f>
        <v>3.513323265944452</v>
      </c>
      <c r="AP3" s="83">
        <f ca="1">((R3+I3+(LOG(J3)*4/3))*0.288)</f>
        <v>1.4239047939640848</v>
      </c>
      <c r="AQ3" s="83">
        <f ca="1">((L3+I3+(LOG(J3)*4/3))*0.27)</f>
        <v>3.9927232443413296</v>
      </c>
      <c r="AR3" s="83">
        <f ca="1">((L3+I3+(LOG(J3)*4/3))*0.594)</f>
        <v>8.7839911375509239</v>
      </c>
      <c r="AS3" s="83">
        <f ca="1">AQ3/2</f>
        <v>1.9963616221706648</v>
      </c>
      <c r="AT3" s="83">
        <f ca="1">((M3+I3+(LOG(J3)*4/3))*0.944)</f>
        <v>4.6330234913267212</v>
      </c>
      <c r="AU3" s="83">
        <f ca="1">((O3+I3+(LOG(J3)*4/3))*0.13)</f>
        <v>0.49242230283101057</v>
      </c>
      <c r="AV3" s="83">
        <f ca="1">((P3+I3+(LOG(J3)*4/3))*0.173)+((O3+I3+(LOG(J3)*4/3))*0.12)</f>
        <v>0.94549411330373911</v>
      </c>
      <c r="AW3" s="83">
        <f ca="1">AU3/2</f>
        <v>0.24621115141550529</v>
      </c>
      <c r="AX3" s="83">
        <f ca="1">((L3+I3+(LOG(J3)*4/3))*0.189)</f>
        <v>2.7949062710389305</v>
      </c>
      <c r="AY3" s="83">
        <f ca="1">((L3+I3+(LOG(J3)*4/3))*0.4)</f>
        <v>5.9151455471723402</v>
      </c>
      <c r="AZ3" s="83">
        <f ca="1">AX3/2</f>
        <v>1.3974531355194653</v>
      </c>
      <c r="BA3" s="83">
        <f ca="1">((M3+I3+(LOG(J3)*4/3))*1)</f>
        <v>4.9078638679308488</v>
      </c>
      <c r="BB3" s="83">
        <f ca="1">((O3+I3+(LOG(J3)*4/3))*0.253)</f>
        <v>0.95832955858650515</v>
      </c>
      <c r="BC3" s="83">
        <f ca="1">((P3+I3+(LOG(J3)*4/3))*0.21)+((O3+I3+(LOG(J3)*4/3))*0.341)</f>
        <v>1.8876129912298987</v>
      </c>
      <c r="BD3" s="83">
        <f ca="1">BB3/2</f>
        <v>0.47916477929325257</v>
      </c>
      <c r="BE3" s="83">
        <f ca="1">((L3+I3+(LOG(J3)*4/3))*0.291)</f>
        <v>4.3032683855678764</v>
      </c>
      <c r="BF3" s="83">
        <f ca="1">((L3+I3+(LOG(J3)*4/3))*0.348)</f>
        <v>5.1461766260399351</v>
      </c>
      <c r="BG3" s="83">
        <f ca="1">((M3+I3+(LOG(J3)*4/3))*0.881)</f>
        <v>4.3238280676470779</v>
      </c>
      <c r="BH3" s="83">
        <f ca="1">((N3+I3+(LOG(J3)*4/3))*0.574)+((O3+I3+(LOG(J3)*4/3))*0.315)</f>
        <v>4.056210978590526</v>
      </c>
      <c r="BI3" s="83">
        <f ca="1">((O3+I3+(LOG(J3)*4/3))*0.241)</f>
        <v>0.91287519217133495</v>
      </c>
      <c r="BJ3" s="83">
        <f ca="1">((L3+I3+(LOG(J3)*4/3))*0.485)</f>
        <v>7.1721139759464618</v>
      </c>
      <c r="BK3" s="83">
        <f ca="1">((L3+I3+(LOG(J3)*4/3))*0.264)</f>
        <v>3.9039960611337441</v>
      </c>
      <c r="BL3" s="83">
        <f ca="1">((M3+I3+(LOG(J3)*4/3))*0.381)</f>
        <v>1.8698961336816535</v>
      </c>
      <c r="BM3" s="83">
        <f ca="1">((N3+I3+(LOG(J3)*4/3))*0.673)+((O3+I3+(LOG(J3)*4/3))*0.201)</f>
        <v>4.1181930205715629</v>
      </c>
      <c r="BN3" s="83">
        <f ca="1">((O3+I3+(LOG(J3)*4/3))*0.052)</f>
        <v>0.19696892113240422</v>
      </c>
      <c r="BO3" s="83">
        <f ca="1">((L3+I3+(LOG(J3)*4/3))*0.18)</f>
        <v>2.6618154962275526</v>
      </c>
      <c r="BP3" s="83">
        <f ca="1">(L3+I3+(LOG(J3)*4/3))*0.068</f>
        <v>1.0055747430192978</v>
      </c>
      <c r="BQ3" s="83">
        <f ca="1">((M3+I3+(LOG(J3)*4/3))*0.305)</f>
        <v>1.4968984797189089</v>
      </c>
      <c r="BR3" s="83">
        <f ca="1">((N3+I3+(LOG(J3)*4/3))*1)+((O3+I3+(LOG(J3)*4/3))*0.286)</f>
        <v>6.0711929341590727</v>
      </c>
      <c r="BS3" s="83">
        <f ca="1">((O3+I3+(LOG(J3)*4/3))*0.135)</f>
        <v>0.51136162217066483</v>
      </c>
      <c r="BT3" s="83">
        <f ca="1">((L3+I3+(LOG(J3)*4/3))*0.284)</f>
        <v>4.1997533384923607</v>
      </c>
      <c r="BU3" s="83">
        <f ca="1">(L3+I3+(LOG(J3)*4/3))*0.244</f>
        <v>3.6082387837751271</v>
      </c>
      <c r="BV3" s="83">
        <f ca="1">((M3+I3+(LOG(J3)*4/3))*0.455)</f>
        <v>2.2330780599085363</v>
      </c>
      <c r="BW3" s="83">
        <f ca="1">((N3+I3+(LOG(J3)*4/3))*0.864)+((O3+I3+(LOG(J3)*4/3))*0.244)</f>
        <v>5.2337531656673812</v>
      </c>
      <c r="BX3" s="83">
        <f ca="1">((O3+I3+(LOG(J3)*4/3))*0.121)</f>
        <v>0.45833152801963289</v>
      </c>
      <c r="BY3" s="83">
        <f ca="1">((L3+I3+(LOG(J3)*4/3))*0.284)</f>
        <v>4.1997533384923607</v>
      </c>
      <c r="BZ3" s="83">
        <f ca="1">((L3+I3+(LOG(J3)*4/3))*0.244)</f>
        <v>3.6082387837751271</v>
      </c>
      <c r="CA3" s="83">
        <f ca="1">((M3+I3+(LOG(J3)*4/3))*0.631)</f>
        <v>3.0968621006643655</v>
      </c>
      <c r="CB3" s="83">
        <f ca="1">((N3+I3+(LOG(J3)*4/3))*0.702)+((O3+I3+(LOG(J3)*4/3))*0.193)</f>
        <v>4.2325381617981108</v>
      </c>
      <c r="CC3" s="83">
        <f ca="1">((O3+I3+(LOG(J3)*4/3))*0.148)</f>
        <v>0.56060385245376587</v>
      </c>
      <c r="CD3" s="83">
        <f ca="1">((M3+I3+(LOG(J3)*4/3))*0.406)</f>
        <v>1.9925927303799247</v>
      </c>
      <c r="CE3" s="83">
        <f ca="1">IF(D3="TEC",((N3+I3+(LOG(J3)*4/3))*0.15)+((O3+I3+(LOG(J3)*4/3))*0.324)+((P3+I3+(LOG(J3)*4/3))*0.127),(((N3+I3+(LOG(J3)*4/3))*0.144)+((O3+I3+(LOG(J3)*4/3))*0.25)+((P3+I3+(LOG(J3)*4/3))*0.127)))</f>
        <v>2.0256270751919732</v>
      </c>
      <c r="CF3" s="83">
        <f ca="1">((O3+I3+(LOG(J3)*4/3))*0.543)+((P3+I3+(LOG(J3)*4/3))*0.583)</f>
        <v>3.7112847152901378</v>
      </c>
      <c r="CG3" s="83">
        <f ca="1">CE3</f>
        <v>2.0256270751919732</v>
      </c>
      <c r="CH3" s="83">
        <f ca="1">((P3+1+(LOG(J3)*4/3))*0.26)+((N3+I3+(LOG(J3)*4/3))*0.221)+((O3+I3+(LOG(J3)*4/3))*0.142)</f>
        <v>2.3780391897209197</v>
      </c>
      <c r="CI3" s="83">
        <f ca="1">((P3+I3+(LOG(J3)*4/3))*1)+((O3+I3+(LOG(J3)*4/3))*0.369)</f>
        <v>4.2355856351973342</v>
      </c>
      <c r="CJ3" s="83">
        <f ca="1">CH3</f>
        <v>2.3780391897209197</v>
      </c>
      <c r="CK3" s="83">
        <f ca="1">((M3+I3+(LOG(J3)*4/3))*0.25)</f>
        <v>1.2269659669827122</v>
      </c>
    </row>
    <row r="4" spans="1:89" x14ac:dyDescent="0.25">
      <c r="A4" t="str">
        <f>Plantilla!D5</f>
        <v>T. Hammond</v>
      </c>
      <c r="B4" s="319">
        <f>Plantilla!E5</f>
        <v>39</v>
      </c>
      <c r="C4" s="115">
        <f ca="1">Plantilla!F5</f>
        <v>40</v>
      </c>
      <c r="D4" s="319" t="str">
        <f>Plantilla!G5</f>
        <v>CAB</v>
      </c>
      <c r="E4" s="265">
        <v>36526</v>
      </c>
      <c r="F4" s="115">
        <f>Plantilla!Q5</f>
        <v>4</v>
      </c>
      <c r="G4" s="142">
        <f t="shared" ref="G4:G26" si="0">(F4/7)^0.5</f>
        <v>0.7559289460184544</v>
      </c>
      <c r="H4" s="142">
        <f t="shared" ref="H4:H26" si="1">IF(F4=7,1,((F4+0.99)/7)^0.5)</f>
        <v>0.84430867747355465</v>
      </c>
      <c r="I4" s="195">
        <f>Plantilla!P5</f>
        <v>1.5</v>
      </c>
      <c r="J4" s="196">
        <f>Plantilla!I5</f>
        <v>8.4</v>
      </c>
      <c r="K4" s="49">
        <f>Plantilla!X5</f>
        <v>7.95</v>
      </c>
      <c r="L4" s="49">
        <f>Plantilla!Y5</f>
        <v>6.95</v>
      </c>
      <c r="M4" s="49">
        <f>Plantilla!Z5</f>
        <v>0.95</v>
      </c>
      <c r="N4" s="49">
        <f>Plantilla!AA5</f>
        <v>0.95</v>
      </c>
      <c r="O4" s="49">
        <f>Plantilla!AB5</f>
        <v>1.95</v>
      </c>
      <c r="P4" s="49">
        <f>Plantilla!AC5</f>
        <v>0</v>
      </c>
      <c r="Q4" s="49">
        <f>Plantilla!AD5</f>
        <v>13.95</v>
      </c>
      <c r="R4" s="196">
        <f t="shared" ref="R4:R26" si="2">((2*(O4+1))+(L4+1))/8</f>
        <v>1.7312500000000002</v>
      </c>
      <c r="S4" s="196">
        <f t="shared" ref="S4:S26" si="3">1.66*(P4+(LOG(J4)*4/3)+I4)+0.55*(Q4+(LOG(J4)*4/3)+I4)-7.6</f>
        <v>6.1110429629290124</v>
      </c>
      <c r="T4" s="49">
        <f t="shared" ref="T4:T26" si="4">(0.5*P4+ 0.3*Q4)/10</f>
        <v>0.41849999999999998</v>
      </c>
      <c r="U4" s="49">
        <f t="shared" ref="U4:U26" si="5">(0.4*L4+0.3*Q4)/10</f>
        <v>0.69650000000000001</v>
      </c>
      <c r="V4" s="196">
        <f t="shared" ref="V4:V26" ca="1" si="6">IF(TODAY()-E4&gt;335,(Q4+1+(LOG(J4)*4/3))*(F4/7)^0.5,(Q4+((TODAY()-E4)^0.5)/(336^0.5)+(LOG(J4)*4/3))*(F4/7)^0.5)</f>
        <v>12.232723698361823</v>
      </c>
      <c r="W4" s="196">
        <f t="shared" ref="W4:W26" ca="1" si="7">IF(F4=7,V4,IF(TODAY()-E4&gt;335,(Q4+1+(LOG(J4)*4/3))*((F4+0.99)/7)^0.5,(Q4+((TODAY()-E4)^0.5)/(336^0.5)+(LOG(J4)*4/3))*((F4+0.99)/7)^0.5))</f>
        <v>13.662917423737786</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2.7859561876964456</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19">
        <f>Plantilla!E6</f>
        <v>36</v>
      </c>
      <c r="C5" s="115">
        <f ca="1">Plantilla!F6</f>
        <v>42</v>
      </c>
      <c r="D5" s="319">
        <f>Plantilla!G6</f>
        <v>0</v>
      </c>
      <c r="E5" s="265">
        <v>36526</v>
      </c>
      <c r="F5" s="115">
        <f>Plantilla!Q6</f>
        <v>7</v>
      </c>
      <c r="G5" s="142">
        <f t="shared" si="0"/>
        <v>1</v>
      </c>
      <c r="H5" s="142">
        <f t="shared" si="1"/>
        <v>1</v>
      </c>
      <c r="I5" s="195">
        <f>Plantilla!P6</f>
        <v>1.5</v>
      </c>
      <c r="J5" s="196">
        <f>Plantilla!I6</f>
        <v>18.3</v>
      </c>
      <c r="K5" s="49">
        <f>Plantilla!X6</f>
        <v>0</v>
      </c>
      <c r="L5" s="49">
        <f>Plantilla!Y6</f>
        <v>11.95</v>
      </c>
      <c r="M5" s="49">
        <f>Plantilla!Z6</f>
        <v>11.75</v>
      </c>
      <c r="N5" s="49">
        <f>Plantilla!AA6</f>
        <v>8.9499999999999993</v>
      </c>
      <c r="O5" s="49">
        <f>Plantilla!AB6</f>
        <v>7.95</v>
      </c>
      <c r="P5" s="49">
        <f>Plantilla!AC6</f>
        <v>0.95</v>
      </c>
      <c r="Q5" s="49">
        <f>Plantilla!AD6</f>
        <v>17.177777777777774</v>
      </c>
      <c r="R5" s="196">
        <f t="shared" si="2"/>
        <v>3.8562499999999997</v>
      </c>
      <c r="S5" s="196">
        <f t="shared" si="3"/>
        <v>10.459800322183442</v>
      </c>
      <c r="T5" s="49">
        <f t="shared" si="4"/>
        <v>0.56283333333333307</v>
      </c>
      <c r="U5" s="49">
        <f t="shared" si="5"/>
        <v>0.99333333333333318</v>
      </c>
      <c r="V5" s="196">
        <f t="shared" ca="1" si="6"/>
        <v>19.861045897418347</v>
      </c>
      <c r="W5" s="196">
        <f t="shared" ca="1" si="7"/>
        <v>19.861045897418347</v>
      </c>
      <c r="X5" s="83">
        <f t="shared" si="8"/>
        <v>6.0771930684462196</v>
      </c>
      <c r="Y5" s="83">
        <f t="shared" si="9"/>
        <v>9.18834914245598</v>
      </c>
      <c r="Z5" s="83">
        <f t="shared" si="10"/>
        <v>6.0771930684462196</v>
      </c>
      <c r="AA5" s="83">
        <f t="shared" si="11"/>
        <v>7.8087663497345359</v>
      </c>
      <c r="AB5" s="83">
        <f t="shared" si="12"/>
        <v>15.133268119640572</v>
      </c>
      <c r="AC5" s="83">
        <f t="shared" si="13"/>
        <v>3.9043831748672679</v>
      </c>
      <c r="AD5" s="83">
        <f t="shared" si="14"/>
        <v>3.5541178124744564</v>
      </c>
      <c r="AE5" s="83">
        <f t="shared" si="15"/>
        <v>5.7203753492241365</v>
      </c>
      <c r="AF5" s="83">
        <f t="shared" si="16"/>
        <v>10.941352850500133</v>
      </c>
      <c r="AG5" s="83">
        <f t="shared" si="17"/>
        <v>2.8601876746120682</v>
      </c>
      <c r="AH5" s="83">
        <f t="shared" si="18"/>
        <v>5.7493082260616211</v>
      </c>
      <c r="AI5" s="83">
        <f t="shared" si="19"/>
        <v>13.922606670069326</v>
      </c>
      <c r="AJ5" s="83">
        <f t="shared" si="20"/>
        <v>6.2651730015311964</v>
      </c>
      <c r="AK5" s="83">
        <f t="shared" si="21"/>
        <v>2.4938557759799758</v>
      </c>
      <c r="AL5" s="83">
        <f t="shared" si="22"/>
        <v>7.1343616543486563</v>
      </c>
      <c r="AM5" s="83">
        <f t="shared" si="23"/>
        <v>11.410484162208991</v>
      </c>
      <c r="AN5" s="83">
        <f t="shared" si="24"/>
        <v>10.714353828705525</v>
      </c>
      <c r="AO5" s="83">
        <f t="shared" si="25"/>
        <v>3.4002946648688641</v>
      </c>
      <c r="AP5" s="83">
        <f t="shared" si="26"/>
        <v>2.0273812184564846</v>
      </c>
      <c r="AQ5" s="83">
        <f t="shared" si="27"/>
        <v>4.085982392302955</v>
      </c>
      <c r="AR5" s="83">
        <f t="shared" si="28"/>
        <v>8.9891612630664994</v>
      </c>
      <c r="AS5" s="83">
        <f t="shared" si="29"/>
        <v>2.0429911961514775</v>
      </c>
      <c r="AT5" s="83">
        <f t="shared" si="30"/>
        <v>14.097005104940701</v>
      </c>
      <c r="AU5" s="83">
        <f t="shared" si="31"/>
        <v>1.4473248555532745</v>
      </c>
      <c r="AV5" s="83">
        <f t="shared" si="32"/>
        <v>2.0510475590546875</v>
      </c>
      <c r="AW5" s="83">
        <f t="shared" si="33"/>
        <v>0.72366242777663725</v>
      </c>
      <c r="AX5" s="83">
        <f t="shared" si="34"/>
        <v>2.8601876746120682</v>
      </c>
      <c r="AY5" s="83">
        <f t="shared" si="35"/>
        <v>6.0533072478562291</v>
      </c>
      <c r="AZ5" s="83">
        <f t="shared" si="36"/>
        <v>1.4300938373060341</v>
      </c>
      <c r="BA5" s="83">
        <f t="shared" si="37"/>
        <v>14.933268119640573</v>
      </c>
      <c r="BB5" s="83">
        <f t="shared" si="38"/>
        <v>2.8167168342690649</v>
      </c>
      <c r="BC5" s="83">
        <f t="shared" si="39"/>
        <v>4.6644307339219555</v>
      </c>
      <c r="BD5" s="83">
        <f t="shared" si="40"/>
        <v>1.4083584171345325</v>
      </c>
      <c r="BE5" s="83">
        <f t="shared" si="41"/>
        <v>4.403781022815406</v>
      </c>
      <c r="BF5" s="83">
        <f t="shared" si="42"/>
        <v>5.2663773056349186</v>
      </c>
      <c r="BG5" s="83">
        <f t="shared" si="43"/>
        <v>13.156209213403345</v>
      </c>
      <c r="BH5" s="83">
        <f t="shared" si="44"/>
        <v>10.471475358360468</v>
      </c>
      <c r="BI5" s="83">
        <f t="shared" si="45"/>
        <v>2.6831176168333779</v>
      </c>
      <c r="BJ5" s="83">
        <f t="shared" si="46"/>
        <v>7.3396350380256772</v>
      </c>
      <c r="BK5" s="83">
        <f t="shared" si="47"/>
        <v>3.9951827835851113</v>
      </c>
      <c r="BL5" s="83">
        <f t="shared" si="48"/>
        <v>5.6895751535830588</v>
      </c>
      <c r="BM5" s="83">
        <f t="shared" si="49"/>
        <v>10.403476336565861</v>
      </c>
      <c r="BN5" s="83">
        <f t="shared" si="50"/>
        <v>0.57892994222130978</v>
      </c>
      <c r="BO5" s="83">
        <f t="shared" si="51"/>
        <v>2.723988261535303</v>
      </c>
      <c r="BP5" s="83">
        <f t="shared" si="52"/>
        <v>1.0290622321355589</v>
      </c>
      <c r="BQ5" s="83">
        <f t="shared" si="53"/>
        <v>4.5546467764903751</v>
      </c>
      <c r="BR5" s="83">
        <f t="shared" si="54"/>
        <v>15.317382801857775</v>
      </c>
      <c r="BS5" s="83">
        <f t="shared" si="55"/>
        <v>1.5029911961514772</v>
      </c>
      <c r="BT5" s="83">
        <f t="shared" si="56"/>
        <v>4.2978481459779223</v>
      </c>
      <c r="BU5" s="83">
        <f t="shared" si="57"/>
        <v>3.6925174211922998</v>
      </c>
      <c r="BV5" s="83">
        <f t="shared" si="58"/>
        <v>6.7946369944364609</v>
      </c>
      <c r="BW5" s="83">
        <f t="shared" si="59"/>
        <v>13.199661076561755</v>
      </c>
      <c r="BX5" s="83">
        <f t="shared" si="60"/>
        <v>1.3471254424765091</v>
      </c>
      <c r="BY5" s="83">
        <f t="shared" si="61"/>
        <v>4.2978481459779223</v>
      </c>
      <c r="BZ5" s="83">
        <f t="shared" si="62"/>
        <v>3.6925174211922998</v>
      </c>
      <c r="CA5" s="83">
        <f t="shared" si="63"/>
        <v>9.422892183493202</v>
      </c>
      <c r="CB5" s="83">
        <f t="shared" si="64"/>
        <v>10.666274967078312</v>
      </c>
      <c r="CC5" s="83">
        <f t="shared" si="65"/>
        <v>1.6477236817068046</v>
      </c>
      <c r="CD5" s="83">
        <f t="shared" si="66"/>
        <v>6.0629068565740729</v>
      </c>
      <c r="CE5" s="83">
        <f t="shared" si="67"/>
        <v>5.0554326903327382</v>
      </c>
      <c r="CF5" s="83">
        <f t="shared" si="68"/>
        <v>8.4550599027152842</v>
      </c>
      <c r="CG5" s="83">
        <f t="shared" si="69"/>
        <v>5.0554326903327382</v>
      </c>
      <c r="CH5" s="83">
        <f t="shared" si="70"/>
        <v>5.2070260385360765</v>
      </c>
      <c r="CI5" s="83">
        <f t="shared" si="71"/>
        <v>8.2414440557879445</v>
      </c>
      <c r="CJ5" s="83">
        <f t="shared" si="72"/>
        <v>5.2070260385360765</v>
      </c>
      <c r="CK5" s="83">
        <f t="shared" si="73"/>
        <v>3.7333170299101432</v>
      </c>
    </row>
    <row r="6" spans="1:89" x14ac:dyDescent="0.25">
      <c r="A6" t="str">
        <f>Plantilla!D7</f>
        <v>B. Bartolache</v>
      </c>
      <c r="B6" s="319">
        <f>Plantilla!E7</f>
        <v>36</v>
      </c>
      <c r="C6" s="115">
        <f ca="1">Plantilla!F7</f>
        <v>27</v>
      </c>
      <c r="D6" s="319">
        <f>Plantilla!G7</f>
        <v>0</v>
      </c>
      <c r="E6" s="265">
        <v>36526</v>
      </c>
      <c r="F6" s="115">
        <f>Plantilla!Q7</f>
        <v>7</v>
      </c>
      <c r="G6" s="142">
        <f t="shared" si="0"/>
        <v>1</v>
      </c>
      <c r="H6" s="142">
        <f t="shared" si="1"/>
        <v>1</v>
      </c>
      <c r="I6" s="195">
        <f>Plantilla!P7</f>
        <v>1.5</v>
      </c>
      <c r="J6" s="196">
        <f>Plantilla!I7</f>
        <v>11.8</v>
      </c>
      <c r="K6" s="49">
        <f>Plantilla!X7</f>
        <v>0</v>
      </c>
      <c r="L6" s="49">
        <f>Plantilla!Y7</f>
        <v>11.95</v>
      </c>
      <c r="M6" s="49">
        <f>Plantilla!Z7</f>
        <v>5.95</v>
      </c>
      <c r="N6" s="49">
        <f>Plantilla!AA7</f>
        <v>6.95</v>
      </c>
      <c r="O6" s="49">
        <f>Plantilla!AB7</f>
        <v>7.95</v>
      </c>
      <c r="P6" s="49">
        <f>Plantilla!AC7</f>
        <v>1.95</v>
      </c>
      <c r="Q6" s="49">
        <f>Plantilla!AD7</f>
        <v>16</v>
      </c>
      <c r="R6" s="196">
        <f t="shared" si="2"/>
        <v>3.8562499999999997</v>
      </c>
      <c r="S6" s="196">
        <f t="shared" si="3"/>
        <v>10.910478981528717</v>
      </c>
      <c r="T6" s="49">
        <f t="shared" si="4"/>
        <v>0.5774999999999999</v>
      </c>
      <c r="U6" s="49">
        <f t="shared" si="5"/>
        <v>0.95799999999999996</v>
      </c>
      <c r="V6" s="196">
        <f t="shared" ca="1" si="6"/>
        <v>18.4291760097415</v>
      </c>
      <c r="W6" s="196">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19">
        <f>Plantilla!E8</f>
        <v>32</v>
      </c>
      <c r="C7" s="115">
        <f ca="1">Plantilla!F8</f>
        <v>50</v>
      </c>
      <c r="D7" s="319">
        <f>Plantilla!G8</f>
        <v>0</v>
      </c>
      <c r="E7" s="265">
        <v>36526</v>
      </c>
      <c r="F7" s="115">
        <f>Plantilla!Q8</f>
        <v>5</v>
      </c>
      <c r="G7" s="142">
        <f t="shared" si="0"/>
        <v>0.84515425472851657</v>
      </c>
      <c r="H7" s="142">
        <f t="shared" si="1"/>
        <v>0.92504826128926143</v>
      </c>
      <c r="I7" s="195">
        <f>Plantilla!P8</f>
        <v>1.5</v>
      </c>
      <c r="J7" s="196">
        <f>Plantilla!I8</f>
        <v>6.4</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196">
        <f t="shared" si="2"/>
        <v>3.7914166666666662</v>
      </c>
      <c r="S7" s="196">
        <f t="shared" si="3"/>
        <v>10.322404767783633</v>
      </c>
      <c r="T7" s="49">
        <f t="shared" si="4"/>
        <v>0.5475833333333332</v>
      </c>
      <c r="U7" s="49">
        <f t="shared" si="5"/>
        <v>0.78426999999999991</v>
      </c>
      <c r="V7" s="196">
        <f t="shared" ca="1" si="6"/>
        <v>13.024687215268859</v>
      </c>
      <c r="W7" s="196">
        <f t="shared" ca="1" si="7"/>
        <v>14.255935167943017</v>
      </c>
      <c r="X7" s="83">
        <f t="shared" si="8"/>
        <v>4.898781489717245</v>
      </c>
      <c r="Y7" s="83">
        <f t="shared" si="9"/>
        <v>7.4061877952175976</v>
      </c>
      <c r="Z7" s="83">
        <f t="shared" si="10"/>
        <v>4.898781489717245</v>
      </c>
      <c r="AA7" s="83">
        <f t="shared" si="11"/>
        <v>6.2846598221009149</v>
      </c>
      <c r="AB7" s="83">
        <f t="shared" si="12"/>
        <v>12.179573298645183</v>
      </c>
      <c r="AC7" s="83">
        <f t="shared" si="13"/>
        <v>3.1423299110504574</v>
      </c>
      <c r="AD7" s="83">
        <f t="shared" si="14"/>
        <v>2.5168277784108866</v>
      </c>
      <c r="AE7" s="83">
        <f t="shared" si="15"/>
        <v>4.6038787068878788</v>
      </c>
      <c r="AF7" s="83">
        <f t="shared" si="16"/>
        <v>8.8058314949204668</v>
      </c>
      <c r="AG7" s="83">
        <f t="shared" si="17"/>
        <v>2.3019393534439394</v>
      </c>
      <c r="AH7" s="83">
        <f t="shared" si="18"/>
        <v>4.0713390533117284</v>
      </c>
      <c r="AI7" s="83">
        <f t="shared" si="19"/>
        <v>11.205207434753568</v>
      </c>
      <c r="AJ7" s="83">
        <f t="shared" si="20"/>
        <v>5.0423433456391056</v>
      </c>
      <c r="AK7" s="83">
        <f t="shared" si="21"/>
        <v>1.7660094075404122</v>
      </c>
      <c r="AL7" s="83">
        <f t="shared" si="22"/>
        <v>5.1361250996033663</v>
      </c>
      <c r="AM7" s="83">
        <f t="shared" si="23"/>
        <v>9.1833982671784682</v>
      </c>
      <c r="AN7" s="83">
        <f t="shared" si="24"/>
        <v>8.6231378954407898</v>
      </c>
      <c r="AO7" s="83">
        <f t="shared" si="25"/>
        <v>2.6571399630959678</v>
      </c>
      <c r="AP7" s="83">
        <f t="shared" si="26"/>
        <v>1.8335011100098124</v>
      </c>
      <c r="AQ7" s="83">
        <f t="shared" si="27"/>
        <v>3.2884847906341994</v>
      </c>
      <c r="AR7" s="83">
        <f t="shared" si="28"/>
        <v>7.2346665393952385</v>
      </c>
      <c r="AS7" s="83">
        <f t="shared" si="29"/>
        <v>1.6442423953170997</v>
      </c>
      <c r="AT7" s="83">
        <f t="shared" si="30"/>
        <v>9.9827118605877185</v>
      </c>
      <c r="AU7" s="83">
        <f t="shared" si="31"/>
        <v>1.4869711954905402</v>
      </c>
      <c r="AV7" s="83">
        <f t="shared" si="32"/>
        <v>2.3283976431697049</v>
      </c>
      <c r="AW7" s="83">
        <f t="shared" si="33"/>
        <v>0.74348559774527012</v>
      </c>
      <c r="AX7" s="83">
        <f t="shared" si="34"/>
        <v>2.3019393534439394</v>
      </c>
      <c r="AY7" s="83">
        <f t="shared" si="35"/>
        <v>4.8718293194580733</v>
      </c>
      <c r="AZ7" s="83">
        <f t="shared" si="36"/>
        <v>1.1509696767219697</v>
      </c>
      <c r="BA7" s="83">
        <f t="shared" si="37"/>
        <v>10.574906631978516</v>
      </c>
      <c r="BB7" s="83">
        <f t="shared" si="38"/>
        <v>2.8938747112238974</v>
      </c>
      <c r="BC7" s="83">
        <f t="shared" si="39"/>
        <v>5.0606702208868288</v>
      </c>
      <c r="BD7" s="83">
        <f t="shared" si="40"/>
        <v>1.4469373556119487</v>
      </c>
      <c r="BE7" s="83">
        <f t="shared" si="41"/>
        <v>3.5442558299057478</v>
      </c>
      <c r="BF7" s="83">
        <f t="shared" si="42"/>
        <v>4.238491507928523</v>
      </c>
      <c r="BG7" s="83">
        <f t="shared" si="43"/>
        <v>9.3164927427730735</v>
      </c>
      <c r="BH7" s="83">
        <f t="shared" si="44"/>
        <v>8.6168819958288978</v>
      </c>
      <c r="BI7" s="83">
        <f t="shared" si="45"/>
        <v>2.756615831640155</v>
      </c>
      <c r="BJ7" s="83">
        <f t="shared" si="46"/>
        <v>5.9070930498429135</v>
      </c>
      <c r="BK7" s="83">
        <f t="shared" si="47"/>
        <v>3.2154073508423284</v>
      </c>
      <c r="BL7" s="83">
        <f t="shared" si="48"/>
        <v>4.0290394267838145</v>
      </c>
      <c r="BM7" s="83">
        <f t="shared" si="49"/>
        <v>8.1776783963492221</v>
      </c>
      <c r="BN7" s="83">
        <f t="shared" si="50"/>
        <v>0.59478847819621605</v>
      </c>
      <c r="BO7" s="83">
        <f t="shared" si="51"/>
        <v>2.1923231937561329</v>
      </c>
      <c r="BP7" s="83">
        <f t="shared" si="52"/>
        <v>0.82821098430787254</v>
      </c>
      <c r="BQ7" s="83">
        <f t="shared" si="53"/>
        <v>3.2253465227534472</v>
      </c>
      <c r="BR7" s="83">
        <f t="shared" si="54"/>
        <v>12.006243262057703</v>
      </c>
      <c r="BS7" s="83">
        <f t="shared" si="55"/>
        <v>1.5441623953170995</v>
      </c>
      <c r="BT7" s="83">
        <f t="shared" si="56"/>
        <v>3.4589988168152317</v>
      </c>
      <c r="BU7" s="83">
        <f t="shared" si="57"/>
        <v>2.9718158848694247</v>
      </c>
      <c r="BV7" s="83">
        <f t="shared" si="58"/>
        <v>4.8115825175502254</v>
      </c>
      <c r="BW7" s="83">
        <f t="shared" si="59"/>
        <v>10.337889881565527</v>
      </c>
      <c r="BX7" s="83">
        <f t="shared" si="60"/>
        <v>1.3840270358027336</v>
      </c>
      <c r="BY7" s="83">
        <f t="shared" si="61"/>
        <v>3.4589988168152317</v>
      </c>
      <c r="BZ7" s="83">
        <f t="shared" si="62"/>
        <v>2.9718158848694247</v>
      </c>
      <c r="CA7" s="83">
        <f t="shared" si="63"/>
        <v>6.672766084778444</v>
      </c>
      <c r="CB7" s="83">
        <f t="shared" si="64"/>
        <v>8.3394847689541027</v>
      </c>
      <c r="CC7" s="83">
        <f t="shared" si="65"/>
        <v>1.6928595148661534</v>
      </c>
      <c r="CD7" s="83">
        <f t="shared" si="66"/>
        <v>4.2934120925832779</v>
      </c>
      <c r="CE7" s="83">
        <f t="shared" si="67"/>
        <v>4.8190496885941396</v>
      </c>
      <c r="CF7" s="83">
        <f t="shared" si="68"/>
        <v>9.4319848676078095</v>
      </c>
      <c r="CG7" s="83">
        <f t="shared" si="69"/>
        <v>4.8190496885941396</v>
      </c>
      <c r="CH7" s="83">
        <f t="shared" si="70"/>
        <v>4.8611201650559481</v>
      </c>
      <c r="CI7" s="83">
        <f t="shared" si="71"/>
        <v>9.7456171791785877</v>
      </c>
      <c r="CJ7" s="83">
        <f t="shared" si="72"/>
        <v>4.8611201650559481</v>
      </c>
      <c r="CK7" s="83">
        <f t="shared" si="73"/>
        <v>2.643726657994629</v>
      </c>
    </row>
    <row r="8" spans="1:89" x14ac:dyDescent="0.25">
      <c r="A8" t="str">
        <f>Plantilla!D9</f>
        <v>E. Romweber</v>
      </c>
      <c r="B8" s="319">
        <f>Plantilla!E9</f>
        <v>36</v>
      </c>
      <c r="C8" s="115">
        <f ca="1">Plantilla!F9</f>
        <v>4</v>
      </c>
      <c r="D8" s="319" t="str">
        <f>Plantilla!G9</f>
        <v>IMP</v>
      </c>
      <c r="E8" s="265">
        <v>36526</v>
      </c>
      <c r="F8" s="115">
        <f>Plantilla!Q9</f>
        <v>6</v>
      </c>
      <c r="G8" s="142">
        <f t="shared" si="0"/>
        <v>0.92582009977255142</v>
      </c>
      <c r="H8" s="142">
        <f t="shared" si="1"/>
        <v>0.99928545900129484</v>
      </c>
      <c r="I8" s="195">
        <f>Plantilla!P9</f>
        <v>1.5</v>
      </c>
      <c r="J8" s="196">
        <f>Plantilla!I9</f>
        <v>17.399999999999999</v>
      </c>
      <c r="K8" s="49">
        <f>Plantilla!X9</f>
        <v>0</v>
      </c>
      <c r="L8" s="49">
        <f>Plantilla!Y9</f>
        <v>11.95</v>
      </c>
      <c r="M8" s="49">
        <f>Plantilla!Z9</f>
        <v>11.95</v>
      </c>
      <c r="N8" s="49">
        <f>Plantilla!AA9</f>
        <v>11.95</v>
      </c>
      <c r="O8" s="49">
        <f>Plantilla!AB9</f>
        <v>9.9499999999999993</v>
      </c>
      <c r="P8" s="49">
        <f>Plantilla!AC9</f>
        <v>5.95</v>
      </c>
      <c r="Q8" s="49">
        <f>Plantilla!AD9</f>
        <v>17.529999999999998</v>
      </c>
      <c r="R8" s="196">
        <f t="shared" si="2"/>
        <v>4.3562499999999993</v>
      </c>
      <c r="S8" s="196">
        <f t="shared" si="3"/>
        <v>18.888985118272728</v>
      </c>
      <c r="T8" s="49">
        <f t="shared" si="4"/>
        <v>0.82340000000000002</v>
      </c>
      <c r="U8" s="49">
        <f t="shared" si="5"/>
        <v>1.0039</v>
      </c>
      <c r="V8" s="196">
        <f t="shared" ca="1" si="6"/>
        <v>18.686813687209053</v>
      </c>
      <c r="W8" s="196">
        <f t="shared" ca="1" si="7"/>
        <v>20.169643321939041</v>
      </c>
      <c r="X8" s="83">
        <f t="shared" si="8"/>
        <v>6.0516993250009463</v>
      </c>
      <c r="Y8" s="83">
        <f t="shared" si="9"/>
        <v>9.1506487727104471</v>
      </c>
      <c r="Z8" s="83">
        <f t="shared" si="10"/>
        <v>6.0516993250009463</v>
      </c>
      <c r="AA8" s="83">
        <f t="shared" si="11"/>
        <v>7.7936978828184289</v>
      </c>
      <c r="AB8" s="83">
        <f t="shared" si="12"/>
        <v>15.104065664376799</v>
      </c>
      <c r="AC8" s="83">
        <f t="shared" si="13"/>
        <v>3.8968489414092145</v>
      </c>
      <c r="AD8" s="83">
        <f t="shared" si="14"/>
        <v>3.5947676281216783</v>
      </c>
      <c r="AE8" s="83">
        <f t="shared" si="15"/>
        <v>5.7093368211344302</v>
      </c>
      <c r="AF8" s="83">
        <f t="shared" si="16"/>
        <v>10.920239475344426</v>
      </c>
      <c r="AG8" s="83">
        <f t="shared" si="17"/>
        <v>2.8546684105672151</v>
      </c>
      <c r="AH8" s="83">
        <f t="shared" si="18"/>
        <v>5.8150652807850678</v>
      </c>
      <c r="AI8" s="83">
        <f t="shared" si="19"/>
        <v>13.895740411226656</v>
      </c>
      <c r="AJ8" s="83">
        <f t="shared" si="20"/>
        <v>6.2530831850519943</v>
      </c>
      <c r="AK8" s="83">
        <f t="shared" si="21"/>
        <v>2.5223789659509257</v>
      </c>
      <c r="AL8" s="83">
        <f t="shared" si="22"/>
        <v>8.8811906106535581</v>
      </c>
      <c r="AM8" s="83">
        <f t="shared" si="23"/>
        <v>11.388465510940106</v>
      </c>
      <c r="AN8" s="83">
        <f t="shared" si="24"/>
        <v>10.693678490378772</v>
      </c>
      <c r="AO8" s="83">
        <f t="shared" si="25"/>
        <v>3.4542389659509252</v>
      </c>
      <c r="AP8" s="83">
        <f t="shared" si="26"/>
        <v>2.1629709113405182</v>
      </c>
      <c r="AQ8" s="83">
        <f t="shared" si="27"/>
        <v>4.078097729381736</v>
      </c>
      <c r="AR8" s="83">
        <f t="shared" si="28"/>
        <v>8.9718150046398186</v>
      </c>
      <c r="AS8" s="83">
        <f t="shared" si="29"/>
        <v>2.039048864690868</v>
      </c>
      <c r="AT8" s="83">
        <f t="shared" si="30"/>
        <v>14.258237987171698</v>
      </c>
      <c r="AU8" s="83">
        <f t="shared" si="31"/>
        <v>1.703528536368984</v>
      </c>
      <c r="AV8" s="83">
        <f t="shared" si="32"/>
        <v>3.147491239662402</v>
      </c>
      <c r="AW8" s="83">
        <f t="shared" si="33"/>
        <v>0.85176426818449202</v>
      </c>
      <c r="AX8" s="83">
        <f t="shared" si="34"/>
        <v>2.8546684105672151</v>
      </c>
      <c r="AY8" s="83">
        <f t="shared" si="35"/>
        <v>6.04162626575072</v>
      </c>
      <c r="AZ8" s="83">
        <f t="shared" si="36"/>
        <v>1.4273342052836075</v>
      </c>
      <c r="BA8" s="83">
        <f t="shared" si="37"/>
        <v>15.104065664376799</v>
      </c>
      <c r="BB8" s="83">
        <f t="shared" si="38"/>
        <v>3.3153286130873303</v>
      </c>
      <c r="BC8" s="83">
        <f t="shared" si="39"/>
        <v>6.3803401810716167</v>
      </c>
      <c r="BD8" s="83">
        <f t="shared" si="40"/>
        <v>1.6576643065436651</v>
      </c>
      <c r="BE8" s="83">
        <f t="shared" si="41"/>
        <v>4.3952831083336479</v>
      </c>
      <c r="BF8" s="83">
        <f t="shared" si="42"/>
        <v>5.2562148512031257</v>
      </c>
      <c r="BG8" s="83">
        <f t="shared" si="43"/>
        <v>13.306681850315961</v>
      </c>
      <c r="BH8" s="83">
        <f t="shared" si="44"/>
        <v>12.797514375630975</v>
      </c>
      <c r="BI8" s="83">
        <f t="shared" si="45"/>
        <v>3.1580798251148083</v>
      </c>
      <c r="BJ8" s="83">
        <f t="shared" si="46"/>
        <v>7.3254718472227474</v>
      </c>
      <c r="BK8" s="83">
        <f t="shared" si="47"/>
        <v>3.987473335395475</v>
      </c>
      <c r="BL8" s="83">
        <f t="shared" si="48"/>
        <v>5.7546490181275605</v>
      </c>
      <c r="BM8" s="83">
        <f t="shared" si="49"/>
        <v>12.798953390665325</v>
      </c>
      <c r="BN8" s="83">
        <f t="shared" si="50"/>
        <v>0.68141141454759357</v>
      </c>
      <c r="BO8" s="83">
        <f t="shared" si="51"/>
        <v>2.7187318195878238</v>
      </c>
      <c r="BP8" s="83">
        <f t="shared" si="52"/>
        <v>1.0270764651776225</v>
      </c>
      <c r="BQ8" s="83">
        <f t="shared" si="53"/>
        <v>4.606740027634924</v>
      </c>
      <c r="BR8" s="83">
        <f t="shared" si="54"/>
        <v>18.851828444388563</v>
      </c>
      <c r="BS8" s="83">
        <f t="shared" si="55"/>
        <v>1.769048864690868</v>
      </c>
      <c r="BT8" s="83">
        <f t="shared" si="56"/>
        <v>4.2895546486830103</v>
      </c>
      <c r="BU8" s="83">
        <f t="shared" si="57"/>
        <v>3.6853920221079388</v>
      </c>
      <c r="BV8" s="83">
        <f t="shared" si="58"/>
        <v>6.8723498772914438</v>
      </c>
      <c r="BW8" s="83">
        <f t="shared" si="59"/>
        <v>16.247304756129491</v>
      </c>
      <c r="BX8" s="83">
        <f t="shared" si="60"/>
        <v>1.5855919453895926</v>
      </c>
      <c r="BY8" s="83">
        <f t="shared" si="61"/>
        <v>4.2895546486830103</v>
      </c>
      <c r="BZ8" s="83">
        <f t="shared" si="62"/>
        <v>3.6853920221079388</v>
      </c>
      <c r="CA8" s="83">
        <f t="shared" si="63"/>
        <v>9.5306654342217598</v>
      </c>
      <c r="CB8" s="83">
        <f t="shared" si="64"/>
        <v>13.132138769617235</v>
      </c>
      <c r="CC8" s="83">
        <f t="shared" si="65"/>
        <v>1.9394017183277661</v>
      </c>
      <c r="CD8" s="83">
        <f t="shared" si="66"/>
        <v>6.1322506597369806</v>
      </c>
      <c r="CE8" s="83">
        <f t="shared" si="67"/>
        <v>6.6072182111403119</v>
      </c>
      <c r="CF8" s="83">
        <f t="shared" si="68"/>
        <v>12.423177938088276</v>
      </c>
      <c r="CG8" s="83">
        <f t="shared" si="69"/>
        <v>6.6072182111403119</v>
      </c>
      <c r="CH8" s="83">
        <f t="shared" si="70"/>
        <v>7.4358329089067459</v>
      </c>
      <c r="CI8" s="83">
        <f t="shared" si="71"/>
        <v>13.939465894531839</v>
      </c>
      <c r="CJ8" s="83">
        <f t="shared" si="72"/>
        <v>7.4358329089067459</v>
      </c>
      <c r="CK8" s="83">
        <f t="shared" si="73"/>
        <v>3.7760164160941998</v>
      </c>
    </row>
    <row r="9" spans="1:89" x14ac:dyDescent="0.25">
      <c r="A9" t="str">
        <f>Plantilla!D10</f>
        <v>S. Buschelman</v>
      </c>
      <c r="B9" s="319">
        <f>Plantilla!E10</f>
        <v>34</v>
      </c>
      <c r="C9" s="115">
        <f ca="1">Plantilla!F10</f>
        <v>75</v>
      </c>
      <c r="D9" s="319" t="str">
        <f>Plantilla!G10</f>
        <v>TEC</v>
      </c>
      <c r="E9" s="265">
        <v>36526</v>
      </c>
      <c r="F9" s="115">
        <f>Plantilla!Q10</f>
        <v>5</v>
      </c>
      <c r="G9" s="142">
        <f t="shared" si="0"/>
        <v>0.84515425472851657</v>
      </c>
      <c r="H9" s="142">
        <f t="shared" si="1"/>
        <v>0.92504826128926143</v>
      </c>
      <c r="I9" s="195">
        <f>Plantilla!P10</f>
        <v>1.5</v>
      </c>
      <c r="J9" s="196">
        <f>Plantilla!I10</f>
        <v>14.9</v>
      </c>
      <c r="K9" s="49">
        <f>Plantilla!X10</f>
        <v>0</v>
      </c>
      <c r="L9" s="49">
        <f>Plantilla!Y10</f>
        <v>9.3036666666666648</v>
      </c>
      <c r="M9" s="49">
        <f>Plantilla!Z10</f>
        <v>14</v>
      </c>
      <c r="N9" s="49">
        <f>Plantilla!AA10</f>
        <v>12.945</v>
      </c>
      <c r="O9" s="49">
        <f>Plantilla!AB10</f>
        <v>9.9499999999999993</v>
      </c>
      <c r="P9" s="49">
        <f>Plantilla!AC10</f>
        <v>3.95</v>
      </c>
      <c r="Q9" s="49">
        <f>Plantilla!AD10</f>
        <v>16</v>
      </c>
      <c r="R9" s="196">
        <f t="shared" si="2"/>
        <v>4.0254583333333329</v>
      </c>
      <c r="S9" s="196">
        <f t="shared" si="3"/>
        <v>14.5289888709215</v>
      </c>
      <c r="T9" s="49">
        <f t="shared" si="4"/>
        <v>0.67749999999999999</v>
      </c>
      <c r="U9" s="49">
        <f t="shared" si="5"/>
        <v>0.8521466666666665</v>
      </c>
      <c r="V9" s="196">
        <f t="shared" ca="1" si="6"/>
        <v>15.68965348550172</v>
      </c>
      <c r="W9" s="196">
        <f t="shared" ca="1" si="7"/>
        <v>17.172825665601724</v>
      </c>
      <c r="X9" s="83">
        <f t="shared" si="8"/>
        <v>5.2429008164318862</v>
      </c>
      <c r="Y9" s="83">
        <f t="shared" si="9"/>
        <v>7.910002963360327</v>
      </c>
      <c r="Z9" s="83">
        <f t="shared" si="10"/>
        <v>5.2429008164318862</v>
      </c>
      <c r="AA9" s="83">
        <f t="shared" si="11"/>
        <v>6.3818441526676439</v>
      </c>
      <c r="AB9" s="83">
        <f t="shared" si="12"/>
        <v>12.367915024549697</v>
      </c>
      <c r="AC9" s="83">
        <f t="shared" si="13"/>
        <v>3.190922076333822</v>
      </c>
      <c r="AD9" s="83">
        <f t="shared" si="14"/>
        <v>4.0612911091761612</v>
      </c>
      <c r="AE9" s="83">
        <f t="shared" si="15"/>
        <v>4.6750718792797858</v>
      </c>
      <c r="AF9" s="83">
        <f t="shared" si="16"/>
        <v>8.9420025627494315</v>
      </c>
      <c r="AG9" s="83">
        <f t="shared" si="17"/>
        <v>2.3375359396398929</v>
      </c>
      <c r="AH9" s="83">
        <f t="shared" si="18"/>
        <v>6.5697356177849668</v>
      </c>
      <c r="AI9" s="83">
        <f t="shared" si="19"/>
        <v>11.378481822585723</v>
      </c>
      <c r="AJ9" s="83">
        <f t="shared" si="20"/>
        <v>5.1203168201635743</v>
      </c>
      <c r="AK9" s="83">
        <f t="shared" si="21"/>
        <v>2.8497294757664662</v>
      </c>
      <c r="AL9" s="83">
        <f t="shared" si="22"/>
        <v>9.413438034435222</v>
      </c>
      <c r="AM9" s="83">
        <f t="shared" si="23"/>
        <v>9.3254079285104723</v>
      </c>
      <c r="AN9" s="83">
        <f t="shared" si="24"/>
        <v>8.756483837381186</v>
      </c>
      <c r="AO9" s="83">
        <f t="shared" si="25"/>
        <v>3.1837294757664663</v>
      </c>
      <c r="AP9" s="83">
        <f t="shared" si="26"/>
        <v>2.041835527070313</v>
      </c>
      <c r="AQ9" s="83">
        <f t="shared" si="27"/>
        <v>3.3393370566284184</v>
      </c>
      <c r="AR9" s="83">
        <f t="shared" si="28"/>
        <v>7.3465415245825199</v>
      </c>
      <c r="AS9" s="83">
        <f t="shared" si="29"/>
        <v>1.6696685283142092</v>
      </c>
      <c r="AT9" s="83">
        <f t="shared" si="30"/>
        <v>16.10865044984158</v>
      </c>
      <c r="AU9" s="83">
        <f t="shared" si="31"/>
        <v>1.6918522865247942</v>
      </c>
      <c r="AV9" s="83">
        <f t="shared" si="32"/>
        <v>2.7751747688597281</v>
      </c>
      <c r="AW9" s="83">
        <f t="shared" si="33"/>
        <v>0.84592614326239712</v>
      </c>
      <c r="AX9" s="83">
        <f t="shared" si="34"/>
        <v>2.3375359396398929</v>
      </c>
      <c r="AY9" s="83">
        <f t="shared" si="35"/>
        <v>4.9471660098198793</v>
      </c>
      <c r="AZ9" s="83">
        <f t="shared" si="36"/>
        <v>1.1687679698199465</v>
      </c>
      <c r="BA9" s="83">
        <f t="shared" si="37"/>
        <v>17.064248357883031</v>
      </c>
      <c r="BB9" s="83">
        <f t="shared" si="38"/>
        <v>3.2926048345444072</v>
      </c>
      <c r="BC9" s="83">
        <f t="shared" si="39"/>
        <v>5.9108508451935506</v>
      </c>
      <c r="BD9" s="83">
        <f t="shared" si="40"/>
        <v>1.6463024172722036</v>
      </c>
      <c r="BE9" s="83">
        <f t="shared" si="41"/>
        <v>3.5990632721439617</v>
      </c>
      <c r="BF9" s="83">
        <f t="shared" si="42"/>
        <v>4.3040344285432948</v>
      </c>
      <c r="BG9" s="83">
        <f t="shared" si="43"/>
        <v>15.033602803294951</v>
      </c>
      <c r="BH9" s="83">
        <f t="shared" si="44"/>
        <v>13.288796790158013</v>
      </c>
      <c r="BI9" s="83">
        <f t="shared" si="45"/>
        <v>3.1364338542498107</v>
      </c>
      <c r="BJ9" s="83">
        <f t="shared" si="46"/>
        <v>5.9984387869066031</v>
      </c>
      <c r="BK9" s="83">
        <f t="shared" si="47"/>
        <v>3.2651295664811202</v>
      </c>
      <c r="BL9" s="83">
        <f t="shared" si="48"/>
        <v>6.5014786243534353</v>
      </c>
      <c r="BM9" s="83">
        <f t="shared" si="49"/>
        <v>13.390088064789769</v>
      </c>
      <c r="BN9" s="83">
        <f t="shared" si="50"/>
        <v>0.67674091460991759</v>
      </c>
      <c r="BO9" s="83">
        <f t="shared" si="51"/>
        <v>2.2262247044189456</v>
      </c>
      <c r="BP9" s="83">
        <f t="shared" si="52"/>
        <v>0.84101822166937945</v>
      </c>
      <c r="BQ9" s="83">
        <f t="shared" si="53"/>
        <v>5.2045957491543247</v>
      </c>
      <c r="BR9" s="83">
        <f t="shared" si="54"/>
        <v>19.731323388237577</v>
      </c>
      <c r="BS9" s="83">
        <f t="shared" si="55"/>
        <v>1.7569235283142095</v>
      </c>
      <c r="BT9" s="83">
        <f t="shared" si="56"/>
        <v>3.5124878669721138</v>
      </c>
      <c r="BU9" s="83">
        <f t="shared" si="57"/>
        <v>3.0177712659901261</v>
      </c>
      <c r="BV9" s="83">
        <f t="shared" si="58"/>
        <v>7.7642330028367796</v>
      </c>
      <c r="BW9" s="83">
        <f t="shared" si="59"/>
        <v>17.007467180534398</v>
      </c>
      <c r="BX9" s="83">
        <f t="shared" si="60"/>
        <v>1.5747240513038467</v>
      </c>
      <c r="BY9" s="83">
        <f t="shared" si="61"/>
        <v>3.5124878669721138</v>
      </c>
      <c r="BZ9" s="83">
        <f t="shared" si="62"/>
        <v>3.0177712659901261</v>
      </c>
      <c r="CA9" s="83">
        <f t="shared" si="63"/>
        <v>10.767540713824193</v>
      </c>
      <c r="CB9" s="83">
        <f t="shared" si="64"/>
        <v>13.750242280305311</v>
      </c>
      <c r="CC9" s="83">
        <f t="shared" si="65"/>
        <v>1.9261087569666886</v>
      </c>
      <c r="CD9" s="83">
        <f t="shared" si="66"/>
        <v>6.9280848333005114</v>
      </c>
      <c r="CE9" s="83">
        <f t="shared" si="67"/>
        <v>7.5088132630877018</v>
      </c>
      <c r="CF9" s="83">
        <f t="shared" si="68"/>
        <v>11.156043650976294</v>
      </c>
      <c r="CG9" s="83">
        <f t="shared" si="69"/>
        <v>7.5088132630877018</v>
      </c>
      <c r="CH9" s="83">
        <f t="shared" si="70"/>
        <v>7.0797717269611287</v>
      </c>
      <c r="CI9" s="83">
        <f t="shared" si="71"/>
        <v>11.816506001941871</v>
      </c>
      <c r="CJ9" s="83">
        <f t="shared" si="72"/>
        <v>7.0797717269611287</v>
      </c>
      <c r="CK9" s="83">
        <f t="shared" si="73"/>
        <v>4.2660620894707577</v>
      </c>
    </row>
    <row r="10" spans="1:89" x14ac:dyDescent="0.25">
      <c r="A10" t="str">
        <f>Plantilla!D11</f>
        <v>E. Gross</v>
      </c>
      <c r="B10" s="319">
        <f>Plantilla!E11</f>
        <v>35</v>
      </c>
      <c r="C10" s="115">
        <f ca="1">Plantilla!F11</f>
        <v>103</v>
      </c>
      <c r="D10" s="319">
        <f>Plantilla!G11</f>
        <v>0</v>
      </c>
      <c r="E10" s="265">
        <v>36526</v>
      </c>
      <c r="F10" s="115">
        <f>Plantilla!Q11</f>
        <v>6</v>
      </c>
      <c r="G10" s="142">
        <f t="shared" si="0"/>
        <v>0.92582009977255142</v>
      </c>
      <c r="H10" s="142">
        <f t="shared" si="1"/>
        <v>0.99928545900129484</v>
      </c>
      <c r="I10" s="195">
        <f>Plantilla!P11</f>
        <v>1.5</v>
      </c>
      <c r="J10" s="196">
        <f>Plantilla!I11</f>
        <v>13.2</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196">
        <f t="shared" si="2"/>
        <v>3.9312499999999995</v>
      </c>
      <c r="S10" s="196">
        <f t="shared" si="3"/>
        <v>10.108957850619907</v>
      </c>
      <c r="T10" s="49">
        <f t="shared" si="4"/>
        <v>0.5665</v>
      </c>
      <c r="U10" s="49">
        <f t="shared" si="5"/>
        <v>0.94099999999999984</v>
      </c>
      <c r="V10" s="196">
        <f t="shared" ca="1" si="6"/>
        <v>18.32577431755972</v>
      </c>
      <c r="W10" s="196">
        <f t="shared" ca="1" si="7"/>
        <v>19.779954879976927</v>
      </c>
      <c r="X10" s="83">
        <f t="shared" si="8"/>
        <v>5.5256480559236074</v>
      </c>
      <c r="Y10" s="83">
        <f t="shared" si="9"/>
        <v>8.3491312602490009</v>
      </c>
      <c r="Z10" s="83">
        <f t="shared" si="10"/>
        <v>5.5256480559236074</v>
      </c>
      <c r="AA10" s="83">
        <f t="shared" si="11"/>
        <v>6.9887548646696223</v>
      </c>
      <c r="AB10" s="83">
        <f t="shared" si="12"/>
        <v>13.544098574941128</v>
      </c>
      <c r="AC10" s="83">
        <f t="shared" si="13"/>
        <v>3.4943774323348111</v>
      </c>
      <c r="AD10" s="83">
        <f t="shared" si="14"/>
        <v>3.7946954608359897</v>
      </c>
      <c r="AE10" s="83">
        <f t="shared" si="15"/>
        <v>5.1196692613277461</v>
      </c>
      <c r="AF10" s="83">
        <f t="shared" si="16"/>
        <v>9.7923832696824356</v>
      </c>
      <c r="AG10" s="83">
        <f t="shared" si="17"/>
        <v>2.5598346306638731</v>
      </c>
      <c r="AH10" s="83">
        <f t="shared" si="18"/>
        <v>6.1384779513523364</v>
      </c>
      <c r="AI10" s="83">
        <f t="shared" si="19"/>
        <v>12.460570688945838</v>
      </c>
      <c r="AJ10" s="83">
        <f t="shared" si="20"/>
        <v>5.6072568100256266</v>
      </c>
      <c r="AK10" s="83">
        <f t="shared" si="21"/>
        <v>2.6626644620151696</v>
      </c>
      <c r="AL10" s="83">
        <f t="shared" si="22"/>
        <v>4.083129962065386</v>
      </c>
      <c r="AM10" s="83">
        <f t="shared" si="23"/>
        <v>10.212250325505611</v>
      </c>
      <c r="AN10" s="83">
        <f t="shared" si="24"/>
        <v>9.5892217910583177</v>
      </c>
      <c r="AO10" s="83">
        <f t="shared" si="25"/>
        <v>3.3891144620151699</v>
      </c>
      <c r="AP10" s="83">
        <f t="shared" si="26"/>
        <v>1.994500389583046</v>
      </c>
      <c r="AQ10" s="83">
        <f t="shared" si="27"/>
        <v>3.6569066152341048</v>
      </c>
      <c r="AR10" s="83">
        <f t="shared" si="28"/>
        <v>8.0451945535150298</v>
      </c>
      <c r="AS10" s="83">
        <f t="shared" si="29"/>
        <v>1.8284533076170524</v>
      </c>
      <c r="AT10" s="83">
        <f t="shared" si="30"/>
        <v>15.051229054744429</v>
      </c>
      <c r="AU10" s="83">
        <f t="shared" si="31"/>
        <v>1.5527328147423474</v>
      </c>
      <c r="AV10" s="83">
        <f t="shared" si="32"/>
        <v>2.115620882457752</v>
      </c>
      <c r="AW10" s="83">
        <f t="shared" si="33"/>
        <v>0.77636640737117368</v>
      </c>
      <c r="AX10" s="83">
        <f t="shared" si="34"/>
        <v>2.5598346306638731</v>
      </c>
      <c r="AY10" s="83">
        <f t="shared" si="35"/>
        <v>5.4176394299764512</v>
      </c>
      <c r="AZ10" s="83">
        <f t="shared" si="36"/>
        <v>1.2799173153319365</v>
      </c>
      <c r="BA10" s="83">
        <f t="shared" si="37"/>
        <v>15.944098574941133</v>
      </c>
      <c r="BB10" s="83">
        <f t="shared" si="38"/>
        <v>3.0218569394601067</v>
      </c>
      <c r="BC10" s="83">
        <f t="shared" si="39"/>
        <v>4.9011983147925644</v>
      </c>
      <c r="BD10" s="83">
        <f t="shared" si="40"/>
        <v>1.5109284697300533</v>
      </c>
      <c r="BE10" s="83">
        <f t="shared" si="41"/>
        <v>3.9413326853078678</v>
      </c>
      <c r="BF10" s="83">
        <f t="shared" si="42"/>
        <v>4.7133463040795123</v>
      </c>
      <c r="BG10" s="83">
        <f t="shared" si="43"/>
        <v>14.046750844523139</v>
      </c>
      <c r="BH10" s="83">
        <f t="shared" si="44"/>
        <v>7.7483036331226671</v>
      </c>
      <c r="BI10" s="83">
        <f t="shared" si="45"/>
        <v>2.8785277565608132</v>
      </c>
      <c r="BJ10" s="83">
        <f t="shared" si="46"/>
        <v>6.5688878088464469</v>
      </c>
      <c r="BK10" s="83">
        <f t="shared" si="47"/>
        <v>3.5756420237844577</v>
      </c>
      <c r="BL10" s="83">
        <f t="shared" si="48"/>
        <v>6.0747015570525722</v>
      </c>
      <c r="BM10" s="83">
        <f t="shared" si="49"/>
        <v>7.074142154498551</v>
      </c>
      <c r="BN10" s="83">
        <f t="shared" si="50"/>
        <v>0.62109312589693888</v>
      </c>
      <c r="BO10" s="83">
        <f t="shared" si="51"/>
        <v>2.4379377434894027</v>
      </c>
      <c r="BP10" s="83">
        <f t="shared" si="52"/>
        <v>0.92099870309599674</v>
      </c>
      <c r="BQ10" s="83">
        <f t="shared" si="53"/>
        <v>4.8629500653570457</v>
      </c>
      <c r="BR10" s="83">
        <f t="shared" si="54"/>
        <v>10.360110767374298</v>
      </c>
      <c r="BS10" s="83">
        <f t="shared" si="55"/>
        <v>1.6124533076170531</v>
      </c>
      <c r="BT10" s="83">
        <f t="shared" si="56"/>
        <v>3.8465239952832797</v>
      </c>
      <c r="BU10" s="83">
        <f t="shared" si="57"/>
        <v>3.3047600522856349</v>
      </c>
      <c r="BV10" s="83">
        <f t="shared" si="58"/>
        <v>7.2545648515982162</v>
      </c>
      <c r="BW10" s="83">
        <f t="shared" si="59"/>
        <v>8.9140612210347747</v>
      </c>
      <c r="BX10" s="83">
        <f t="shared" si="60"/>
        <v>1.445235927567877</v>
      </c>
      <c r="BY10" s="83">
        <f t="shared" si="61"/>
        <v>3.8465239952832797</v>
      </c>
      <c r="BZ10" s="83">
        <f t="shared" si="62"/>
        <v>3.3047600522856349</v>
      </c>
      <c r="CA10" s="83">
        <f t="shared" si="63"/>
        <v>10.060726200787855</v>
      </c>
      <c r="CB10" s="83">
        <f t="shared" si="64"/>
        <v>7.1799682245723133</v>
      </c>
      <c r="CC10" s="83">
        <f t="shared" si="65"/>
        <v>1.7677265890912877</v>
      </c>
      <c r="CD10" s="83">
        <f t="shared" si="66"/>
        <v>6.4733040214261006</v>
      </c>
      <c r="CE10" s="83">
        <f t="shared" si="67"/>
        <v>4.4868753575443305</v>
      </c>
      <c r="CF10" s="83">
        <f t="shared" si="68"/>
        <v>8.7850549953837156</v>
      </c>
      <c r="CG10" s="83">
        <f t="shared" si="69"/>
        <v>4.4868753575443305</v>
      </c>
      <c r="CH10" s="83">
        <f t="shared" si="70"/>
        <v>4.1261734121883258</v>
      </c>
      <c r="CI10" s="83">
        <f t="shared" si="71"/>
        <v>8.351470949094411</v>
      </c>
      <c r="CJ10" s="83">
        <f t="shared" si="72"/>
        <v>4.1261734121883258</v>
      </c>
      <c r="CK10" s="83">
        <f t="shared" si="73"/>
        <v>3.9860246437352833</v>
      </c>
    </row>
    <row r="11" spans="1:89" x14ac:dyDescent="0.25">
      <c r="A11" t="str">
        <f>Plantilla!D12</f>
        <v>W. Gelifini</v>
      </c>
      <c r="B11" s="319">
        <f>Plantilla!E12</f>
        <v>34</v>
      </c>
      <c r="C11" s="115">
        <f ca="1">Plantilla!F12</f>
        <v>28</v>
      </c>
      <c r="D11" s="319">
        <f>Plantilla!G12</f>
        <v>0</v>
      </c>
      <c r="E11" s="265">
        <v>36526</v>
      </c>
      <c r="F11" s="115">
        <f>Plantilla!Q12</f>
        <v>5</v>
      </c>
      <c r="G11" s="142">
        <f t="shared" si="0"/>
        <v>0.84515425472851657</v>
      </c>
      <c r="H11" s="142">
        <f t="shared" si="1"/>
        <v>0.92504826128926143</v>
      </c>
      <c r="I11" s="195">
        <f>Plantilla!P12</f>
        <v>1.5</v>
      </c>
      <c r="J11" s="196">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196">
        <f t="shared" si="2"/>
        <v>3.318944444444444</v>
      </c>
      <c r="S11" s="196">
        <f t="shared" si="3"/>
        <v>9.6027717628135694</v>
      </c>
      <c r="T11" s="49">
        <f t="shared" si="4"/>
        <v>0.53291666666666671</v>
      </c>
      <c r="U11" s="49">
        <f t="shared" si="5"/>
        <v>0.61147888888888879</v>
      </c>
      <c r="V11" s="196">
        <f t="shared" ca="1" si="6"/>
        <v>12.439125890961233</v>
      </c>
      <c r="W11" s="196">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19">
        <f>Plantilla!E13</f>
        <v>18</v>
      </c>
      <c r="C12" s="115">
        <f ca="1">Plantilla!F13</f>
        <v>98</v>
      </c>
      <c r="D12" s="319" t="str">
        <f>Plantilla!G13</f>
        <v>CAB</v>
      </c>
      <c r="E12" s="265">
        <f>Plantilla!O13</f>
        <v>43626</v>
      </c>
      <c r="F12" s="115">
        <f>Plantilla!Q13</f>
        <v>4</v>
      </c>
      <c r="G12" s="142">
        <f t="shared" si="0"/>
        <v>0.7559289460184544</v>
      </c>
      <c r="H12" s="142">
        <f t="shared" si="1"/>
        <v>0.84430867747355465</v>
      </c>
      <c r="I12" s="195">
        <f ca="1">Plantilla!P13</f>
        <v>0.26826417179081041</v>
      </c>
      <c r="J12" s="196">
        <f>Plantilla!I13</f>
        <v>0.5</v>
      </c>
      <c r="K12" s="49">
        <f>Plantilla!X13</f>
        <v>0</v>
      </c>
      <c r="L12" s="49">
        <f>Plantilla!Y13</f>
        <v>4</v>
      </c>
      <c r="M12" s="49">
        <f>Plantilla!Z13</f>
        <v>8.1999999999999993</v>
      </c>
      <c r="N12" s="49">
        <f>Plantilla!AA13</f>
        <v>3</v>
      </c>
      <c r="O12" s="49">
        <f>Plantilla!AB13</f>
        <v>4</v>
      </c>
      <c r="P12" s="49">
        <f>Plantilla!AC13</f>
        <v>7</v>
      </c>
      <c r="Q12" s="49">
        <f>Plantilla!AD13</f>
        <v>6</v>
      </c>
      <c r="R12" s="196">
        <f t="shared" si="2"/>
        <v>1.875</v>
      </c>
      <c r="S12" s="196">
        <f t="shared" ca="1" si="3"/>
        <v>7.0258287657678249</v>
      </c>
      <c r="T12" s="49">
        <f t="shared" si="4"/>
        <v>0.53</v>
      </c>
      <c r="U12" s="49">
        <f t="shared" si="5"/>
        <v>0.33999999999999997</v>
      </c>
      <c r="V12" s="196">
        <f t="shared" ca="1" si="6"/>
        <v>4.5025881665973113</v>
      </c>
      <c r="W12" s="196">
        <f t="shared" ca="1" si="7"/>
        <v>5.0290100414477923</v>
      </c>
      <c r="X12" s="83">
        <f t="shared" ca="1" si="8"/>
        <v>0.98779570702050334</v>
      </c>
      <c r="Y12" s="83">
        <f t="shared" ca="1" si="9"/>
        <v>1.5281560799123366</v>
      </c>
      <c r="Z12" s="83">
        <f t="shared" ca="1" si="10"/>
        <v>0.98779570702050334</v>
      </c>
      <c r="AA12" s="83">
        <f t="shared" ca="1" si="11"/>
        <v>1.9953156756272392</v>
      </c>
      <c r="AB12" s="83">
        <f t="shared" ca="1" si="12"/>
        <v>3.8668908442388354</v>
      </c>
      <c r="AC12" s="83">
        <f t="shared" ca="1" si="13"/>
        <v>0.99765783781361961</v>
      </c>
      <c r="AD12" s="83">
        <f t="shared" ca="1" si="14"/>
        <v>1.919920020928843</v>
      </c>
      <c r="AE12" s="83">
        <f t="shared" ca="1" si="15"/>
        <v>1.4616847391222798</v>
      </c>
      <c r="AF12" s="83">
        <f t="shared" ca="1" si="16"/>
        <v>2.7957620803846779</v>
      </c>
      <c r="AG12" s="83">
        <f t="shared" ca="1" si="17"/>
        <v>0.7308423695611399</v>
      </c>
      <c r="AH12" s="83">
        <f t="shared" ca="1" si="18"/>
        <v>3.1057529750319519</v>
      </c>
      <c r="AI12" s="83">
        <f t="shared" ca="1" si="19"/>
        <v>3.5575395766997286</v>
      </c>
      <c r="AJ12" s="83">
        <f t="shared" ca="1" si="20"/>
        <v>1.6008928095148778</v>
      </c>
      <c r="AK12" s="83">
        <f t="shared" ca="1" si="21"/>
        <v>1.3471707709878857</v>
      </c>
      <c r="AL12" s="83">
        <f t="shared" ca="1" si="22"/>
        <v>1.6857318164124351</v>
      </c>
      <c r="AM12" s="83">
        <f t="shared" ca="1" si="23"/>
        <v>2.9156356965560821</v>
      </c>
      <c r="AN12" s="83">
        <f t="shared" ca="1" si="24"/>
        <v>2.7377587177210954</v>
      </c>
      <c r="AO12" s="83">
        <f t="shared" ca="1" si="25"/>
        <v>0.97977077098788545</v>
      </c>
      <c r="AP12" s="83">
        <f t="shared" ca="1" si="26"/>
        <v>0.50166456314078456</v>
      </c>
      <c r="AQ12" s="83">
        <f t="shared" ca="1" si="27"/>
        <v>1.0440605279444857</v>
      </c>
      <c r="AR12" s="83">
        <f t="shared" ca="1" si="28"/>
        <v>2.2969331614778681</v>
      </c>
      <c r="AS12" s="83">
        <f t="shared" ca="1" si="29"/>
        <v>0.52203026397224284</v>
      </c>
      <c r="AT12" s="83">
        <f t="shared" ca="1" si="30"/>
        <v>7.6151449569614611</v>
      </c>
      <c r="AU12" s="83">
        <f t="shared" ca="1" si="31"/>
        <v>0.50269580975104866</v>
      </c>
      <c r="AV12" s="83">
        <f t="shared" ca="1" si="32"/>
        <v>1.6519990173619785</v>
      </c>
      <c r="AW12" s="83">
        <f t="shared" ca="1" si="33"/>
        <v>0.25134790487552433</v>
      </c>
      <c r="AX12" s="83">
        <f t="shared" ca="1" si="34"/>
        <v>0.7308423695611399</v>
      </c>
      <c r="AY12" s="83">
        <f t="shared" ca="1" si="35"/>
        <v>1.5467563376955342</v>
      </c>
      <c r="AZ12" s="83">
        <f t="shared" ca="1" si="36"/>
        <v>0.36542118478056995</v>
      </c>
      <c r="BA12" s="83">
        <f t="shared" ca="1" si="37"/>
        <v>8.0668908442388361</v>
      </c>
      <c r="BB12" s="83">
        <f t="shared" ca="1" si="38"/>
        <v>0.97832338359242543</v>
      </c>
      <c r="BC12" s="83">
        <f t="shared" ca="1" si="39"/>
        <v>2.7606568551755983</v>
      </c>
      <c r="BD12" s="83">
        <f t="shared" ca="1" si="40"/>
        <v>0.48916169179621272</v>
      </c>
      <c r="BE12" s="83">
        <f t="shared" ca="1" si="41"/>
        <v>1.1252652356735011</v>
      </c>
      <c r="BF12" s="83">
        <f t="shared" ca="1" si="42"/>
        <v>1.3456780137951145</v>
      </c>
      <c r="BG12" s="83">
        <f t="shared" ca="1" si="43"/>
        <v>7.106930833774415</v>
      </c>
      <c r="BH12" s="83">
        <f t="shared" ca="1" si="44"/>
        <v>2.8636659605283246</v>
      </c>
      <c r="BI12" s="83">
        <f t="shared" ca="1" si="45"/>
        <v>0.93192069346155926</v>
      </c>
      <c r="BJ12" s="83">
        <f t="shared" ca="1" si="46"/>
        <v>1.8754420594558352</v>
      </c>
      <c r="BK12" s="83">
        <f t="shared" ca="1" si="47"/>
        <v>1.0208591828790525</v>
      </c>
      <c r="BL12" s="83">
        <f t="shared" ca="1" si="48"/>
        <v>3.0734854116549966</v>
      </c>
      <c r="BM12" s="83">
        <f t="shared" ca="1" si="49"/>
        <v>2.7066625978647423</v>
      </c>
      <c r="BN12" s="83">
        <f t="shared" ca="1" si="50"/>
        <v>0.20107832390041944</v>
      </c>
      <c r="BO12" s="83">
        <f t="shared" ca="1" si="51"/>
        <v>0.6960403519629903</v>
      </c>
      <c r="BP12" s="83">
        <f t="shared" ca="1" si="52"/>
        <v>0.26294857740824085</v>
      </c>
      <c r="BQ12" s="83">
        <f t="shared" ca="1" si="53"/>
        <v>2.4604017074928448</v>
      </c>
      <c r="BR12" s="83">
        <f t="shared" ca="1" si="54"/>
        <v>3.9728216256911422</v>
      </c>
      <c r="BS12" s="83">
        <f t="shared" ca="1" si="55"/>
        <v>0.52203026397224284</v>
      </c>
      <c r="BT12" s="83">
        <f t="shared" ca="1" si="56"/>
        <v>1.0981969997638292</v>
      </c>
      <c r="BU12" s="83">
        <f t="shared" ca="1" si="57"/>
        <v>0.94352136599427583</v>
      </c>
      <c r="BV12" s="83">
        <f t="shared" ca="1" si="58"/>
        <v>3.6704353341286704</v>
      </c>
      <c r="BW12" s="83">
        <f t="shared" ca="1" si="59"/>
        <v>3.4205150554166295</v>
      </c>
      <c r="BX12" s="83">
        <f t="shared" ca="1" si="60"/>
        <v>0.46789379215289906</v>
      </c>
      <c r="BY12" s="83">
        <f t="shared" ca="1" si="61"/>
        <v>1.0981969997638292</v>
      </c>
      <c r="BZ12" s="83">
        <f t="shared" ca="1" si="62"/>
        <v>0.94352136599427583</v>
      </c>
      <c r="CA12" s="83">
        <f t="shared" ca="1" si="63"/>
        <v>5.0902081227147056</v>
      </c>
      <c r="CB12" s="83">
        <f t="shared" ca="1" si="64"/>
        <v>2.7588673055937578</v>
      </c>
      <c r="CC12" s="83">
        <f t="shared" ca="1" si="65"/>
        <v>0.57229984494734765</v>
      </c>
      <c r="CD12" s="83">
        <f t="shared" ca="1" si="66"/>
        <v>3.2751576827609679</v>
      </c>
      <c r="CE12" s="83">
        <f t="shared" ca="1" si="67"/>
        <v>2.251650129848433</v>
      </c>
      <c r="CF12" s="83">
        <f t="shared" ca="1" si="68"/>
        <v>6.1031190906129282</v>
      </c>
      <c r="CG12" s="83">
        <f t="shared" ca="1" si="69"/>
        <v>2.251650129848433</v>
      </c>
      <c r="CH12" s="83">
        <f t="shared" ca="1" si="70"/>
        <v>3.1583243112951838</v>
      </c>
      <c r="CI12" s="83">
        <f t="shared" ca="1" si="71"/>
        <v>8.2937735657629652</v>
      </c>
      <c r="CJ12" s="83">
        <f t="shared" ca="1" si="72"/>
        <v>3.1583243112951838</v>
      </c>
      <c r="CK12" s="83">
        <f t="shared" ca="1" si="73"/>
        <v>2.016722711059709</v>
      </c>
    </row>
    <row r="13" spans="1:89" x14ac:dyDescent="0.25">
      <c r="A13" t="str">
        <f>Plantilla!D14</f>
        <v>I. Stone</v>
      </c>
      <c r="B13" s="319">
        <f>Plantilla!E14</f>
        <v>18</v>
      </c>
      <c r="C13" s="115">
        <f ca="1">Plantilla!F14</f>
        <v>41</v>
      </c>
      <c r="D13" s="319" t="str">
        <f>Plantilla!G14</f>
        <v>RAP</v>
      </c>
      <c r="E13" s="265">
        <f>Plantilla!O14</f>
        <v>43633</v>
      </c>
      <c r="F13" s="115">
        <f>Plantilla!Q14</f>
        <v>4</v>
      </c>
      <c r="G13" s="142">
        <f t="shared" si="0"/>
        <v>0.7559289460184544</v>
      </c>
      <c r="H13" s="142">
        <f t="shared" si="1"/>
        <v>0.84430867747355465</v>
      </c>
      <c r="I13" s="195">
        <f ca="1">Plantilla!P14</f>
        <v>0.23942884084114555</v>
      </c>
      <c r="J13" s="196">
        <f>Plantilla!I14</f>
        <v>1.4</v>
      </c>
      <c r="K13" s="49">
        <f>Plantilla!X14</f>
        <v>0</v>
      </c>
      <c r="L13" s="49">
        <f>Plantilla!Y14</f>
        <v>3</v>
      </c>
      <c r="M13" s="49">
        <f>Plantilla!Z14</f>
        <v>6.75</v>
      </c>
      <c r="N13" s="49">
        <f>Plantilla!AA14</f>
        <v>2</v>
      </c>
      <c r="O13" s="49">
        <f>Plantilla!AB14</f>
        <v>6</v>
      </c>
      <c r="P13" s="49">
        <f>Plantilla!AC14</f>
        <v>9</v>
      </c>
      <c r="Q13" s="49">
        <f>Plantilla!AD14</f>
        <v>2</v>
      </c>
      <c r="R13" s="196">
        <f t="shared" si="2"/>
        <v>2.25</v>
      </c>
      <c r="S13" s="196">
        <f t="shared" ca="1" si="3"/>
        <v>9.3997283500574742</v>
      </c>
      <c r="T13" s="49">
        <f t="shared" si="4"/>
        <v>0.51</v>
      </c>
      <c r="U13" s="49">
        <f t="shared" si="5"/>
        <v>0.18000000000000002</v>
      </c>
      <c r="V13" s="196">
        <f t="shared" ca="1" si="6"/>
        <v>1.906576937681602</v>
      </c>
      <c r="W13" s="196">
        <f t="shared" ca="1" si="7"/>
        <v>2.1294851338001743</v>
      </c>
      <c r="X13" s="83">
        <f t="shared" ca="1" si="8"/>
        <v>1.2071144115837891</v>
      </c>
      <c r="Y13" s="83">
        <f t="shared" ca="1" si="9"/>
        <v>1.8356376922733926</v>
      </c>
      <c r="Z13" s="83">
        <f t="shared" ca="1" si="10"/>
        <v>1.2071144115837891</v>
      </c>
      <c r="AA13" s="83">
        <f t="shared" ca="1" si="11"/>
        <v>1.7720813704206588</v>
      </c>
      <c r="AB13" s="83">
        <f t="shared" ca="1" si="12"/>
        <v>3.4342662217454629</v>
      </c>
      <c r="AC13" s="83">
        <f t="shared" ca="1" si="13"/>
        <v>0.88604068521032942</v>
      </c>
      <c r="AD13" s="83">
        <f t="shared" ca="1" si="14"/>
        <v>1.7098553607754201</v>
      </c>
      <c r="AE13" s="83">
        <f t="shared" ca="1" si="15"/>
        <v>1.2981526318197849</v>
      </c>
      <c r="AF13" s="83">
        <f t="shared" ca="1" si="16"/>
        <v>2.4829744783219696</v>
      </c>
      <c r="AG13" s="83">
        <f t="shared" ca="1" si="17"/>
        <v>0.64907631590989245</v>
      </c>
      <c r="AH13" s="83">
        <f t="shared" ca="1" si="18"/>
        <v>2.7659424953720033</v>
      </c>
      <c r="AI13" s="83">
        <f t="shared" ca="1" si="19"/>
        <v>3.1595249240058259</v>
      </c>
      <c r="AJ13" s="83">
        <f t="shared" ca="1" si="20"/>
        <v>1.4217862158026215</v>
      </c>
      <c r="AK13" s="83">
        <f t="shared" ca="1" si="21"/>
        <v>1.1997724590314924</v>
      </c>
      <c r="AL13" s="83">
        <f t="shared" ca="1" si="22"/>
        <v>1.431348538386332</v>
      </c>
      <c r="AM13" s="83">
        <f t="shared" ca="1" si="23"/>
        <v>2.5894367311960789</v>
      </c>
      <c r="AN13" s="83">
        <f t="shared" ca="1" si="24"/>
        <v>2.4314604849957875</v>
      </c>
      <c r="AO13" s="83">
        <f t="shared" ca="1" si="25"/>
        <v>0.40652245903149231</v>
      </c>
      <c r="AP13" s="83">
        <f t="shared" ca="1" si="26"/>
        <v>0.77306867186269324</v>
      </c>
      <c r="AQ13" s="83">
        <f t="shared" ca="1" si="27"/>
        <v>0.927251879871275</v>
      </c>
      <c r="AR13" s="83">
        <f t="shared" ca="1" si="28"/>
        <v>2.0399541357168047</v>
      </c>
      <c r="AS13" s="83">
        <f t="shared" ca="1" si="29"/>
        <v>0.4636259399356375</v>
      </c>
      <c r="AT13" s="83">
        <f t="shared" ca="1" si="30"/>
        <v>6.7819473133277164</v>
      </c>
      <c r="AU13" s="83">
        <f t="shared" ca="1" si="31"/>
        <v>0.83645460882691025</v>
      </c>
      <c r="AV13" s="83">
        <f t="shared" ca="1" si="32"/>
        <v>2.4042400029714206</v>
      </c>
      <c r="AW13" s="83">
        <f t="shared" ca="1" si="33"/>
        <v>0.41822730441345513</v>
      </c>
      <c r="AX13" s="83">
        <f t="shared" ca="1" si="34"/>
        <v>0.64907631590989245</v>
      </c>
      <c r="AY13" s="83">
        <f t="shared" ca="1" si="35"/>
        <v>1.3737064886981853</v>
      </c>
      <c r="AZ13" s="83">
        <f t="shared" ca="1" si="36"/>
        <v>0.32453815795494623</v>
      </c>
      <c r="BA13" s="83">
        <f t="shared" ca="1" si="37"/>
        <v>7.1842662217454629</v>
      </c>
      <c r="BB13" s="83">
        <f t="shared" ca="1" si="38"/>
        <v>1.6278693541016021</v>
      </c>
      <c r="BC13" s="83">
        <f t="shared" ca="1" si="39"/>
        <v>4.1752806881817506</v>
      </c>
      <c r="BD13" s="83">
        <f t="shared" ca="1" si="40"/>
        <v>0.81393467705080103</v>
      </c>
      <c r="BE13" s="83">
        <f t="shared" ca="1" si="41"/>
        <v>0.99937147052792963</v>
      </c>
      <c r="BF13" s="83">
        <f t="shared" ca="1" si="42"/>
        <v>1.1951246451674211</v>
      </c>
      <c r="BG13" s="83">
        <f t="shared" ca="1" si="43"/>
        <v>6.3293385413577532</v>
      </c>
      <c r="BH13" s="83">
        <f t="shared" ca="1" si="44"/>
        <v>3.4240626711317166</v>
      </c>
      <c r="BI13" s="83">
        <f t="shared" ca="1" si="45"/>
        <v>1.5506581594406565</v>
      </c>
      <c r="BJ13" s="83">
        <f t="shared" ca="1" si="46"/>
        <v>1.6656191175465496</v>
      </c>
      <c r="BK13" s="83">
        <f t="shared" ca="1" si="47"/>
        <v>0.90664628254080226</v>
      </c>
      <c r="BL13" s="83">
        <f t="shared" ca="1" si="48"/>
        <v>2.7372054304850213</v>
      </c>
      <c r="BM13" s="83">
        <f t="shared" ca="1" si="49"/>
        <v>2.9315486778055346</v>
      </c>
      <c r="BN13" s="83">
        <f t="shared" ca="1" si="50"/>
        <v>0.33458184353076403</v>
      </c>
      <c r="BO13" s="83">
        <f t="shared" ca="1" si="51"/>
        <v>0.61816791991418329</v>
      </c>
      <c r="BP13" s="83">
        <f t="shared" ca="1" si="52"/>
        <v>0.23353010307869149</v>
      </c>
      <c r="BQ13" s="83">
        <f t="shared" ca="1" si="53"/>
        <v>2.191201197632366</v>
      </c>
      <c r="BR13" s="83">
        <f t="shared" ca="1" si="54"/>
        <v>4.2744663611646647</v>
      </c>
      <c r="BS13" s="83">
        <f t="shared" ca="1" si="55"/>
        <v>0.86862593993563753</v>
      </c>
      <c r="BT13" s="83">
        <f t="shared" ca="1" si="56"/>
        <v>0.97533160697571142</v>
      </c>
      <c r="BU13" s="83">
        <f t="shared" ca="1" si="57"/>
        <v>0.83796095810589288</v>
      </c>
      <c r="BV13" s="83">
        <f t="shared" ca="1" si="58"/>
        <v>3.2688411308941858</v>
      </c>
      <c r="BW13" s="83">
        <f t="shared" ca="1" si="59"/>
        <v>3.6731669736939727</v>
      </c>
      <c r="BX13" s="83">
        <f t="shared" ca="1" si="60"/>
        <v>0.77854621283120096</v>
      </c>
      <c r="BY13" s="83">
        <f t="shared" ca="1" si="61"/>
        <v>0.97533160697571142</v>
      </c>
      <c r="BZ13" s="83">
        <f t="shared" ca="1" si="62"/>
        <v>0.83796095810589288</v>
      </c>
      <c r="CA13" s="83">
        <f t="shared" ca="1" si="63"/>
        <v>4.5332719859213872</v>
      </c>
      <c r="CB13" s="83">
        <f t="shared" ca="1" si="64"/>
        <v>2.9506682684621892</v>
      </c>
      <c r="CC13" s="83">
        <f t="shared" ca="1" si="65"/>
        <v>0.95227140081832851</v>
      </c>
      <c r="CD13" s="83">
        <f t="shared" ca="1" si="66"/>
        <v>2.9168120860286582</v>
      </c>
      <c r="CE13" s="83">
        <f t="shared" ca="1" si="67"/>
        <v>3.1572527015293863</v>
      </c>
      <c r="CF13" s="83">
        <f t="shared" ca="1" si="68"/>
        <v>8.9939837656853907</v>
      </c>
      <c r="CG13" s="83">
        <f t="shared" ca="1" si="69"/>
        <v>3.1572527015293863</v>
      </c>
      <c r="CH13" s="83">
        <f t="shared" ca="1" si="70"/>
        <v>4.1022963575287257</v>
      </c>
      <c r="CI13" s="83">
        <f t="shared" ca="1" si="71"/>
        <v>11.80851045756954</v>
      </c>
      <c r="CJ13" s="83">
        <f t="shared" ca="1" si="72"/>
        <v>4.1022963575287257</v>
      </c>
      <c r="CK13" s="83">
        <f t="shared" ca="1" si="73"/>
        <v>1.7960665554363657</v>
      </c>
    </row>
    <row r="14" spans="1:89" x14ac:dyDescent="0.25">
      <c r="A14" t="str">
        <f>Plantilla!D15</f>
        <v>G. Piscaer</v>
      </c>
      <c r="B14" s="319">
        <f>Plantilla!E15</f>
        <v>19</v>
      </c>
      <c r="C14" s="115">
        <f ca="1">Plantilla!F15</f>
        <v>2</v>
      </c>
      <c r="D14" s="319" t="str">
        <f>Plantilla!G15</f>
        <v>IMP</v>
      </c>
      <c r="E14" s="265">
        <f>Plantilla!O15</f>
        <v>43630</v>
      </c>
      <c r="F14" s="115">
        <f>Plantilla!Q15</f>
        <v>5</v>
      </c>
      <c r="G14" s="142">
        <f t="shared" si="0"/>
        <v>0.84515425472851657</v>
      </c>
      <c r="H14" s="142">
        <f t="shared" si="1"/>
        <v>0.92504826128926143</v>
      </c>
      <c r="I14" s="195">
        <f ca="1">Plantilla!P15</f>
        <v>0.25201373503383784</v>
      </c>
      <c r="J14" s="196">
        <f>Plantilla!I15</f>
        <v>1.9</v>
      </c>
      <c r="K14" s="49">
        <f>Plantilla!X15</f>
        <v>0</v>
      </c>
      <c r="L14" s="49">
        <f>Plantilla!Y15</f>
        <v>4</v>
      </c>
      <c r="M14" s="49">
        <f>Plantilla!Z15</f>
        <v>9</v>
      </c>
      <c r="N14" s="49">
        <f>Plantilla!AA15</f>
        <v>3</v>
      </c>
      <c r="O14" s="49">
        <f>Plantilla!AB15</f>
        <v>2</v>
      </c>
      <c r="P14" s="49">
        <f>Plantilla!AC15</f>
        <v>8</v>
      </c>
      <c r="Q14" s="49">
        <f>Plantilla!AD15</f>
        <v>0</v>
      </c>
      <c r="R14" s="196">
        <f t="shared" si="2"/>
        <v>1.375</v>
      </c>
      <c r="S14" s="196">
        <f t="shared" ca="1" si="3"/>
        <v>7.0583442985657854</v>
      </c>
      <c r="T14" s="49">
        <f t="shared" si="4"/>
        <v>0.4</v>
      </c>
      <c r="U14" s="49">
        <f t="shared" si="5"/>
        <v>0.16</v>
      </c>
      <c r="V14" s="196">
        <f t="shared" ca="1" si="6"/>
        <v>0.60205749921318608</v>
      </c>
      <c r="W14" s="196">
        <f t="shared" ca="1" si="7"/>
        <v>0.65897111648833673</v>
      </c>
      <c r="X14" s="83">
        <f t="shared" ca="1" si="8"/>
        <v>1.6484771821936333</v>
      </c>
      <c r="Y14" s="83">
        <f t="shared" ca="1" si="9"/>
        <v>2.5051775970354875</v>
      </c>
      <c r="Z14" s="83">
        <f t="shared" ca="1" si="10"/>
        <v>1.6484771821936333</v>
      </c>
      <c r="AA14" s="83">
        <f t="shared" ca="1" si="11"/>
        <v>2.3858215647330066</v>
      </c>
      <c r="AB14" s="83">
        <f t="shared" ca="1" si="12"/>
        <v>4.6236852029709432</v>
      </c>
      <c r="AC14" s="83">
        <f t="shared" ca="1" si="13"/>
        <v>1.1929107823665033</v>
      </c>
      <c r="AD14" s="83">
        <f t="shared" ca="1" si="14"/>
        <v>2.2904370783070842</v>
      </c>
      <c r="AE14" s="83">
        <f t="shared" ca="1" si="15"/>
        <v>1.7477530067230165</v>
      </c>
      <c r="AF14" s="83">
        <f t="shared" ca="1" si="16"/>
        <v>3.3429244017479918</v>
      </c>
      <c r="AG14" s="83">
        <f t="shared" ca="1" si="17"/>
        <v>0.87387650336150824</v>
      </c>
      <c r="AH14" s="83">
        <f t="shared" ca="1" si="18"/>
        <v>3.7051188031438134</v>
      </c>
      <c r="AI14" s="83">
        <f t="shared" ca="1" si="19"/>
        <v>4.253790386733268</v>
      </c>
      <c r="AJ14" s="83">
        <f t="shared" ca="1" si="20"/>
        <v>1.9142056740299704</v>
      </c>
      <c r="AK14" s="83">
        <f t="shared" ca="1" si="21"/>
        <v>1.6071554288961476</v>
      </c>
      <c r="AL14" s="83">
        <f t="shared" ca="1" si="22"/>
        <v>2.1307268993469144</v>
      </c>
      <c r="AM14" s="83">
        <f t="shared" ca="1" si="23"/>
        <v>3.4862586430400913</v>
      </c>
      <c r="AN14" s="83">
        <f t="shared" ca="1" si="24"/>
        <v>3.2735691237034277</v>
      </c>
      <c r="AO14" s="83">
        <f t="shared" ca="1" si="25"/>
        <v>0.10415542889614748</v>
      </c>
      <c r="AP14" s="83">
        <f t="shared" ca="1" si="26"/>
        <v>0.57562133845563157</v>
      </c>
      <c r="AQ14" s="83">
        <f t="shared" ca="1" si="27"/>
        <v>1.2483950048021548</v>
      </c>
      <c r="AR14" s="83">
        <f t="shared" ca="1" si="28"/>
        <v>2.74646901056474</v>
      </c>
      <c r="AS14" s="83">
        <f t="shared" ca="1" si="29"/>
        <v>0.62419750240107741</v>
      </c>
      <c r="AT14" s="83">
        <f t="shared" ca="1" si="30"/>
        <v>9.0847588316045691</v>
      </c>
      <c r="AU14" s="83">
        <f t="shared" ca="1" si="31"/>
        <v>0.34107907638622265</v>
      </c>
      <c r="AV14" s="83">
        <f t="shared" ca="1" si="32"/>
        <v>1.8067397644704863</v>
      </c>
      <c r="AW14" s="83">
        <f t="shared" ca="1" si="33"/>
        <v>0.17053953819311132</v>
      </c>
      <c r="AX14" s="83">
        <f t="shared" ca="1" si="34"/>
        <v>0.87387650336150824</v>
      </c>
      <c r="AY14" s="83">
        <f t="shared" ca="1" si="35"/>
        <v>1.8494740811883774</v>
      </c>
      <c r="AZ14" s="83">
        <f t="shared" ca="1" si="36"/>
        <v>0.43693825168075412</v>
      </c>
      <c r="BA14" s="83">
        <f t="shared" ca="1" si="37"/>
        <v>9.6236852029709432</v>
      </c>
      <c r="BB14" s="83">
        <f t="shared" ca="1" si="38"/>
        <v>0.66379235635164868</v>
      </c>
      <c r="BC14" s="83">
        <f t="shared" ca="1" si="39"/>
        <v>2.7056505468369898</v>
      </c>
      <c r="BD14" s="83">
        <f t="shared" ca="1" si="40"/>
        <v>0.33189617817582434</v>
      </c>
      <c r="BE14" s="83">
        <f t="shared" ca="1" si="41"/>
        <v>1.3454923940645445</v>
      </c>
      <c r="BF14" s="83">
        <f t="shared" ca="1" si="42"/>
        <v>1.6090424506338881</v>
      </c>
      <c r="BG14" s="83">
        <f t="shared" ca="1" si="43"/>
        <v>8.4784666638174002</v>
      </c>
      <c r="BH14" s="83">
        <f t="shared" ca="1" si="44"/>
        <v>2.9064561454411684</v>
      </c>
      <c r="BI14" s="83">
        <f t="shared" ca="1" si="45"/>
        <v>0.63230813391599727</v>
      </c>
      <c r="BJ14" s="83">
        <f t="shared" ca="1" si="46"/>
        <v>2.2424873234409075</v>
      </c>
      <c r="BK14" s="83">
        <f t="shared" ca="1" si="47"/>
        <v>1.220652893584329</v>
      </c>
      <c r="BL14" s="83">
        <f t="shared" ca="1" si="48"/>
        <v>3.6666240623319295</v>
      </c>
      <c r="BM14" s="83">
        <f t="shared" ca="1" si="49"/>
        <v>2.9661008673966043</v>
      </c>
      <c r="BN14" s="83">
        <f t="shared" ca="1" si="50"/>
        <v>0.13643163055448904</v>
      </c>
      <c r="BO14" s="83">
        <f t="shared" ca="1" si="51"/>
        <v>0.83226333653476969</v>
      </c>
      <c r="BP14" s="83">
        <f t="shared" ca="1" si="52"/>
        <v>0.31441059380202419</v>
      </c>
      <c r="BQ14" s="83">
        <f t="shared" ca="1" si="53"/>
        <v>2.9352239869061374</v>
      </c>
      <c r="BR14" s="83">
        <f t="shared" ca="1" si="54"/>
        <v>4.3740591710206331</v>
      </c>
      <c r="BS14" s="83">
        <f t="shared" ca="1" si="55"/>
        <v>0.35419750240107734</v>
      </c>
      <c r="BT14" s="83">
        <f t="shared" ca="1" si="56"/>
        <v>1.3131265976437478</v>
      </c>
      <c r="BU14" s="83">
        <f t="shared" ca="1" si="57"/>
        <v>1.12817918952491</v>
      </c>
      <c r="BV14" s="83">
        <f t="shared" ca="1" si="58"/>
        <v>4.3787767673517797</v>
      </c>
      <c r="BW14" s="83">
        <f t="shared" ca="1" si="59"/>
        <v>3.771043204891805</v>
      </c>
      <c r="BX14" s="83">
        <f t="shared" ca="1" si="60"/>
        <v>0.31746590955948412</v>
      </c>
      <c r="BY14" s="83">
        <f t="shared" ca="1" si="61"/>
        <v>1.3131265976437478</v>
      </c>
      <c r="BZ14" s="83">
        <f t="shared" ca="1" si="62"/>
        <v>1.12817918952491</v>
      </c>
      <c r="CA14" s="83">
        <f t="shared" ca="1" si="63"/>
        <v>6.0725453630746653</v>
      </c>
      <c r="CB14" s="83">
        <f t="shared" ca="1" si="64"/>
        <v>3.0501982566589945</v>
      </c>
      <c r="CC14" s="83">
        <f t="shared" ca="1" si="65"/>
        <v>0.38830541003969959</v>
      </c>
      <c r="CD14" s="83">
        <f t="shared" ca="1" si="66"/>
        <v>3.907216192406203</v>
      </c>
      <c r="CE14" s="83">
        <f t="shared" ca="1" si="67"/>
        <v>2.2729399907478616</v>
      </c>
      <c r="CF14" s="83">
        <f t="shared" ca="1" si="68"/>
        <v>6.4522695385452824</v>
      </c>
      <c r="CG14" s="83">
        <f t="shared" ca="1" si="69"/>
        <v>2.2729399907478616</v>
      </c>
      <c r="CH14" s="83">
        <f t="shared" ca="1" si="70"/>
        <v>3.6100323103420995</v>
      </c>
      <c r="CI14" s="83">
        <f t="shared" ca="1" si="71"/>
        <v>9.5918250428672209</v>
      </c>
      <c r="CJ14" s="83">
        <f t="shared" ca="1" si="72"/>
        <v>3.6100323103420995</v>
      </c>
      <c r="CK14" s="83">
        <f t="shared" ca="1" si="73"/>
        <v>2.4059213007427358</v>
      </c>
    </row>
    <row r="15" spans="1:89" x14ac:dyDescent="0.25">
      <c r="A15" t="str">
        <f>Plantilla!D16</f>
        <v>M. Bondarewski</v>
      </c>
      <c r="B15" s="319">
        <f>Plantilla!E16</f>
        <v>19</v>
      </c>
      <c r="C15" s="115">
        <f ca="1">Plantilla!F16</f>
        <v>2</v>
      </c>
      <c r="D15" s="319" t="str">
        <f>Plantilla!G16</f>
        <v>RAP</v>
      </c>
      <c r="E15" s="265">
        <f>Plantilla!O16</f>
        <v>43627</v>
      </c>
      <c r="F15" s="115">
        <f>Plantilla!Q16</f>
        <v>7</v>
      </c>
      <c r="G15" s="142">
        <f t="shared" si="0"/>
        <v>1</v>
      </c>
      <c r="H15" s="142">
        <f t="shared" si="1"/>
        <v>1</v>
      </c>
      <c r="I15" s="195">
        <f ca="1">Plantilla!P16</f>
        <v>0.26425451014034512</v>
      </c>
      <c r="J15" s="196">
        <f>Plantilla!I16</f>
        <v>1.8</v>
      </c>
      <c r="K15" s="49">
        <f>Plantilla!X16</f>
        <v>0</v>
      </c>
      <c r="L15" s="49">
        <f>Plantilla!Y16</f>
        <v>2</v>
      </c>
      <c r="M15" s="49">
        <f>Plantilla!Z16</f>
        <v>9.1666666666666661</v>
      </c>
      <c r="N15" s="49">
        <f>Plantilla!AA16</f>
        <v>5</v>
      </c>
      <c r="O15" s="49">
        <f>Plantilla!AB16</f>
        <v>4</v>
      </c>
      <c r="P15" s="49">
        <f>Plantilla!AC16</f>
        <v>8</v>
      </c>
      <c r="Q15" s="49">
        <f>Plantilla!AD16</f>
        <v>6</v>
      </c>
      <c r="R15" s="196">
        <f t="shared" si="2"/>
        <v>1.625</v>
      </c>
      <c r="S15" s="196">
        <f t="shared" ca="1" si="3"/>
        <v>10.316205449114571</v>
      </c>
      <c r="T15" s="49">
        <f t="shared" si="4"/>
        <v>0.57999999999999996</v>
      </c>
      <c r="U15" s="49">
        <f t="shared" si="5"/>
        <v>0.25999999999999995</v>
      </c>
      <c r="V15" s="196">
        <f t="shared" ca="1" si="6"/>
        <v>6.693916730731015</v>
      </c>
      <c r="W15" s="196">
        <f t="shared" ca="1" si="7"/>
        <v>6.693916730731015</v>
      </c>
      <c r="X15" s="83">
        <f t="shared" ca="1" si="8"/>
        <v>1.0798313832927697</v>
      </c>
      <c r="Y15" s="83">
        <f t="shared" ca="1" si="9"/>
        <v>1.6305616447090099</v>
      </c>
      <c r="Z15" s="83">
        <f t="shared" ca="1" si="10"/>
        <v>1.0798313832927697</v>
      </c>
      <c r="AA15" s="83">
        <f t="shared" ca="1" si="11"/>
        <v>1.3439828107434928</v>
      </c>
      <c r="AB15" s="83">
        <f t="shared" ca="1" si="12"/>
        <v>2.6046178502780868</v>
      </c>
      <c r="AC15" s="83">
        <f t="shared" ca="1" si="13"/>
        <v>0.6719914053717464</v>
      </c>
      <c r="AD15" s="83">
        <f t="shared" ca="1" si="14"/>
        <v>2.3255657150328513</v>
      </c>
      <c r="AE15" s="83">
        <f t="shared" ca="1" si="15"/>
        <v>0.98454554740511679</v>
      </c>
      <c r="AF15" s="83">
        <f t="shared" ca="1" si="16"/>
        <v>1.8831387057510567</v>
      </c>
      <c r="AG15" s="83">
        <f t="shared" ca="1" si="17"/>
        <v>0.4922727737025584</v>
      </c>
      <c r="AH15" s="83">
        <f t="shared" ca="1" si="18"/>
        <v>3.7619445390237303</v>
      </c>
      <c r="AI15" s="83">
        <f t="shared" ca="1" si="19"/>
        <v>2.39624842225584</v>
      </c>
      <c r="AJ15" s="83">
        <f t="shared" ca="1" si="20"/>
        <v>1.0783117900151278</v>
      </c>
      <c r="AK15" s="83">
        <f t="shared" ca="1" si="21"/>
        <v>1.6318045143297739</v>
      </c>
      <c r="AL15" s="83">
        <f t="shared" ca="1" si="22"/>
        <v>3.2955152959635146</v>
      </c>
      <c r="AM15" s="83">
        <f t="shared" ca="1" si="23"/>
        <v>1.9638818591096774</v>
      </c>
      <c r="AN15" s="83">
        <f t="shared" ca="1" si="24"/>
        <v>1.8440694379968854</v>
      </c>
      <c r="AO15" s="83">
        <f t="shared" ca="1" si="25"/>
        <v>1.1029711809964404</v>
      </c>
      <c r="AP15" s="83">
        <f t="shared" ca="1" si="26"/>
        <v>0.64212994088008879</v>
      </c>
      <c r="AQ15" s="83">
        <f t="shared" ca="1" si="27"/>
        <v>0.7032468195750835</v>
      </c>
      <c r="AR15" s="83">
        <f t="shared" ca="1" si="28"/>
        <v>1.5471430030651834</v>
      </c>
      <c r="AS15" s="83">
        <f t="shared" ca="1" si="29"/>
        <v>0.35162340978754175</v>
      </c>
      <c r="AT15" s="83">
        <f t="shared" ca="1" si="30"/>
        <v>9.2240925839958461</v>
      </c>
      <c r="AU15" s="83">
        <f t="shared" ca="1" si="31"/>
        <v>0.5986003205361512</v>
      </c>
      <c r="AV15" s="83">
        <f t="shared" ca="1" si="32"/>
        <v>2.0411530301314791</v>
      </c>
      <c r="AW15" s="83">
        <f t="shared" ca="1" si="33"/>
        <v>0.2993001602680756</v>
      </c>
      <c r="AX15" s="83">
        <f t="shared" ca="1" si="34"/>
        <v>0.4922727737025584</v>
      </c>
      <c r="AY15" s="83">
        <f t="shared" ca="1" si="35"/>
        <v>1.0418471401112348</v>
      </c>
      <c r="AZ15" s="83">
        <f t="shared" ca="1" si="36"/>
        <v>0.2461363868512792</v>
      </c>
      <c r="BA15" s="83">
        <f t="shared" ca="1" si="37"/>
        <v>9.7712845169447533</v>
      </c>
      <c r="BB15" s="83">
        <f t="shared" ca="1" si="38"/>
        <v>1.1649683161203559</v>
      </c>
      <c r="BC15" s="83">
        <f t="shared" ca="1" si="39"/>
        <v>3.3771444355032258</v>
      </c>
      <c r="BD15" s="83">
        <f t="shared" ca="1" si="40"/>
        <v>0.58248415806017795</v>
      </c>
      <c r="BE15" s="83">
        <f t="shared" ca="1" si="41"/>
        <v>0.75794379443092319</v>
      </c>
      <c r="BF15" s="83">
        <f t="shared" ca="1" si="42"/>
        <v>0.9064070118967742</v>
      </c>
      <c r="BG15" s="83">
        <f t="shared" ca="1" si="43"/>
        <v>8.6085016594283275</v>
      </c>
      <c r="BH15" s="83">
        <f t="shared" ca="1" si="44"/>
        <v>4.6675052688972185</v>
      </c>
      <c r="BI15" s="83">
        <f t="shared" ca="1" si="45"/>
        <v>1.1097129019170189</v>
      </c>
      <c r="BJ15" s="83">
        <f t="shared" ca="1" si="46"/>
        <v>1.2632396573848721</v>
      </c>
      <c r="BK15" s="83">
        <f t="shared" ca="1" si="47"/>
        <v>0.6876191124734149</v>
      </c>
      <c r="BL15" s="83">
        <f t="shared" ca="1" si="48"/>
        <v>3.7228594009559512</v>
      </c>
      <c r="BM15" s="83">
        <f t="shared" ca="1" si="49"/>
        <v>4.697436001143048</v>
      </c>
      <c r="BN15" s="83">
        <f t="shared" ca="1" si="50"/>
        <v>0.23944012821446048</v>
      </c>
      <c r="BO15" s="83">
        <f t="shared" ca="1" si="51"/>
        <v>0.4688312130500556</v>
      </c>
      <c r="BP15" s="83">
        <f t="shared" ca="1" si="52"/>
        <v>0.17711401381890993</v>
      </c>
      <c r="BQ15" s="83">
        <f t="shared" ca="1" si="53"/>
        <v>2.9802417776681498</v>
      </c>
      <c r="BR15" s="83">
        <f t="shared" ca="1" si="54"/>
        <v>6.9215385554576194</v>
      </c>
      <c r="BS15" s="83">
        <f t="shared" ca="1" si="55"/>
        <v>0.62162340978754171</v>
      </c>
      <c r="BT15" s="83">
        <f t="shared" ca="1" si="56"/>
        <v>0.73971146947897659</v>
      </c>
      <c r="BU15" s="83">
        <f t="shared" ca="1" si="57"/>
        <v>0.6355267554678532</v>
      </c>
      <c r="BV15" s="83">
        <f t="shared" ca="1" si="58"/>
        <v>4.445934455209863</v>
      </c>
      <c r="BW15" s="83">
        <f t="shared" ca="1" si="59"/>
        <v>5.9659165781081196</v>
      </c>
      <c r="BX15" s="83">
        <f t="shared" ca="1" si="60"/>
        <v>0.55715875988364838</v>
      </c>
      <c r="BY15" s="83">
        <f t="shared" ca="1" si="61"/>
        <v>0.73971146947897659</v>
      </c>
      <c r="BZ15" s="83">
        <f t="shared" ca="1" si="62"/>
        <v>0.6355267554678532</v>
      </c>
      <c r="CA15" s="83">
        <f t="shared" ca="1" si="63"/>
        <v>6.1656805301921391</v>
      </c>
      <c r="CB15" s="83">
        <f t="shared" ca="1" si="64"/>
        <v>4.8231329759988872</v>
      </c>
      <c r="CC15" s="83">
        <f t="shared" ca="1" si="65"/>
        <v>0.68148344184115672</v>
      </c>
      <c r="CD15" s="83">
        <f t="shared" ca="1" si="66"/>
        <v>3.9671415138795703</v>
      </c>
      <c r="CE15" s="83">
        <f t="shared" ca="1" si="67"/>
        <v>3.051005899994883</v>
      </c>
      <c r="CF15" s="83">
        <f t="shared" ca="1" si="68"/>
        <v>7.5167996994131254</v>
      </c>
      <c r="CG15" s="83">
        <f t="shared" ca="1" si="69"/>
        <v>3.051005899994883</v>
      </c>
      <c r="CH15" s="83">
        <f t="shared" ca="1" si="70"/>
        <v>4.3209707480867579</v>
      </c>
      <c r="CI15" s="83">
        <f t="shared" ca="1" si="71"/>
        <v>10.3037218370307</v>
      </c>
      <c r="CJ15" s="83">
        <f t="shared" ca="1" si="72"/>
        <v>4.3209707480867579</v>
      </c>
      <c r="CK15" s="83">
        <f t="shared" ca="1" si="73"/>
        <v>2.4428211292361883</v>
      </c>
    </row>
    <row r="16" spans="1:89" x14ac:dyDescent="0.25">
      <c r="A16" t="str">
        <f>Plantilla!D21</f>
        <v>J. Vartiainen</v>
      </c>
      <c r="B16" s="319">
        <f>Plantilla!E21</f>
        <v>19</v>
      </c>
      <c r="C16" s="115">
        <f ca="1">Plantilla!F21</f>
        <v>48</v>
      </c>
      <c r="D16" s="319" t="str">
        <f>Plantilla!G21</f>
        <v>CAB</v>
      </c>
      <c r="E16" s="265">
        <f>Plantilla!O21</f>
        <v>43628</v>
      </c>
      <c r="F16" s="115">
        <f>Plantilla!Q21</f>
        <v>5</v>
      </c>
      <c r="G16" s="142">
        <f t="shared" si="0"/>
        <v>0.84515425472851657</v>
      </c>
      <c r="H16" s="142">
        <f t="shared" si="1"/>
        <v>0.92504826128926143</v>
      </c>
      <c r="I16" s="195">
        <f ca="1">Plantilla!P21</f>
        <v>0.26021032838031555</v>
      </c>
      <c r="J16" s="196">
        <f>Plantilla!I21</f>
        <v>0.4</v>
      </c>
      <c r="K16" s="49">
        <f>Plantilla!X21</f>
        <v>0</v>
      </c>
      <c r="L16" s="49">
        <f>Plantilla!Y21</f>
        <v>7</v>
      </c>
      <c r="M16" s="49">
        <f>Plantilla!Z21</f>
        <v>8.1999999999999993</v>
      </c>
      <c r="N16" s="49">
        <f>Plantilla!AA21</f>
        <v>1</v>
      </c>
      <c r="O16" s="49">
        <f>Plantilla!AB21</f>
        <v>1</v>
      </c>
      <c r="P16" s="49">
        <f>Plantilla!AC21</f>
        <v>6</v>
      </c>
      <c r="Q16" s="49">
        <f>Plantilla!AD21</f>
        <v>1</v>
      </c>
      <c r="R16" s="196">
        <f t="shared" si="2"/>
        <v>1.5</v>
      </c>
      <c r="S16" s="196">
        <f t="shared" ca="1" si="3"/>
        <v>2.3124682668335605</v>
      </c>
      <c r="T16" s="49">
        <f t="shared" si="4"/>
        <v>0.32999999999999996</v>
      </c>
      <c r="U16" s="49">
        <f t="shared" si="5"/>
        <v>0.31</v>
      </c>
      <c r="V16" s="196">
        <f t="shared" ca="1" si="6"/>
        <v>0.69195516058823625</v>
      </c>
      <c r="W16" s="196">
        <f t="shared" ca="1" si="7"/>
        <v>0.75736697130855968</v>
      </c>
      <c r="X16" s="83">
        <f t="shared" ca="1" si="8"/>
        <v>1.6959614465817641</v>
      </c>
      <c r="Y16" s="83">
        <f t="shared" ca="1" si="9"/>
        <v>2.6259441323448534</v>
      </c>
      <c r="Z16" s="83">
        <f t="shared" ca="1" si="10"/>
        <v>1.6959614465817641</v>
      </c>
      <c r="AA16" s="83">
        <f t="shared" ca="1" si="11"/>
        <v>3.4724858034778814</v>
      </c>
      <c r="AB16" s="83">
        <f t="shared" ca="1" si="12"/>
        <v>6.7296236501509323</v>
      </c>
      <c r="AC16" s="83">
        <f t="shared" ca="1" si="13"/>
        <v>1.7362429017389407</v>
      </c>
      <c r="AD16" s="83">
        <f t="shared" ca="1" si="14"/>
        <v>1.8872504287359217</v>
      </c>
      <c r="AE16" s="83">
        <f t="shared" ca="1" si="15"/>
        <v>2.5437977397570526</v>
      </c>
      <c r="AF16" s="83">
        <f t="shared" ca="1" si="16"/>
        <v>4.8655178990591237</v>
      </c>
      <c r="AG16" s="83">
        <f t="shared" ca="1" si="17"/>
        <v>1.2718988698785263</v>
      </c>
      <c r="AH16" s="83">
        <f t="shared" ca="1" si="18"/>
        <v>3.0529051053081089</v>
      </c>
      <c r="AI16" s="83">
        <f t="shared" ca="1" si="19"/>
        <v>6.191253758138858</v>
      </c>
      <c r="AJ16" s="83">
        <f t="shared" ca="1" si="20"/>
        <v>2.7860641911624859</v>
      </c>
      <c r="AK16" s="83">
        <f t="shared" ca="1" si="21"/>
        <v>1.3242471495752057</v>
      </c>
      <c r="AL16" s="83">
        <f t="shared" ca="1" si="22"/>
        <v>0.42901870628874811</v>
      </c>
      <c r="AM16" s="83">
        <f t="shared" ca="1" si="23"/>
        <v>5.0741362322138031</v>
      </c>
      <c r="AN16" s="83">
        <f t="shared" ca="1" si="24"/>
        <v>4.7645735443068595</v>
      </c>
      <c r="AO16" s="83">
        <f t="shared" ca="1" si="25"/>
        <v>0.12184714957520569</v>
      </c>
      <c r="AP16" s="83">
        <f t="shared" ca="1" si="26"/>
        <v>0.35413161124346848</v>
      </c>
      <c r="AQ16" s="83">
        <f t="shared" ca="1" si="27"/>
        <v>1.8169983855407519</v>
      </c>
      <c r="AR16" s="83">
        <f t="shared" ca="1" si="28"/>
        <v>3.9973964481896536</v>
      </c>
      <c r="AS16" s="83">
        <f t="shared" ca="1" si="29"/>
        <v>0.90849919277037594</v>
      </c>
      <c r="AT16" s="83">
        <f t="shared" ca="1" si="30"/>
        <v>7.4855647257424787</v>
      </c>
      <c r="AU16" s="83">
        <f t="shared" ca="1" si="31"/>
        <v>9.4851074519621187E-2</v>
      </c>
      <c r="AV16" s="83">
        <f t="shared" ca="1" si="32"/>
        <v>1.0787797294942232</v>
      </c>
      <c r="AW16" s="83">
        <f t="shared" ca="1" si="33"/>
        <v>4.7425537259810593E-2</v>
      </c>
      <c r="AX16" s="83">
        <f t="shared" ca="1" si="34"/>
        <v>1.2718988698785263</v>
      </c>
      <c r="AY16" s="83">
        <f t="shared" ca="1" si="35"/>
        <v>2.6918494600603733</v>
      </c>
      <c r="AZ16" s="83">
        <f t="shared" ca="1" si="36"/>
        <v>0.63594943493926315</v>
      </c>
      <c r="BA16" s="83">
        <f t="shared" ca="1" si="37"/>
        <v>7.9296236501509316</v>
      </c>
      <c r="BB16" s="83">
        <f t="shared" ca="1" si="38"/>
        <v>0.18459478348818587</v>
      </c>
      <c r="BC16" s="83">
        <f t="shared" ca="1" si="39"/>
        <v>1.4520226312331637</v>
      </c>
      <c r="BD16" s="83">
        <f t="shared" ca="1" si="40"/>
        <v>9.2297391744092933E-2</v>
      </c>
      <c r="BE16" s="83">
        <f t="shared" ca="1" si="41"/>
        <v>1.9583204821939211</v>
      </c>
      <c r="BF16" s="83">
        <f t="shared" ca="1" si="42"/>
        <v>2.3419090302525243</v>
      </c>
      <c r="BG16" s="83">
        <f t="shared" ca="1" si="43"/>
        <v>6.985998435782971</v>
      </c>
      <c r="BH16" s="83">
        <f t="shared" ca="1" si="44"/>
        <v>0.6486354249841787</v>
      </c>
      <c r="BI16" s="83">
        <f t="shared" ca="1" si="45"/>
        <v>0.17583929968637466</v>
      </c>
      <c r="BJ16" s="83">
        <f t="shared" ca="1" si="46"/>
        <v>3.263867470323202</v>
      </c>
      <c r="BK16" s="83">
        <f t="shared" ca="1" si="47"/>
        <v>1.7766206436398462</v>
      </c>
      <c r="BL16" s="83">
        <f t="shared" ca="1" si="48"/>
        <v>3.0211866107075052</v>
      </c>
      <c r="BM16" s="83">
        <f t="shared" ca="1" si="49"/>
        <v>0.63769107023191485</v>
      </c>
      <c r="BN16" s="83">
        <f t="shared" ca="1" si="50"/>
        <v>3.7940429807848473E-2</v>
      </c>
      <c r="BO16" s="83">
        <f t="shared" ca="1" si="51"/>
        <v>1.2113322570271678</v>
      </c>
      <c r="BP16" s="83">
        <f t="shared" ca="1" si="52"/>
        <v>0.45761440821026345</v>
      </c>
      <c r="BQ16" s="83">
        <f t="shared" ca="1" si="53"/>
        <v>2.418535213296034</v>
      </c>
      <c r="BR16" s="83">
        <f t="shared" ca="1" si="54"/>
        <v>0.9382960140940988</v>
      </c>
      <c r="BS16" s="83">
        <f t="shared" ca="1" si="55"/>
        <v>9.849919277037586E-2</v>
      </c>
      <c r="BT16" s="83">
        <f t="shared" ca="1" si="56"/>
        <v>1.9112131166428645</v>
      </c>
      <c r="BU16" s="83">
        <f t="shared" ca="1" si="57"/>
        <v>1.6420281706368274</v>
      </c>
      <c r="BV16" s="83">
        <f t="shared" ca="1" si="58"/>
        <v>3.607978760818674</v>
      </c>
      <c r="BW16" s="83">
        <f t="shared" ca="1" si="59"/>
        <v>0.80842300436723291</v>
      </c>
      <c r="BX16" s="83">
        <f t="shared" ca="1" si="60"/>
        <v>8.8284461668262801E-2</v>
      </c>
      <c r="BY16" s="83">
        <f t="shared" ca="1" si="61"/>
        <v>1.9112131166428645</v>
      </c>
      <c r="BZ16" s="83">
        <f t="shared" ca="1" si="62"/>
        <v>1.6420281706368274</v>
      </c>
      <c r="CA16" s="83">
        <f t="shared" ca="1" si="63"/>
        <v>5.0035925232452376</v>
      </c>
      <c r="CB16" s="83">
        <f t="shared" ca="1" si="64"/>
        <v>0.65301316688508437</v>
      </c>
      <c r="CC16" s="83">
        <f t="shared" ca="1" si="65"/>
        <v>0.10798430022233796</v>
      </c>
      <c r="CD16" s="83">
        <f t="shared" ca="1" si="66"/>
        <v>3.2194272019612784</v>
      </c>
      <c r="CE16" s="83">
        <f t="shared" ca="1" si="67"/>
        <v>1.0151339217286357</v>
      </c>
      <c r="CF16" s="83">
        <f t="shared" ca="1" si="68"/>
        <v>3.7365562300699495</v>
      </c>
      <c r="CG16" s="83">
        <f t="shared" ca="1" si="69"/>
        <v>1.0151339217286357</v>
      </c>
      <c r="CH16" s="83">
        <f t="shared" ca="1" si="70"/>
        <v>1.9469008486651487</v>
      </c>
      <c r="CI16" s="83">
        <f t="shared" ca="1" si="71"/>
        <v>5.9988547770566267</v>
      </c>
      <c r="CJ16" s="83">
        <f t="shared" ca="1" si="72"/>
        <v>1.9469008486651487</v>
      </c>
      <c r="CK16" s="83">
        <f t="shared" ca="1" si="73"/>
        <v>1.9824059125377329</v>
      </c>
    </row>
    <row r="17" spans="1:89" x14ac:dyDescent="0.25">
      <c r="A17" t="str">
        <f>Plantilla!D18</f>
        <v>R. Forsyth</v>
      </c>
      <c r="B17" s="319">
        <f>Plantilla!E18</f>
        <v>19</v>
      </c>
      <c r="C17" s="115">
        <f ca="1">Plantilla!F18</f>
        <v>43</v>
      </c>
      <c r="D17" s="319" t="str">
        <f>Plantilla!G18</f>
        <v>POT</v>
      </c>
      <c r="E17" s="265">
        <f>Plantilla!O18</f>
        <v>43626</v>
      </c>
      <c r="F17" s="115">
        <f>Plantilla!Q18</f>
        <v>6</v>
      </c>
      <c r="G17" s="142">
        <f t="shared" si="0"/>
        <v>0.92582009977255142</v>
      </c>
      <c r="H17" s="142">
        <f t="shared" si="1"/>
        <v>0.99928545900129484</v>
      </c>
      <c r="I17" s="195">
        <f ca="1">Plantilla!P18</f>
        <v>0.26826417179081041</v>
      </c>
      <c r="J17" s="196">
        <f>Plantilla!I18</f>
        <v>2.1</v>
      </c>
      <c r="K17" s="49">
        <f>Plantilla!X18</f>
        <v>0</v>
      </c>
      <c r="L17" s="49">
        <f>Plantilla!Y18</f>
        <v>7</v>
      </c>
      <c r="M17" s="49">
        <f>Plantilla!Z18</f>
        <v>8.4</v>
      </c>
      <c r="N17" s="49">
        <f>Plantilla!AA18</f>
        <v>2</v>
      </c>
      <c r="O17" s="49">
        <f>Plantilla!AB18</f>
        <v>4</v>
      </c>
      <c r="P17" s="49">
        <f>Plantilla!AC18</f>
        <v>6</v>
      </c>
      <c r="Q17" s="49">
        <f>Plantilla!AD18</f>
        <v>2</v>
      </c>
      <c r="R17" s="196">
        <f t="shared" si="2"/>
        <v>2.25</v>
      </c>
      <c r="S17" s="196">
        <f t="shared" ca="1" si="3"/>
        <v>5.0023366748069726</v>
      </c>
      <c r="T17" s="49">
        <f t="shared" si="4"/>
        <v>0.36</v>
      </c>
      <c r="U17" s="49">
        <f t="shared" si="5"/>
        <v>0.34</v>
      </c>
      <c r="V17" s="196">
        <f t="shared" ca="1" si="6"/>
        <v>2.5805969928974521</v>
      </c>
      <c r="W17" s="196">
        <f t="shared" ca="1" si="7"/>
        <v>2.7853716409682838</v>
      </c>
      <c r="X17" s="83">
        <f t="shared" ca="1" si="8"/>
        <v>2.5412578810436597</v>
      </c>
      <c r="Y17" s="83">
        <f t="shared" ca="1" si="9"/>
        <v>3.8759758584505888</v>
      </c>
      <c r="Z17" s="83">
        <f t="shared" ca="1" si="10"/>
        <v>2.5412578810436597</v>
      </c>
      <c r="AA17" s="83">
        <f t="shared" ca="1" si="11"/>
        <v>3.9721111874209947</v>
      </c>
      <c r="AB17" s="83">
        <f t="shared" ca="1" si="12"/>
        <v>7.6978898981027024</v>
      </c>
      <c r="AC17" s="83">
        <f t="shared" ca="1" si="13"/>
        <v>1.9860555937104973</v>
      </c>
      <c r="AD17" s="83">
        <f t="shared" ca="1" si="14"/>
        <v>2.1652977957484434</v>
      </c>
      <c r="AE17" s="83">
        <f t="shared" ca="1" si="15"/>
        <v>2.9098023814828213</v>
      </c>
      <c r="AF17" s="83">
        <f t="shared" ca="1" si="16"/>
        <v>5.5655743963282536</v>
      </c>
      <c r="AG17" s="83">
        <f t="shared" ca="1" si="17"/>
        <v>1.4549011907414107</v>
      </c>
      <c r="AH17" s="83">
        <f t="shared" ca="1" si="18"/>
        <v>3.502687610769541</v>
      </c>
      <c r="AI17" s="83">
        <f t="shared" ca="1" si="19"/>
        <v>7.0820587062544869</v>
      </c>
      <c r="AJ17" s="83">
        <f t="shared" ca="1" si="20"/>
        <v>3.1869264178145187</v>
      </c>
      <c r="AK17" s="83">
        <f t="shared" ca="1" si="21"/>
        <v>1.5193476129831516</v>
      </c>
      <c r="AL17" s="83">
        <f t="shared" ca="1" si="22"/>
        <v>1.5863592600843892</v>
      </c>
      <c r="AM17" s="83">
        <f t="shared" ca="1" si="23"/>
        <v>5.8042089831694375</v>
      </c>
      <c r="AN17" s="83">
        <f t="shared" ca="1" si="24"/>
        <v>5.4501060478567132</v>
      </c>
      <c r="AO17" s="83">
        <f t="shared" ca="1" si="25"/>
        <v>0.45054761298315138</v>
      </c>
      <c r="AP17" s="83">
        <f t="shared" ca="1" si="26"/>
        <v>0.8489922906535784</v>
      </c>
      <c r="AQ17" s="83">
        <f t="shared" ca="1" si="27"/>
        <v>2.0784302724877297</v>
      </c>
      <c r="AR17" s="83">
        <f t="shared" ca="1" si="28"/>
        <v>4.5725465994730055</v>
      </c>
      <c r="AS17" s="83">
        <f t="shared" ca="1" si="29"/>
        <v>1.0392151362438649</v>
      </c>
      <c r="AT17" s="83">
        <f t="shared" ca="1" si="30"/>
        <v>8.5884080638089522</v>
      </c>
      <c r="AU17" s="83">
        <f t="shared" ca="1" si="31"/>
        <v>0.61072568675335137</v>
      </c>
      <c r="AV17" s="83">
        <f t="shared" ca="1" si="32"/>
        <v>1.7224817401440915</v>
      </c>
      <c r="AW17" s="83">
        <f t="shared" ca="1" si="33"/>
        <v>0.30536284337667569</v>
      </c>
      <c r="AX17" s="83">
        <f t="shared" ca="1" si="34"/>
        <v>1.4549011907414107</v>
      </c>
      <c r="AY17" s="83">
        <f t="shared" ca="1" si="35"/>
        <v>3.0791559592410813</v>
      </c>
      <c r="AZ17" s="83">
        <f t="shared" ca="1" si="36"/>
        <v>0.72745059537070533</v>
      </c>
      <c r="BA17" s="83">
        <f t="shared" ca="1" si="37"/>
        <v>9.0978898981027037</v>
      </c>
      <c r="BB17" s="83">
        <f t="shared" ca="1" si="38"/>
        <v>1.1885661442199837</v>
      </c>
      <c r="BC17" s="83">
        <f t="shared" ca="1" si="39"/>
        <v>3.0085373338545889</v>
      </c>
      <c r="BD17" s="83">
        <f t="shared" ca="1" si="40"/>
        <v>0.59428307210999187</v>
      </c>
      <c r="BE17" s="83">
        <f t="shared" ca="1" si="41"/>
        <v>2.2400859603478862</v>
      </c>
      <c r="BF17" s="83">
        <f t="shared" ca="1" si="42"/>
        <v>2.6788656845397401</v>
      </c>
      <c r="BG17" s="83">
        <f t="shared" ca="1" si="43"/>
        <v>8.0152410002284817</v>
      </c>
      <c r="BH17" s="83">
        <f t="shared" ca="1" si="44"/>
        <v>3.0284241194133026</v>
      </c>
      <c r="BI17" s="83">
        <f t="shared" ca="1" si="45"/>
        <v>1.1321914654427512</v>
      </c>
      <c r="BJ17" s="83">
        <f t="shared" ca="1" si="46"/>
        <v>3.7334766005798103</v>
      </c>
      <c r="BK17" s="83">
        <f t="shared" ca="1" si="47"/>
        <v>2.0322429330991136</v>
      </c>
      <c r="BL17" s="83">
        <f t="shared" ca="1" si="48"/>
        <v>3.4662960511771304</v>
      </c>
      <c r="BM17" s="83">
        <f t="shared" ca="1" si="49"/>
        <v>2.7599557709417626</v>
      </c>
      <c r="BN17" s="83">
        <f t="shared" ca="1" si="50"/>
        <v>0.24429027470134052</v>
      </c>
      <c r="BO17" s="83">
        <f t="shared" ca="1" si="51"/>
        <v>1.3856201816584863</v>
      </c>
      <c r="BP17" s="83">
        <f t="shared" ca="1" si="52"/>
        <v>0.52345651307098384</v>
      </c>
      <c r="BQ17" s="83">
        <f t="shared" ca="1" si="53"/>
        <v>2.7748564189213245</v>
      </c>
      <c r="BR17" s="83">
        <f t="shared" ca="1" si="54"/>
        <v>4.0414864089600755</v>
      </c>
      <c r="BS17" s="83">
        <f t="shared" ca="1" si="55"/>
        <v>0.63421513624386483</v>
      </c>
      <c r="BT17" s="83">
        <f t="shared" ca="1" si="56"/>
        <v>2.1862007310611671</v>
      </c>
      <c r="BU17" s="83">
        <f t="shared" ca="1" si="57"/>
        <v>1.8782851351370593</v>
      </c>
      <c r="BV17" s="83">
        <f t="shared" ca="1" si="58"/>
        <v>4.13953990363673</v>
      </c>
      <c r="BW17" s="83">
        <f t="shared" ca="1" si="59"/>
        <v>3.4772620070977949</v>
      </c>
      <c r="BX17" s="83">
        <f t="shared" ca="1" si="60"/>
        <v>0.56844467767042695</v>
      </c>
      <c r="BY17" s="83">
        <f t="shared" ca="1" si="61"/>
        <v>2.1862007310611671</v>
      </c>
      <c r="BZ17" s="83">
        <f t="shared" ca="1" si="62"/>
        <v>1.8782851351370593</v>
      </c>
      <c r="CA17" s="83">
        <f t="shared" ca="1" si="63"/>
        <v>5.7407685257028058</v>
      </c>
      <c r="CB17" s="83">
        <f t="shared" ca="1" si="64"/>
        <v>2.8006114588019191</v>
      </c>
      <c r="CC17" s="83">
        <f t="shared" ca="1" si="65"/>
        <v>0.69528770491919989</v>
      </c>
      <c r="CD17" s="83">
        <f t="shared" ca="1" si="66"/>
        <v>3.6937432986296979</v>
      </c>
      <c r="CE17" s="83">
        <f t="shared" ca="1" si="67"/>
        <v>2.4136006369115082</v>
      </c>
      <c r="CF17" s="83">
        <f t="shared" ca="1" si="68"/>
        <v>6.4558240252636434</v>
      </c>
      <c r="CG17" s="83">
        <f t="shared" ca="1" si="69"/>
        <v>2.4136006369115082</v>
      </c>
      <c r="CH17" s="83">
        <f t="shared" ca="1" si="70"/>
        <v>3.195036721852373</v>
      </c>
      <c r="CI17" s="83">
        <f t="shared" ca="1" si="71"/>
        <v>8.4314112705026005</v>
      </c>
      <c r="CJ17" s="83">
        <f t="shared" ca="1" si="72"/>
        <v>3.195036721852373</v>
      </c>
      <c r="CK17" s="83">
        <f t="shared" ca="1" si="73"/>
        <v>2.2744724745256759</v>
      </c>
    </row>
    <row r="18" spans="1:89" x14ac:dyDescent="0.25">
      <c r="A18" t="str">
        <f>Plantilla!D19</f>
        <v>M. Grupinski</v>
      </c>
      <c r="B18" s="319">
        <f>Plantilla!E19</f>
        <v>23</v>
      </c>
      <c r="C18" s="115">
        <f ca="1">Plantilla!F19</f>
        <v>1</v>
      </c>
      <c r="D18" s="319" t="str">
        <f>Plantilla!G19</f>
        <v>CAB</v>
      </c>
      <c r="E18" s="265">
        <f>Plantilla!O19</f>
        <v>43650</v>
      </c>
      <c r="F18" s="115">
        <f>Plantilla!Q19</f>
        <v>6</v>
      </c>
      <c r="G18" s="142">
        <f t="shared" si="0"/>
        <v>0.92582009977255142</v>
      </c>
      <c r="H18" s="142">
        <f t="shared" si="1"/>
        <v>0.99928545900129484</v>
      </c>
      <c r="I18" s="195">
        <f ca="1">Plantilla!P19</f>
        <v>0.15905420932620543</v>
      </c>
      <c r="J18" s="196">
        <f>Plantilla!I19</f>
        <v>1.8</v>
      </c>
      <c r="K18" s="49">
        <f>Plantilla!X19</f>
        <v>0</v>
      </c>
      <c r="L18" s="49">
        <f>Plantilla!Y19</f>
        <v>3</v>
      </c>
      <c r="M18" s="49">
        <f>Plantilla!Z19</f>
        <v>8.1818181818181817</v>
      </c>
      <c r="N18" s="49">
        <f>Plantilla!AA19</f>
        <v>9</v>
      </c>
      <c r="O18" s="49">
        <f>Plantilla!AB19</f>
        <v>6</v>
      </c>
      <c r="P18" s="49">
        <f>Plantilla!AC19</f>
        <v>3</v>
      </c>
      <c r="Q18" s="49">
        <f>Plantilla!AD19</f>
        <v>3</v>
      </c>
      <c r="R18" s="196">
        <f t="shared" si="2"/>
        <v>2.25</v>
      </c>
      <c r="S18" s="196">
        <f t="shared" ca="1" si="3"/>
        <v>0.13371278431532296</v>
      </c>
      <c r="T18" s="49">
        <f t="shared" si="4"/>
        <v>0.24</v>
      </c>
      <c r="U18" s="49">
        <f t="shared" si="5"/>
        <v>0.21000000000000002</v>
      </c>
      <c r="V18" s="196">
        <f t="shared" ca="1" si="6"/>
        <v>3.3127331638060746</v>
      </c>
      <c r="W18" s="196">
        <f t="shared" ca="1" si="7"/>
        <v>3.5756040303683525</v>
      </c>
      <c r="X18" s="83">
        <f t="shared" ca="1" si="8"/>
        <v>1.2639915206820258</v>
      </c>
      <c r="Y18" s="83">
        <f t="shared" ca="1" si="9"/>
        <v>1.9197480563579554</v>
      </c>
      <c r="Z18" s="83">
        <f t="shared" ca="1" si="10"/>
        <v>1.2639915206820258</v>
      </c>
      <c r="AA18" s="83">
        <f t="shared" ca="1" si="11"/>
        <v>1.8056994555233967</v>
      </c>
      <c r="AB18" s="83">
        <f t="shared" ca="1" si="12"/>
        <v>3.499417549463947</v>
      </c>
      <c r="AC18" s="83">
        <f t="shared" ca="1" si="13"/>
        <v>0.90284972776169836</v>
      </c>
      <c r="AD18" s="83">
        <f t="shared" ca="1" si="14"/>
        <v>2.0661341040451466</v>
      </c>
      <c r="AE18" s="83">
        <f t="shared" ca="1" si="15"/>
        <v>1.322779833697372</v>
      </c>
      <c r="AF18" s="83">
        <f t="shared" ca="1" si="16"/>
        <v>2.5300788882624334</v>
      </c>
      <c r="AG18" s="83">
        <f t="shared" ca="1" si="17"/>
        <v>0.66138991684868598</v>
      </c>
      <c r="AH18" s="83">
        <f t="shared" ca="1" si="18"/>
        <v>3.3422757565436196</v>
      </c>
      <c r="AI18" s="83">
        <f t="shared" ca="1" si="19"/>
        <v>3.2194641455068314</v>
      </c>
      <c r="AJ18" s="83">
        <f t="shared" ca="1" si="20"/>
        <v>1.4487588654780741</v>
      </c>
      <c r="AK18" s="83">
        <f t="shared" ca="1" si="21"/>
        <v>1.4497663671241157</v>
      </c>
      <c r="AL18" s="83">
        <f t="shared" ca="1" si="22"/>
        <v>5.5856575190848003</v>
      </c>
      <c r="AM18" s="83">
        <f t="shared" ca="1" si="23"/>
        <v>2.6385608322958158</v>
      </c>
      <c r="AN18" s="83">
        <f t="shared" ca="1" si="24"/>
        <v>2.4775876250204742</v>
      </c>
      <c r="AO18" s="83">
        <f t="shared" ca="1" si="25"/>
        <v>0.58440273076047922</v>
      </c>
      <c r="AP18" s="83">
        <f t="shared" ca="1" si="26"/>
        <v>0.79183225424561665</v>
      </c>
      <c r="AQ18" s="83">
        <f t="shared" ca="1" si="27"/>
        <v>0.94484273835526578</v>
      </c>
      <c r="AR18" s="83">
        <f t="shared" ca="1" si="28"/>
        <v>2.0786540243815845</v>
      </c>
      <c r="AS18" s="83">
        <f t="shared" ca="1" si="29"/>
        <v>0.47242136917763289</v>
      </c>
      <c r="AT18" s="83">
        <f t="shared" ca="1" si="30"/>
        <v>8.1950865303303289</v>
      </c>
      <c r="AU18" s="83">
        <f t="shared" ca="1" si="31"/>
        <v>0.84492428143031306</v>
      </c>
      <c r="AV18" s="83">
        <f t="shared" ca="1" si="32"/>
        <v>1.3853293419929362</v>
      </c>
      <c r="AW18" s="83">
        <f t="shared" ca="1" si="33"/>
        <v>0.42246214071515653</v>
      </c>
      <c r="AX18" s="83">
        <f t="shared" ca="1" si="34"/>
        <v>0.66138991684868598</v>
      </c>
      <c r="AY18" s="83">
        <f t="shared" ca="1" si="35"/>
        <v>1.3997670197855789</v>
      </c>
      <c r="AZ18" s="83">
        <f t="shared" ca="1" si="36"/>
        <v>0.33069495842434299</v>
      </c>
      <c r="BA18" s="83">
        <f t="shared" ca="1" si="37"/>
        <v>8.6812357312821291</v>
      </c>
      <c r="BB18" s="83">
        <f t="shared" ca="1" si="38"/>
        <v>1.6443526400143784</v>
      </c>
      <c r="BC18" s="83">
        <f t="shared" ca="1" si="39"/>
        <v>2.9511790697546347</v>
      </c>
      <c r="BD18" s="83">
        <f t="shared" ca="1" si="40"/>
        <v>0.82217632000718921</v>
      </c>
      <c r="BE18" s="83">
        <f t="shared" ca="1" si="41"/>
        <v>1.0183305068940085</v>
      </c>
      <c r="BF18" s="83">
        <f t="shared" ca="1" si="42"/>
        <v>1.2177973072134536</v>
      </c>
      <c r="BG18" s="83">
        <f t="shared" ca="1" si="43"/>
        <v>7.6481686792595553</v>
      </c>
      <c r="BH18" s="83">
        <f t="shared" ca="1" si="44"/>
        <v>7.4999822014734487</v>
      </c>
      <c r="BI18" s="83">
        <f t="shared" ca="1" si="45"/>
        <v>1.5663596294208111</v>
      </c>
      <c r="BJ18" s="83">
        <f t="shared" ca="1" si="46"/>
        <v>1.6972175114900143</v>
      </c>
      <c r="BK18" s="83">
        <f t="shared" ca="1" si="47"/>
        <v>0.92384623305848201</v>
      </c>
      <c r="BL18" s="83">
        <f t="shared" ca="1" si="48"/>
        <v>3.3075508136184912</v>
      </c>
      <c r="BM18" s="83">
        <f t="shared" ca="1" si="49"/>
        <v>7.6994909382314898</v>
      </c>
      <c r="BN18" s="83">
        <f t="shared" ca="1" si="50"/>
        <v>0.33796971257212521</v>
      </c>
      <c r="BO18" s="83">
        <f t="shared" ca="1" si="51"/>
        <v>0.62989515890351044</v>
      </c>
      <c r="BP18" s="83">
        <f t="shared" ca="1" si="52"/>
        <v>0.23796039336354841</v>
      </c>
      <c r="BQ18" s="83">
        <f t="shared" ca="1" si="53"/>
        <v>2.6477768980410494</v>
      </c>
      <c r="BR18" s="83">
        <f t="shared" ca="1" si="54"/>
        <v>11.358250968610637</v>
      </c>
      <c r="BS18" s="83">
        <f t="shared" ca="1" si="55"/>
        <v>0.8774213691776328</v>
      </c>
      <c r="BT18" s="83">
        <f t="shared" ca="1" si="56"/>
        <v>0.99383458404776082</v>
      </c>
      <c r="BU18" s="83">
        <f t="shared" ca="1" si="57"/>
        <v>0.8538578820692031</v>
      </c>
      <c r="BV18" s="83">
        <f t="shared" ca="1" si="58"/>
        <v>3.9499622577333691</v>
      </c>
      <c r="BW18" s="83">
        <f t="shared" ca="1" si="59"/>
        <v>9.7933546448060529</v>
      </c>
      <c r="BX18" s="83">
        <f t="shared" ca="1" si="60"/>
        <v>0.7864295234851375</v>
      </c>
      <c r="BY18" s="83">
        <f t="shared" ca="1" si="61"/>
        <v>0.99383458404776082</v>
      </c>
      <c r="BZ18" s="83">
        <f t="shared" ca="1" si="62"/>
        <v>0.8538578820692031</v>
      </c>
      <c r="CA18" s="83">
        <f t="shared" ca="1" si="63"/>
        <v>5.4778597464390231</v>
      </c>
      <c r="CB18" s="83">
        <f t="shared" ca="1" si="64"/>
        <v>7.9229787067702322</v>
      </c>
      <c r="CC18" s="83">
        <f t="shared" ca="1" si="65"/>
        <v>0.96191379732066407</v>
      </c>
      <c r="CD18" s="83">
        <f t="shared" ca="1" si="66"/>
        <v>3.5245817069005447</v>
      </c>
      <c r="CE18" s="83">
        <f t="shared" ca="1" si="67"/>
        <v>3.4371965432707161</v>
      </c>
      <c r="CF18" s="83">
        <f t="shared" ca="1" si="68"/>
        <v>5.5693441606964047</v>
      </c>
      <c r="CG18" s="83">
        <f t="shared" ca="1" si="69"/>
        <v>3.4371965432707161</v>
      </c>
      <c r="CH18" s="83">
        <f t="shared" ca="1" si="70"/>
        <v>4.1507830388912259</v>
      </c>
      <c r="CI18" s="83">
        <f t="shared" ca="1" si="71"/>
        <v>5.8977026252161426</v>
      </c>
      <c r="CJ18" s="83">
        <f t="shared" ca="1" si="72"/>
        <v>4.1507830388912259</v>
      </c>
      <c r="CK18" s="83">
        <f t="shared" ca="1" si="73"/>
        <v>2.1703089328205323</v>
      </c>
    </row>
    <row r="19" spans="1:89" x14ac:dyDescent="0.25">
      <c r="A19" t="str">
        <f>Plantilla!D20</f>
        <v>V. Godoi</v>
      </c>
      <c r="B19" s="319">
        <f>Plantilla!E20</f>
        <v>26</v>
      </c>
      <c r="C19" s="115">
        <f ca="1">Plantilla!F20</f>
        <v>7</v>
      </c>
      <c r="D19" s="319">
        <f>Plantilla!G20</f>
        <v>0</v>
      </c>
      <c r="E19" s="265">
        <f>Plantilla!O20</f>
        <v>43639</v>
      </c>
      <c r="F19" s="115">
        <f>Plantilla!Q20</f>
        <v>6</v>
      </c>
      <c r="G19" s="142">
        <f t="shared" si="0"/>
        <v>0.92582009977255142</v>
      </c>
      <c r="H19" s="142">
        <f t="shared" si="1"/>
        <v>0.99928545900129484</v>
      </c>
      <c r="I19" s="195">
        <f ca="1">Plantilla!P20</f>
        <v>0.21305928511808678</v>
      </c>
      <c r="J19" s="196">
        <f>Plantilla!I20</f>
        <v>4.5999999999999996</v>
      </c>
      <c r="K19" s="49">
        <f>Plantilla!X20</f>
        <v>0</v>
      </c>
      <c r="L19" s="49">
        <f>Plantilla!Y20</f>
        <v>3</v>
      </c>
      <c r="M19" s="49">
        <f>Plantilla!Z20</f>
        <v>9.3076923076923084</v>
      </c>
      <c r="N19" s="49">
        <f>Plantilla!AA20</f>
        <v>9</v>
      </c>
      <c r="O19" s="49">
        <f>Plantilla!AB20</f>
        <v>5</v>
      </c>
      <c r="P19" s="49">
        <f>Plantilla!AC20</f>
        <v>5</v>
      </c>
      <c r="Q19" s="49">
        <f>Plantilla!AD20</f>
        <v>1</v>
      </c>
      <c r="R19" s="196">
        <f t="shared" si="2"/>
        <v>2</v>
      </c>
      <c r="S19" s="196">
        <f t="shared" ca="1" si="3"/>
        <v>3.6737874307993419</v>
      </c>
      <c r="T19" s="49">
        <f t="shared" si="4"/>
        <v>0.27999999999999997</v>
      </c>
      <c r="U19" s="49">
        <f t="shared" si="5"/>
        <v>0.15000000000000002</v>
      </c>
      <c r="V19" s="196">
        <f t="shared" ca="1" si="6"/>
        <v>2.0205877964954286</v>
      </c>
      <c r="W19" s="196">
        <f t="shared" ca="1" si="7"/>
        <v>2.1809247867586774</v>
      </c>
      <c r="X19" s="83">
        <f t="shared" ca="1" si="8"/>
        <v>1.7854508719854421</v>
      </c>
      <c r="Y19" s="83">
        <f t="shared" ca="1" si="9"/>
        <v>2.6908866846886661</v>
      </c>
      <c r="Z19" s="83">
        <f t="shared" ca="1" si="10"/>
        <v>1.7854508719854421</v>
      </c>
      <c r="AA19" s="83">
        <f t="shared" ca="1" si="11"/>
        <v>2.1139159793178557</v>
      </c>
      <c r="AB19" s="83">
        <f t="shared" ca="1" si="12"/>
        <v>4.096736394026852</v>
      </c>
      <c r="AC19" s="83">
        <f t="shared" ca="1" si="13"/>
        <v>1.0569579896589278</v>
      </c>
      <c r="AD19" s="83">
        <f t="shared" ca="1" si="14"/>
        <v>2.4762540310091601</v>
      </c>
      <c r="AE19" s="83">
        <f t="shared" ca="1" si="15"/>
        <v>1.5485663569421499</v>
      </c>
      <c r="AF19" s="83">
        <f t="shared" ca="1" si="16"/>
        <v>2.9619404128814137</v>
      </c>
      <c r="AG19" s="83">
        <f t="shared" ca="1" si="17"/>
        <v>0.77428317847107497</v>
      </c>
      <c r="AH19" s="83">
        <f t="shared" ca="1" si="18"/>
        <v>4.0057050501618772</v>
      </c>
      <c r="AI19" s="83">
        <f t="shared" ca="1" si="19"/>
        <v>3.7689974825047039</v>
      </c>
      <c r="AJ19" s="83">
        <f t="shared" ca="1" si="20"/>
        <v>1.6960488671271166</v>
      </c>
      <c r="AK19" s="83">
        <f t="shared" ca="1" si="21"/>
        <v>1.7375395931870998</v>
      </c>
      <c r="AL19" s="83">
        <f t="shared" ca="1" si="22"/>
        <v>5.9368809996877889</v>
      </c>
      <c r="AM19" s="83">
        <f t="shared" ca="1" si="23"/>
        <v>3.0889392410962464</v>
      </c>
      <c r="AN19" s="83">
        <f t="shared" ca="1" si="24"/>
        <v>2.9004893669710112</v>
      </c>
      <c r="AO19" s="83">
        <f t="shared" ca="1" si="25"/>
        <v>0.35015497780248439</v>
      </c>
      <c r="AP19" s="83">
        <f t="shared" ca="1" si="26"/>
        <v>0.89186008147973339</v>
      </c>
      <c r="AQ19" s="83">
        <f t="shared" ca="1" si="27"/>
        <v>1.1061188263872501</v>
      </c>
      <c r="AR19" s="83">
        <f t="shared" ca="1" si="28"/>
        <v>2.4334614180519498</v>
      </c>
      <c r="AS19" s="83">
        <f t="shared" ca="1" si="29"/>
        <v>0.55305941319362506</v>
      </c>
      <c r="AT19" s="83">
        <f t="shared" ca="1" si="30"/>
        <v>9.8217806944228876</v>
      </c>
      <c r="AU19" s="83">
        <f t="shared" ca="1" si="31"/>
        <v>0.79257573122349079</v>
      </c>
      <c r="AV19" s="83">
        <f t="shared" ca="1" si="32"/>
        <v>1.7863437634498673</v>
      </c>
      <c r="AW19" s="83">
        <f t="shared" ca="1" si="33"/>
        <v>0.39628786561174539</v>
      </c>
      <c r="AX19" s="83">
        <f t="shared" ca="1" si="34"/>
        <v>0.77428317847107497</v>
      </c>
      <c r="AY19" s="83">
        <f t="shared" ca="1" si="35"/>
        <v>1.6386945576107408</v>
      </c>
      <c r="AZ19" s="83">
        <f t="shared" ca="1" si="36"/>
        <v>0.38714158923553749</v>
      </c>
      <c r="BA19" s="83">
        <f t="shared" ca="1" si="37"/>
        <v>10.40442870171916</v>
      </c>
      <c r="BB19" s="83">
        <f t="shared" ca="1" si="38"/>
        <v>1.5424743076887935</v>
      </c>
      <c r="BC19" s="83">
        <f t="shared" ca="1" si="39"/>
        <v>3.3593017531087952</v>
      </c>
      <c r="BD19" s="83">
        <f t="shared" ca="1" si="40"/>
        <v>0.77123715384439673</v>
      </c>
      <c r="BE19" s="83">
        <f t="shared" ca="1" si="41"/>
        <v>1.1921502906618138</v>
      </c>
      <c r="BF19" s="83">
        <f t="shared" ca="1" si="42"/>
        <v>1.4256642651213445</v>
      </c>
      <c r="BG19" s="83">
        <f t="shared" ca="1" si="43"/>
        <v>9.166301686214581</v>
      </c>
      <c r="BH19" s="83">
        <f t="shared" ca="1" si="44"/>
        <v>7.7159986542898711</v>
      </c>
      <c r="BI19" s="83">
        <f t="shared" ca="1" si="45"/>
        <v>1.4693134709604714</v>
      </c>
      <c r="BJ19" s="83">
        <f t="shared" ca="1" si="46"/>
        <v>1.9869171511030232</v>
      </c>
      <c r="BK19" s="83">
        <f t="shared" ca="1" si="47"/>
        <v>1.081538408023089</v>
      </c>
      <c r="BL19" s="83">
        <f t="shared" ca="1" si="48"/>
        <v>3.9640873353550004</v>
      </c>
      <c r="BM19" s="83">
        <f t="shared" ca="1" si="49"/>
        <v>8.0205476083794682</v>
      </c>
      <c r="BN19" s="83">
        <f t="shared" ca="1" si="50"/>
        <v>0.31703029248939629</v>
      </c>
      <c r="BO19" s="83">
        <f t="shared" ca="1" si="51"/>
        <v>0.73741255092483338</v>
      </c>
      <c r="BP19" s="83">
        <f t="shared" ca="1" si="52"/>
        <v>0.27857807479382596</v>
      </c>
      <c r="BQ19" s="83">
        <f t="shared" ca="1" si="53"/>
        <v>3.173350754024344</v>
      </c>
      <c r="BR19" s="83">
        <f t="shared" ca="1" si="54"/>
        <v>11.840403002718531</v>
      </c>
      <c r="BS19" s="83">
        <f t="shared" ca="1" si="55"/>
        <v>0.82305941319362508</v>
      </c>
      <c r="BT19" s="83">
        <f t="shared" ca="1" si="56"/>
        <v>1.1634731359036259</v>
      </c>
      <c r="BU19" s="83">
        <f t="shared" ca="1" si="57"/>
        <v>0.99960368014255185</v>
      </c>
      <c r="BV19" s="83">
        <f t="shared" ca="1" si="58"/>
        <v>4.7340150592822186</v>
      </c>
      <c r="BW19" s="83">
        <f t="shared" ca="1" si="59"/>
        <v>10.211183924581752</v>
      </c>
      <c r="BX19" s="83">
        <f t="shared" ca="1" si="60"/>
        <v>0.73770510367724906</v>
      </c>
      <c r="BY19" s="83">
        <f t="shared" ca="1" si="61"/>
        <v>1.1634731359036259</v>
      </c>
      <c r="BZ19" s="83">
        <f t="shared" ca="1" si="62"/>
        <v>0.99960368014255185</v>
      </c>
      <c r="CA19" s="83">
        <f t="shared" ca="1" si="63"/>
        <v>6.5651945107847904</v>
      </c>
      <c r="CB19" s="83">
        <f t="shared" ca="1" si="64"/>
        <v>8.2645790726540316</v>
      </c>
      <c r="CC19" s="83">
        <f t="shared" ca="1" si="65"/>
        <v>0.90231698631597401</v>
      </c>
      <c r="CD19" s="83">
        <f t="shared" ca="1" si="66"/>
        <v>4.2241980528979797</v>
      </c>
      <c r="CE19" s="83">
        <f t="shared" ca="1" si="67"/>
        <v>3.7523996612879893</v>
      </c>
      <c r="CF19" s="83">
        <f t="shared" ca="1" si="68"/>
        <v>6.8649251796742359</v>
      </c>
      <c r="CG19" s="83">
        <f t="shared" ca="1" si="69"/>
        <v>3.7523996612879893</v>
      </c>
      <c r="CH19" s="83">
        <f t="shared" ca="1" si="70"/>
        <v>4.8868713593480262</v>
      </c>
      <c r="CI19" s="83">
        <f t="shared" ca="1" si="71"/>
        <v>8.3464321234227601</v>
      </c>
      <c r="CJ19" s="83">
        <f t="shared" ca="1" si="72"/>
        <v>4.8868713593480262</v>
      </c>
      <c r="CK19" s="83">
        <f t="shared" ca="1" si="73"/>
        <v>2.6011071754297901</v>
      </c>
    </row>
    <row r="20" spans="1:89" x14ac:dyDescent="0.25">
      <c r="A20" t="str">
        <f>Plantilla!D17</f>
        <v>P. Tuderek</v>
      </c>
      <c r="B20" s="319">
        <f>Plantilla!E17</f>
        <v>18</v>
      </c>
      <c r="C20" s="115">
        <f ca="1">Plantilla!F17</f>
        <v>100</v>
      </c>
      <c r="D20" s="319" t="str">
        <f>Plantilla!G17</f>
        <v>CAB</v>
      </c>
      <c r="E20" s="265">
        <f>Plantilla!O17</f>
        <v>43626</v>
      </c>
      <c r="F20" s="115">
        <f>Plantilla!Q17</f>
        <v>6</v>
      </c>
      <c r="G20" s="142">
        <f t="shared" si="0"/>
        <v>0.92582009977255142</v>
      </c>
      <c r="H20" s="142">
        <f t="shared" si="1"/>
        <v>0.99928545900129484</v>
      </c>
      <c r="I20" s="195">
        <f ca="1">Plantilla!P17</f>
        <v>0.26826417179081041</v>
      </c>
      <c r="J20" s="196">
        <f>Plantilla!I17</f>
        <v>1.2</v>
      </c>
      <c r="K20" s="49">
        <f>Plantilla!X17</f>
        <v>0</v>
      </c>
      <c r="L20" s="49">
        <f>Plantilla!Y17</f>
        <v>6</v>
      </c>
      <c r="M20" s="49">
        <f>Plantilla!Z17</f>
        <v>7</v>
      </c>
      <c r="N20" s="49">
        <f>Plantilla!AA17</f>
        <v>2</v>
      </c>
      <c r="O20" s="49">
        <f>Plantilla!AB17</f>
        <v>3</v>
      </c>
      <c r="P20" s="49">
        <f>Plantilla!AC17</f>
        <v>6</v>
      </c>
      <c r="Q20" s="49">
        <f>Plantilla!AD17</f>
        <v>8</v>
      </c>
      <c r="R20" s="196">
        <f t="shared" si="2"/>
        <v>1.875</v>
      </c>
      <c r="S20" s="196">
        <f t="shared" ca="1" si="3"/>
        <v>7.5861845580113592</v>
      </c>
      <c r="T20" s="49">
        <f t="shared" si="4"/>
        <v>0.54</v>
      </c>
      <c r="U20" s="49">
        <f t="shared" si="5"/>
        <v>0.48000000000000009</v>
      </c>
      <c r="V20" s="196">
        <f t="shared" ca="1" si="6"/>
        <v>7.8355049108883987</v>
      </c>
      <c r="W20" s="196">
        <f t="shared" ca="1" si="7"/>
        <v>8.4572652109277016</v>
      </c>
      <c r="X20" s="83">
        <f t="shared" ca="1" si="8"/>
        <v>1.9823615923728131</v>
      </c>
      <c r="Y20" s="83">
        <f t="shared" ca="1" si="9"/>
        <v>3.0326263639785807</v>
      </c>
      <c r="Z20" s="83">
        <f t="shared" ca="1" si="10"/>
        <v>1.9823615923728131</v>
      </c>
      <c r="AA20" s="83">
        <f t="shared" ca="1" si="11"/>
        <v>3.2889010099248241</v>
      </c>
      <c r="AB20" s="83">
        <f t="shared" ca="1" si="12"/>
        <v>6.3738391665209768</v>
      </c>
      <c r="AC20" s="83">
        <f t="shared" ca="1" si="13"/>
        <v>1.6444505049624121</v>
      </c>
      <c r="AD20" s="83">
        <f t="shared" ca="1" si="14"/>
        <v>1.7549737216319925</v>
      </c>
      <c r="AE20" s="83">
        <f t="shared" ca="1" si="15"/>
        <v>2.4093112049449292</v>
      </c>
      <c r="AF20" s="83">
        <f t="shared" ca="1" si="16"/>
        <v>4.6082857173946659</v>
      </c>
      <c r="AG20" s="83">
        <f t="shared" ca="1" si="17"/>
        <v>1.2046556024724646</v>
      </c>
      <c r="AH20" s="83">
        <f t="shared" ca="1" si="18"/>
        <v>2.838928079110576</v>
      </c>
      <c r="AI20" s="83">
        <f t="shared" ca="1" si="19"/>
        <v>5.8639320331992986</v>
      </c>
      <c r="AJ20" s="83">
        <f t="shared" ca="1" si="20"/>
        <v>2.6387694149396843</v>
      </c>
      <c r="AK20" s="83">
        <f t="shared" ca="1" si="21"/>
        <v>1.2314311408090033</v>
      </c>
      <c r="AL20" s="83">
        <f t="shared" ca="1" si="22"/>
        <v>1.3958174299143342</v>
      </c>
      <c r="AM20" s="83">
        <f t="shared" ca="1" si="23"/>
        <v>4.8058747315568162</v>
      </c>
      <c r="AN20" s="83">
        <f t="shared" ca="1" si="24"/>
        <v>4.5126781298968517</v>
      </c>
      <c r="AO20" s="83">
        <f t="shared" ca="1" si="25"/>
        <v>1.3984311408090031</v>
      </c>
      <c r="AP20" s="83">
        <f t="shared" ca="1" si="26"/>
        <v>0.64766567995804125</v>
      </c>
      <c r="AQ20" s="83">
        <f t="shared" ca="1" si="27"/>
        <v>1.7209365749606638</v>
      </c>
      <c r="AR20" s="83">
        <f t="shared" ca="1" si="28"/>
        <v>3.7860604649134602</v>
      </c>
      <c r="AS20" s="83">
        <f t="shared" ca="1" si="29"/>
        <v>0.86046828748033188</v>
      </c>
      <c r="AT20" s="83">
        <f t="shared" ca="1" si="30"/>
        <v>6.9609041731958019</v>
      </c>
      <c r="AU20" s="83">
        <f t="shared" ca="1" si="31"/>
        <v>0.43859909164772698</v>
      </c>
      <c r="AV20" s="83">
        <f t="shared" ca="1" si="32"/>
        <v>1.5075348757906462</v>
      </c>
      <c r="AW20" s="83">
        <f t="shared" ca="1" si="33"/>
        <v>0.21929954582386349</v>
      </c>
      <c r="AX20" s="83">
        <f t="shared" ca="1" si="34"/>
        <v>1.2046556024724646</v>
      </c>
      <c r="AY20" s="83">
        <f t="shared" ca="1" si="35"/>
        <v>2.5495356666083908</v>
      </c>
      <c r="AZ20" s="83">
        <f t="shared" ca="1" si="36"/>
        <v>0.60232780123623231</v>
      </c>
      <c r="BA20" s="83">
        <f t="shared" ca="1" si="37"/>
        <v>7.3738391665209768</v>
      </c>
      <c r="BB20" s="83">
        <f t="shared" ca="1" si="38"/>
        <v>0.85358130912980712</v>
      </c>
      <c r="BC20" s="83">
        <f t="shared" ca="1" si="39"/>
        <v>2.488985380753058</v>
      </c>
      <c r="BD20" s="83">
        <f t="shared" ca="1" si="40"/>
        <v>0.42679065456490356</v>
      </c>
      <c r="BE20" s="83">
        <f t="shared" ca="1" si="41"/>
        <v>1.8547871974576042</v>
      </c>
      <c r="BF20" s="83">
        <f t="shared" ca="1" si="42"/>
        <v>2.2180960299493</v>
      </c>
      <c r="BG20" s="83">
        <f t="shared" ca="1" si="43"/>
        <v>6.4963523057049803</v>
      </c>
      <c r="BH20" s="83">
        <f t="shared" ca="1" si="44"/>
        <v>2.4253430190371486</v>
      </c>
      <c r="BI20" s="83">
        <f t="shared" ca="1" si="45"/>
        <v>0.81309523913155535</v>
      </c>
      <c r="BJ20" s="83">
        <f t="shared" ca="1" si="46"/>
        <v>3.0913119957626738</v>
      </c>
      <c r="BK20" s="83">
        <f t="shared" ca="1" si="47"/>
        <v>1.6826935399615379</v>
      </c>
      <c r="BL20" s="83">
        <f t="shared" ca="1" si="48"/>
        <v>2.8094327224444924</v>
      </c>
      <c r="BM20" s="83">
        <f t="shared" ca="1" si="49"/>
        <v>2.2757354315393341</v>
      </c>
      <c r="BN20" s="83">
        <f t="shared" ca="1" si="50"/>
        <v>0.17543963665909079</v>
      </c>
      <c r="BO20" s="83">
        <f t="shared" ca="1" si="51"/>
        <v>1.1472910499737758</v>
      </c>
      <c r="BP20" s="83">
        <f t="shared" ca="1" si="52"/>
        <v>0.43342106332342645</v>
      </c>
      <c r="BQ20" s="83">
        <f t="shared" ca="1" si="53"/>
        <v>2.2490209457888977</v>
      </c>
      <c r="BR20" s="83">
        <f t="shared" ca="1" si="54"/>
        <v>3.338757168145976</v>
      </c>
      <c r="BS20" s="83">
        <f t="shared" ca="1" si="55"/>
        <v>0.45546828748033191</v>
      </c>
      <c r="BT20" s="83">
        <f t="shared" ca="1" si="56"/>
        <v>1.8101703232919573</v>
      </c>
      <c r="BU20" s="83">
        <f t="shared" ca="1" si="57"/>
        <v>1.5552167566311184</v>
      </c>
      <c r="BV20" s="83">
        <f t="shared" ca="1" si="58"/>
        <v>3.3550968207670446</v>
      </c>
      <c r="BW20" s="83">
        <f t="shared" ca="1" si="59"/>
        <v>2.8742137965052423</v>
      </c>
      <c r="BX20" s="83">
        <f t="shared" ca="1" si="60"/>
        <v>0.40823453914903818</v>
      </c>
      <c r="BY20" s="83">
        <f t="shared" ca="1" si="61"/>
        <v>1.8101703232919573</v>
      </c>
      <c r="BZ20" s="83">
        <f t="shared" ca="1" si="62"/>
        <v>1.5552167566311184</v>
      </c>
      <c r="CA20" s="83">
        <f t="shared" ca="1" si="63"/>
        <v>4.6528925140747361</v>
      </c>
      <c r="CB20" s="83">
        <f t="shared" ca="1" si="64"/>
        <v>2.317586054036274</v>
      </c>
      <c r="CC20" s="83">
        <f t="shared" ca="1" si="65"/>
        <v>0.49932819664510453</v>
      </c>
      <c r="CD20" s="83">
        <f t="shared" ca="1" si="66"/>
        <v>2.9937787016075168</v>
      </c>
      <c r="CE20" s="83">
        <f t="shared" ca="1" si="67"/>
        <v>1.9947702057574288</v>
      </c>
      <c r="CF20" s="83">
        <f t="shared" ca="1" si="68"/>
        <v>5.5479429015026192</v>
      </c>
      <c r="CG20" s="83">
        <f t="shared" ca="1" si="69"/>
        <v>1.9947702057574288</v>
      </c>
      <c r="CH20" s="83">
        <f t="shared" ca="1" si="70"/>
        <v>2.8511531160769579</v>
      </c>
      <c r="CI20" s="83">
        <f t="shared" ca="1" si="71"/>
        <v>7.6187858189672175</v>
      </c>
      <c r="CJ20" s="83">
        <f t="shared" ca="1" si="72"/>
        <v>2.8511531160769579</v>
      </c>
      <c r="CK20" s="83">
        <f t="shared" ca="1" si="73"/>
        <v>1.8434597916302442</v>
      </c>
    </row>
    <row r="21" spans="1:89" x14ac:dyDescent="0.25">
      <c r="A21" t="str">
        <f>Plantilla!D22</f>
        <v>G. Stoychev</v>
      </c>
      <c r="B21" s="319">
        <f>Plantilla!E22</f>
        <v>24</v>
      </c>
      <c r="C21" s="115">
        <f ca="1">Plantilla!F22</f>
        <v>3</v>
      </c>
      <c r="D21" s="319" t="str">
        <f>Plantilla!G22</f>
        <v>IMP</v>
      </c>
      <c r="E21" s="265">
        <f>Plantilla!O22</f>
        <v>43650</v>
      </c>
      <c r="F21" s="115">
        <f>Plantilla!Q22</f>
        <v>5</v>
      </c>
      <c r="G21" s="142">
        <f t="shared" si="0"/>
        <v>0.84515425472851657</v>
      </c>
      <c r="H21" s="142">
        <f t="shared" si="1"/>
        <v>0.92504826128926143</v>
      </c>
      <c r="I21" s="195">
        <f ca="1">Plantilla!P22</f>
        <v>0.15905420932620543</v>
      </c>
      <c r="J21" s="196">
        <f>Plantilla!I22</f>
        <v>3.7</v>
      </c>
      <c r="K21" s="49">
        <f>Plantilla!X22</f>
        <v>0</v>
      </c>
      <c r="L21" s="49">
        <f>Plantilla!Y22</f>
        <v>9</v>
      </c>
      <c r="M21" s="49">
        <f>Plantilla!Z22</f>
        <v>8.1818181818181817</v>
      </c>
      <c r="N21" s="49">
        <f>Plantilla!AA22</f>
        <v>9</v>
      </c>
      <c r="O21" s="49">
        <f>Plantilla!AB22</f>
        <v>5</v>
      </c>
      <c r="P21" s="49">
        <f>Plantilla!AC22</f>
        <v>5</v>
      </c>
      <c r="Q21" s="49">
        <f>Plantilla!AD22</f>
        <v>3</v>
      </c>
      <c r="R21" s="196">
        <f t="shared" si="2"/>
        <v>2.75</v>
      </c>
      <c r="S21" s="196">
        <f t="shared" ca="1" si="3"/>
        <v>4.3758108828616606</v>
      </c>
      <c r="T21" s="49">
        <f t="shared" si="4"/>
        <v>0.33999999999999997</v>
      </c>
      <c r="U21" s="49">
        <f t="shared" si="5"/>
        <v>0.45</v>
      </c>
      <c r="V21" s="196">
        <f t="shared" ca="1" si="6"/>
        <v>3.3767290824681169</v>
      </c>
      <c r="W21" s="196">
        <f t="shared" ca="1" si="7"/>
        <v>3.6959375748340761</v>
      </c>
      <c r="X21" s="83">
        <f t="shared" ca="1" si="8"/>
        <v>3.2842411315557594</v>
      </c>
      <c r="Y21" s="83">
        <f t="shared" ca="1" si="9"/>
        <v>5.0084035519341175</v>
      </c>
      <c r="Z21" s="83">
        <f t="shared" ca="1" si="10"/>
        <v>3.2842411315557594</v>
      </c>
      <c r="AA21" s="83">
        <f t="shared" ca="1" si="11"/>
        <v>5.1169947581704145</v>
      </c>
      <c r="AB21" s="83">
        <f t="shared" ca="1" si="12"/>
        <v>9.9166565080821982</v>
      </c>
      <c r="AC21" s="83">
        <f t="shared" ca="1" si="13"/>
        <v>2.5584973790852072</v>
      </c>
      <c r="AD21" s="83">
        <f t="shared" ca="1" si="14"/>
        <v>2.1654369761962902</v>
      </c>
      <c r="AE21" s="83">
        <f t="shared" ca="1" si="15"/>
        <v>3.7484961600550708</v>
      </c>
      <c r="AF21" s="83">
        <f t="shared" ca="1" si="16"/>
        <v>7.1697426553434287</v>
      </c>
      <c r="AG21" s="83">
        <f t="shared" ca="1" si="17"/>
        <v>1.8742480800275354</v>
      </c>
      <c r="AH21" s="83">
        <f t="shared" ca="1" si="18"/>
        <v>3.5029127556116464</v>
      </c>
      <c r="AI21" s="83">
        <f t="shared" ca="1" si="19"/>
        <v>9.1233239874356222</v>
      </c>
      <c r="AJ21" s="83">
        <f t="shared" ca="1" si="20"/>
        <v>4.1054957943460302</v>
      </c>
      <c r="AK21" s="83">
        <f t="shared" ca="1" si="21"/>
        <v>1.5194452732133634</v>
      </c>
      <c r="AL21" s="83">
        <f t="shared" ca="1" si="22"/>
        <v>5.8309940267523324</v>
      </c>
      <c r="AM21" s="83">
        <f t="shared" ca="1" si="23"/>
        <v>7.4771590070939773</v>
      </c>
      <c r="AN21" s="83">
        <f t="shared" ca="1" si="24"/>
        <v>7.0209928077221964</v>
      </c>
      <c r="AO21" s="83">
        <f t="shared" ca="1" si="25"/>
        <v>0.6540816368497272</v>
      </c>
      <c r="AP21" s="83">
        <f t="shared" ca="1" si="26"/>
        <v>1.0559970743276732</v>
      </c>
      <c r="AQ21" s="83">
        <f t="shared" ca="1" si="27"/>
        <v>2.6774972571821936</v>
      </c>
      <c r="AR21" s="83">
        <f t="shared" ca="1" si="28"/>
        <v>5.8904939658008253</v>
      </c>
      <c r="AS21" s="83">
        <f t="shared" ca="1" si="29"/>
        <v>1.3387486285910968</v>
      </c>
      <c r="AT21" s="83">
        <f t="shared" ca="1" si="30"/>
        <v>8.588960107265958</v>
      </c>
      <c r="AU21" s="83">
        <f t="shared" ca="1" si="31"/>
        <v>0.76916534605068587</v>
      </c>
      <c r="AV21" s="83">
        <f t="shared" ca="1" si="32"/>
        <v>1.7335803568680843</v>
      </c>
      <c r="AW21" s="83">
        <f t="shared" ca="1" si="33"/>
        <v>0.38458267302534294</v>
      </c>
      <c r="AX21" s="83">
        <f t="shared" ca="1" si="34"/>
        <v>1.8742480800275354</v>
      </c>
      <c r="AY21" s="83">
        <f t="shared" ca="1" si="35"/>
        <v>3.9666626032328796</v>
      </c>
      <c r="AZ21" s="83">
        <f t="shared" ca="1" si="36"/>
        <v>0.9371240400137677</v>
      </c>
      <c r="BA21" s="83">
        <f t="shared" ca="1" si="37"/>
        <v>9.0984746899003799</v>
      </c>
      <c r="BB21" s="83">
        <f t="shared" ca="1" si="38"/>
        <v>1.4969140965447965</v>
      </c>
      <c r="BC21" s="83">
        <f t="shared" ca="1" si="39"/>
        <v>3.2600777359532915</v>
      </c>
      <c r="BD21" s="83">
        <f t="shared" ca="1" si="40"/>
        <v>0.74845704827239823</v>
      </c>
      <c r="BE21" s="83">
        <f t="shared" ca="1" si="41"/>
        <v>2.8857470438519197</v>
      </c>
      <c r="BF21" s="83">
        <f t="shared" ca="1" si="42"/>
        <v>3.4509964648126048</v>
      </c>
      <c r="BG21" s="83">
        <f t="shared" ca="1" si="43"/>
        <v>8.015756201802235</v>
      </c>
      <c r="BH21" s="83">
        <f t="shared" ca="1" si="44"/>
        <v>7.5559076356850738</v>
      </c>
      <c r="BI21" s="83">
        <f t="shared" ca="1" si="45"/>
        <v>1.42591421844781</v>
      </c>
      <c r="BJ21" s="83">
        <f t="shared" ca="1" si="46"/>
        <v>4.8095784064198659</v>
      </c>
      <c r="BK21" s="83">
        <f t="shared" ca="1" si="47"/>
        <v>2.6179973181337006</v>
      </c>
      <c r="BL21" s="83">
        <f t="shared" ca="1" si="48"/>
        <v>3.4665188568520446</v>
      </c>
      <c r="BM21" s="83">
        <f t="shared" ca="1" si="49"/>
        <v>7.8631577880638419</v>
      </c>
      <c r="BN21" s="83">
        <f t="shared" ca="1" si="50"/>
        <v>0.30766613842027435</v>
      </c>
      <c r="BO21" s="83">
        <f t="shared" ca="1" si="51"/>
        <v>1.7849981714547956</v>
      </c>
      <c r="BP21" s="83">
        <f t="shared" ca="1" si="52"/>
        <v>0.67433264254958958</v>
      </c>
      <c r="BQ21" s="83">
        <f t="shared" ca="1" si="53"/>
        <v>2.7750347804196158</v>
      </c>
      <c r="BR21" s="83">
        <f t="shared" ca="1" si="54"/>
        <v>11.608820269393707</v>
      </c>
      <c r="BS21" s="83">
        <f t="shared" ca="1" si="55"/>
        <v>0.79874862859109697</v>
      </c>
      <c r="BT21" s="83">
        <f t="shared" ca="1" si="56"/>
        <v>2.8163304482953442</v>
      </c>
      <c r="BU21" s="83">
        <f t="shared" ca="1" si="57"/>
        <v>2.4196641879720562</v>
      </c>
      <c r="BV21" s="83">
        <f t="shared" ca="1" si="58"/>
        <v>4.1398059839046732</v>
      </c>
      <c r="BW21" s="83">
        <f t="shared" ca="1" si="59"/>
        <v>10.011655410955075</v>
      </c>
      <c r="BX21" s="83">
        <f t="shared" ca="1" si="60"/>
        <v>0.71591543747794606</v>
      </c>
      <c r="BY21" s="83">
        <f t="shared" ca="1" si="61"/>
        <v>2.8163304482953442</v>
      </c>
      <c r="BZ21" s="83">
        <f t="shared" ca="1" si="62"/>
        <v>2.4196641879720562</v>
      </c>
      <c r="CA21" s="83">
        <f t="shared" ca="1" si="63"/>
        <v>5.7411375293271396</v>
      </c>
      <c r="CB21" s="83">
        <f t="shared" ca="1" si="64"/>
        <v>8.1034075747335663</v>
      </c>
      <c r="CC21" s="83">
        <f t="shared" ca="1" si="65"/>
        <v>0.87566516319616539</v>
      </c>
      <c r="CD21" s="83">
        <f t="shared" ca="1" si="66"/>
        <v>3.6939807240995544</v>
      </c>
      <c r="CE21" s="83">
        <f t="shared" ca="1" si="67"/>
        <v>3.6585780407108253</v>
      </c>
      <c r="CF21" s="83">
        <f t="shared" ca="1" si="68"/>
        <v>6.6621552281005556</v>
      </c>
      <c r="CG21" s="83">
        <f t="shared" ca="1" si="69"/>
        <v>3.6585780407108253</v>
      </c>
      <c r="CH21" s="83">
        <f t="shared" ca="1" si="70"/>
        <v>4.7887229101103959</v>
      </c>
      <c r="CI21" s="83">
        <f t="shared" ca="1" si="71"/>
        <v>8.0999027595645305</v>
      </c>
      <c r="CJ21" s="83">
        <f t="shared" ca="1" si="72"/>
        <v>4.7887229101103959</v>
      </c>
      <c r="CK21" s="83">
        <f t="shared" ca="1" si="73"/>
        <v>2.274618672475095</v>
      </c>
    </row>
    <row r="22" spans="1:89" x14ac:dyDescent="0.25">
      <c r="A22" t="str">
        <f>Plantilla!D23</f>
        <v>K. Helms</v>
      </c>
      <c r="B22" s="319">
        <f>Plantilla!E23</f>
        <v>35</v>
      </c>
      <c r="C22" s="115">
        <f ca="1">Plantilla!F23</f>
        <v>63</v>
      </c>
      <c r="D22" s="319" t="str">
        <f>Plantilla!G23</f>
        <v>TEC</v>
      </c>
      <c r="E22" s="265">
        <v>36526</v>
      </c>
      <c r="F22" s="115">
        <f>Plantilla!Q23</f>
        <v>6</v>
      </c>
      <c r="G22" s="142">
        <f t="shared" si="0"/>
        <v>0.92582009977255142</v>
      </c>
      <c r="H22" s="142">
        <f t="shared" si="1"/>
        <v>0.99928545900129484</v>
      </c>
      <c r="I22" s="195">
        <f>Plantilla!P23</f>
        <v>1.5</v>
      </c>
      <c r="J22" s="196">
        <f>Plantilla!I23</f>
        <v>13.6</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196">
        <f t="shared" si="2"/>
        <v>3.7687878787878786</v>
      </c>
      <c r="S22" s="196">
        <f t="shared" si="3"/>
        <v>15.512161316664242</v>
      </c>
      <c r="T22" s="49">
        <f t="shared" si="4"/>
        <v>0.73750000000000004</v>
      </c>
      <c r="U22" s="49">
        <f t="shared" si="5"/>
        <v>0.8300121212121212</v>
      </c>
      <c r="V22" s="196">
        <f t="shared" ca="1" si="6"/>
        <v>18.989852702669655</v>
      </c>
      <c r="W22" s="196">
        <f t="shared" ca="1" si="7"/>
        <v>20.49672898548668</v>
      </c>
      <c r="X22" s="83">
        <f t="shared" si="8"/>
        <v>4.6300229257065695</v>
      </c>
      <c r="Y22" s="83">
        <f t="shared" si="9"/>
        <v>6.9690770954867221</v>
      </c>
      <c r="Z22" s="83">
        <f t="shared" si="10"/>
        <v>4.6300229257065695</v>
      </c>
      <c r="AA22" s="83">
        <f t="shared" si="11"/>
        <v>5.2950311325950734</v>
      </c>
      <c r="AB22" s="83">
        <f t="shared" si="12"/>
        <v>10.26168824146332</v>
      </c>
      <c r="AC22" s="83">
        <f t="shared" si="13"/>
        <v>2.6475155662975367</v>
      </c>
      <c r="AD22" s="83">
        <f t="shared" si="14"/>
        <v>3.23950968025615</v>
      </c>
      <c r="AE22" s="83">
        <f t="shared" si="15"/>
        <v>3.8789181552731349</v>
      </c>
      <c r="AF22" s="83">
        <f t="shared" si="16"/>
        <v>7.4192005985779801</v>
      </c>
      <c r="AG22" s="83">
        <f t="shared" si="17"/>
        <v>1.9394590776365674</v>
      </c>
      <c r="AH22" s="83">
        <f t="shared" si="18"/>
        <v>5.2403833062967138</v>
      </c>
      <c r="AI22" s="83">
        <f t="shared" si="19"/>
        <v>9.4407531821462545</v>
      </c>
      <c r="AJ22" s="83">
        <f t="shared" si="20"/>
        <v>4.2483389319658142</v>
      </c>
      <c r="AK22" s="83">
        <f t="shared" si="21"/>
        <v>2.2731013302637693</v>
      </c>
      <c r="AL22" s="83">
        <f t="shared" si="22"/>
        <v>9.3852945041622498</v>
      </c>
      <c r="AM22" s="83">
        <f t="shared" si="23"/>
        <v>7.7373129340633433</v>
      </c>
      <c r="AN22" s="83">
        <f t="shared" si="24"/>
        <v>7.2652752749560303</v>
      </c>
      <c r="AO22" s="83">
        <f t="shared" si="25"/>
        <v>3.5089013302637682</v>
      </c>
      <c r="AP22" s="83">
        <f t="shared" si="26"/>
        <v>1.9526898499050724</v>
      </c>
      <c r="AQ22" s="83">
        <f t="shared" si="27"/>
        <v>2.7706558251950963</v>
      </c>
      <c r="AR22" s="83">
        <f t="shared" si="28"/>
        <v>6.0954428154292115</v>
      </c>
      <c r="AS22" s="83">
        <f t="shared" si="29"/>
        <v>1.3853279125975482</v>
      </c>
      <c r="AT22" s="83">
        <f t="shared" si="30"/>
        <v>12.849147639335317</v>
      </c>
      <c r="AU22" s="83">
        <f t="shared" si="31"/>
        <v>1.6849800774508377</v>
      </c>
      <c r="AV22" s="83">
        <f t="shared" si="32"/>
        <v>2.7596858668699644</v>
      </c>
      <c r="AW22" s="83">
        <f t="shared" si="33"/>
        <v>0.84249003872541883</v>
      </c>
      <c r="AX22" s="83">
        <f t="shared" si="34"/>
        <v>1.9394590776365674</v>
      </c>
      <c r="AY22" s="83">
        <f t="shared" si="35"/>
        <v>4.1046752965853281</v>
      </c>
      <c r="AZ22" s="83">
        <f t="shared" si="36"/>
        <v>0.96972953881828372</v>
      </c>
      <c r="BA22" s="83">
        <f t="shared" si="37"/>
        <v>13.611385211160295</v>
      </c>
      <c r="BB22" s="83">
        <f t="shared" si="38"/>
        <v>3.279230458423553</v>
      </c>
      <c r="BC22" s="83">
        <f t="shared" si="39"/>
        <v>5.8817232513493201</v>
      </c>
      <c r="BD22" s="83">
        <f t="shared" si="40"/>
        <v>1.6396152292117765</v>
      </c>
      <c r="BE22" s="83">
        <f t="shared" si="41"/>
        <v>2.9861512782658259</v>
      </c>
      <c r="BF22" s="83">
        <f t="shared" si="42"/>
        <v>3.5710675080292349</v>
      </c>
      <c r="BG22" s="83">
        <f t="shared" si="43"/>
        <v>11.991630371032221</v>
      </c>
      <c r="BH22" s="83">
        <f t="shared" si="44"/>
        <v>13.244671452721498</v>
      </c>
      <c r="BI22" s="83">
        <f t="shared" si="45"/>
        <v>3.1236938358896298</v>
      </c>
      <c r="BJ22" s="83">
        <f t="shared" si="46"/>
        <v>4.9769187971097102</v>
      </c>
      <c r="BK22" s="83">
        <f t="shared" si="47"/>
        <v>2.7090856957463165</v>
      </c>
      <c r="BL22" s="83">
        <f t="shared" si="48"/>
        <v>5.1859377654520724</v>
      </c>
      <c r="BM22" s="83">
        <f t="shared" si="49"/>
        <v>13.347250674554093</v>
      </c>
      <c r="BN22" s="83">
        <f t="shared" si="50"/>
        <v>0.673992030980335</v>
      </c>
      <c r="BO22" s="83">
        <f t="shared" si="51"/>
        <v>1.8471038834633975</v>
      </c>
      <c r="BP22" s="83">
        <f t="shared" si="52"/>
        <v>0.69779480041950581</v>
      </c>
      <c r="BQ22" s="83">
        <f t="shared" si="53"/>
        <v>4.1514724894038899</v>
      </c>
      <c r="BR22" s="83">
        <f t="shared" si="54"/>
        <v>19.668341381552132</v>
      </c>
      <c r="BS22" s="83">
        <f t="shared" si="55"/>
        <v>1.7497870035066392</v>
      </c>
      <c r="BT22" s="83">
        <f t="shared" si="56"/>
        <v>2.9143194605755824</v>
      </c>
      <c r="BU22" s="83">
        <f t="shared" si="57"/>
        <v>2.5038519309170502</v>
      </c>
      <c r="BV22" s="83">
        <f t="shared" si="58"/>
        <v>6.1931802710779342</v>
      </c>
      <c r="BW22" s="83">
        <f t="shared" si="59"/>
        <v>16.953214813965602</v>
      </c>
      <c r="BX22" s="83">
        <f t="shared" si="60"/>
        <v>1.5683276105503949</v>
      </c>
      <c r="BY22" s="83">
        <f t="shared" si="61"/>
        <v>2.9143194605755824</v>
      </c>
      <c r="BZ22" s="83">
        <f t="shared" si="62"/>
        <v>2.5038519309170502</v>
      </c>
      <c r="CA22" s="83">
        <f t="shared" si="63"/>
        <v>8.5887840682421466</v>
      </c>
      <c r="CB22" s="83">
        <f t="shared" si="64"/>
        <v>13.706439763988458</v>
      </c>
      <c r="CC22" s="83">
        <f t="shared" si="65"/>
        <v>1.9182850112517227</v>
      </c>
      <c r="CD22" s="83">
        <f t="shared" si="66"/>
        <v>5.5262223957310797</v>
      </c>
      <c r="CE22" s="83">
        <f t="shared" si="67"/>
        <v>7.4777925119073343</v>
      </c>
      <c r="CF22" s="83">
        <f t="shared" si="68"/>
        <v>11.096519747766486</v>
      </c>
      <c r="CG22" s="83">
        <f t="shared" si="69"/>
        <v>7.4777925119073343</v>
      </c>
      <c r="CH22" s="83">
        <f t="shared" si="70"/>
        <v>7.0479429865528598</v>
      </c>
      <c r="CI22" s="83">
        <f t="shared" si="71"/>
        <v>11.744136354078437</v>
      </c>
      <c r="CJ22" s="83">
        <f t="shared" si="72"/>
        <v>7.0479429865528598</v>
      </c>
      <c r="CK22" s="83">
        <f t="shared" si="73"/>
        <v>3.4028463027900737</v>
      </c>
    </row>
    <row r="23" spans="1:89" x14ac:dyDescent="0.25">
      <c r="A23" t="str">
        <f>Plantilla!D24</f>
        <v>S. Zobbe</v>
      </c>
      <c r="B23" s="319">
        <f>Plantilla!E24</f>
        <v>32</v>
      </c>
      <c r="C23" s="115">
        <f ca="1">Plantilla!F24</f>
        <v>78</v>
      </c>
      <c r="D23" s="319" t="str">
        <f>Plantilla!G24</f>
        <v>CAB</v>
      </c>
      <c r="E23" s="265">
        <v>36526</v>
      </c>
      <c r="F23" s="115">
        <f>Plantilla!Q24</f>
        <v>6</v>
      </c>
      <c r="G23" s="142">
        <f t="shared" si="0"/>
        <v>0.92582009977255142</v>
      </c>
      <c r="H23" s="142">
        <f t="shared" si="1"/>
        <v>0.99928545900129484</v>
      </c>
      <c r="I23" s="195">
        <f>Plantilla!P24</f>
        <v>1.5</v>
      </c>
      <c r="J23" s="196">
        <f>Plantilla!I24</f>
        <v>13.3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196">
        <f t="shared" si="2"/>
        <v>3.9799999999999995</v>
      </c>
      <c r="S23" s="196">
        <f t="shared" si="3"/>
        <v>19.363616168716348</v>
      </c>
      <c r="T23" s="49">
        <f t="shared" si="4"/>
        <v>0.82750000000000001</v>
      </c>
      <c r="U23" s="49">
        <f t="shared" si="5"/>
        <v>0.81439999999999979</v>
      </c>
      <c r="V23" s="196">
        <f t="shared" ca="1" si="6"/>
        <v>17.126254280626299</v>
      </c>
      <c r="W23" s="196">
        <f t="shared" ca="1" si="7"/>
        <v>18.485250940212882</v>
      </c>
      <c r="X23" s="83">
        <f t="shared" si="8"/>
        <v>4.9250233100856873</v>
      </c>
      <c r="Y23" s="83">
        <f t="shared" si="9"/>
        <v>7.4240232913180089</v>
      </c>
      <c r="Z23" s="83">
        <f t="shared" si="10"/>
        <v>4.9250233100856873</v>
      </c>
      <c r="AA23" s="83">
        <f t="shared" si="11"/>
        <v>5.8609699289853534</v>
      </c>
      <c r="AB23" s="83">
        <f t="shared" si="12"/>
        <v>11.358468854622778</v>
      </c>
      <c r="AC23" s="83">
        <f t="shared" si="13"/>
        <v>2.9304849644926767</v>
      </c>
      <c r="AD23" s="83">
        <f t="shared" si="14"/>
        <v>3.6299478096224438</v>
      </c>
      <c r="AE23" s="83">
        <f t="shared" si="15"/>
        <v>4.2935012270474102</v>
      </c>
      <c r="AF23" s="83">
        <f t="shared" si="16"/>
        <v>8.2121729818922677</v>
      </c>
      <c r="AG23" s="83">
        <f t="shared" si="17"/>
        <v>2.1467506135237051</v>
      </c>
      <c r="AH23" s="83">
        <f t="shared" si="18"/>
        <v>5.8719743979186596</v>
      </c>
      <c r="AI23" s="83">
        <f t="shared" si="19"/>
        <v>10.449791346252956</v>
      </c>
      <c r="AJ23" s="83">
        <f t="shared" si="20"/>
        <v>4.7024061058138296</v>
      </c>
      <c r="AK23" s="83">
        <f t="shared" si="21"/>
        <v>2.5470642193569253</v>
      </c>
      <c r="AL23" s="83">
        <f t="shared" si="22"/>
        <v>9.3776996865181932</v>
      </c>
      <c r="AM23" s="83">
        <f t="shared" si="23"/>
        <v>8.5642855163855742</v>
      </c>
      <c r="AN23" s="83">
        <f t="shared" si="24"/>
        <v>8.0417959490729256</v>
      </c>
      <c r="AO23" s="83">
        <f t="shared" si="25"/>
        <v>3.1727442987220047</v>
      </c>
      <c r="AP23" s="83">
        <f t="shared" si="26"/>
        <v>2.0097990301313606</v>
      </c>
      <c r="AQ23" s="83">
        <f t="shared" si="27"/>
        <v>3.0667865907481504</v>
      </c>
      <c r="AR23" s="83">
        <f t="shared" si="28"/>
        <v>6.7469304996459298</v>
      </c>
      <c r="AS23" s="83">
        <f t="shared" si="29"/>
        <v>1.5333932953740752</v>
      </c>
      <c r="AT23" s="83">
        <f t="shared" si="30"/>
        <v>14.397776186065492</v>
      </c>
      <c r="AU23" s="83">
        <f t="shared" si="31"/>
        <v>1.7210009511009616</v>
      </c>
      <c r="AV23" s="83">
        <f t="shared" si="32"/>
        <v>3.3097013744044741</v>
      </c>
      <c r="AW23" s="83">
        <f t="shared" si="33"/>
        <v>0.86050047555048081</v>
      </c>
      <c r="AX23" s="83">
        <f t="shared" si="34"/>
        <v>2.1467506135237051</v>
      </c>
      <c r="AY23" s="83">
        <f t="shared" si="35"/>
        <v>4.5433875418491114</v>
      </c>
      <c r="AZ23" s="83">
        <f t="shared" si="36"/>
        <v>1.0733753067618526</v>
      </c>
      <c r="BA23" s="83">
        <f t="shared" si="37"/>
        <v>15.25188155303548</v>
      </c>
      <c r="BB23" s="83">
        <f t="shared" si="38"/>
        <v>3.3493326202195637</v>
      </c>
      <c r="BC23" s="83">
        <f t="shared" si="39"/>
        <v>6.6034963388971519</v>
      </c>
      <c r="BD23" s="83">
        <f t="shared" si="40"/>
        <v>1.6746663101097818</v>
      </c>
      <c r="BE23" s="83">
        <f t="shared" si="41"/>
        <v>3.3053144366952281</v>
      </c>
      <c r="BF23" s="83">
        <f t="shared" si="42"/>
        <v>3.9527471614087264</v>
      </c>
      <c r="BG23" s="83">
        <f t="shared" si="43"/>
        <v>13.436907648224258</v>
      </c>
      <c r="BH23" s="83">
        <f t="shared" si="44"/>
        <v>13.32453881175965</v>
      </c>
      <c r="BI23" s="83">
        <f t="shared" si="45"/>
        <v>3.1904709939640901</v>
      </c>
      <c r="BJ23" s="83">
        <f t="shared" si="46"/>
        <v>5.5088573944920469</v>
      </c>
      <c r="BK23" s="83">
        <f t="shared" si="47"/>
        <v>2.9986357776204136</v>
      </c>
      <c r="BL23" s="83">
        <f t="shared" si="48"/>
        <v>5.8109668717065182</v>
      </c>
      <c r="BM23" s="83">
        <f t="shared" si="49"/>
        <v>13.39425177894031</v>
      </c>
      <c r="BN23" s="83">
        <f t="shared" si="50"/>
        <v>0.68840038044038454</v>
      </c>
      <c r="BO23" s="83">
        <f t="shared" si="51"/>
        <v>2.0445243938320998</v>
      </c>
      <c r="BP23" s="83">
        <f t="shared" si="52"/>
        <v>0.77237588211434893</v>
      </c>
      <c r="BQ23" s="83">
        <f t="shared" si="53"/>
        <v>4.6518238736758208</v>
      </c>
      <c r="BR23" s="83">
        <f t="shared" si="54"/>
        <v>19.734670947044894</v>
      </c>
      <c r="BS23" s="83">
        <f t="shared" si="55"/>
        <v>1.7871932953740755</v>
      </c>
      <c r="BT23" s="83">
        <f t="shared" si="56"/>
        <v>3.2258051547128685</v>
      </c>
      <c r="BU23" s="83">
        <f t="shared" si="57"/>
        <v>2.7714664005279577</v>
      </c>
      <c r="BV23" s="83">
        <f t="shared" si="58"/>
        <v>6.9396061066311434</v>
      </c>
      <c r="BW23" s="83">
        <f t="shared" si="59"/>
        <v>17.009663490922041</v>
      </c>
      <c r="BX23" s="83">
        <f t="shared" si="60"/>
        <v>1.6018547314093565</v>
      </c>
      <c r="BY23" s="83">
        <f t="shared" si="61"/>
        <v>3.2258051547128685</v>
      </c>
      <c r="BZ23" s="83">
        <f t="shared" si="62"/>
        <v>2.7714664005279577</v>
      </c>
      <c r="CA23" s="83">
        <f t="shared" si="63"/>
        <v>9.6239372599653876</v>
      </c>
      <c r="CB23" s="83">
        <f t="shared" si="64"/>
        <v>13.750849624887387</v>
      </c>
      <c r="CC23" s="83">
        <f t="shared" si="65"/>
        <v>1.9592933904841714</v>
      </c>
      <c r="CD23" s="83">
        <f t="shared" si="66"/>
        <v>6.1922639105324055</v>
      </c>
      <c r="CE23" s="83">
        <f t="shared" si="67"/>
        <v>6.8696522732584686</v>
      </c>
      <c r="CF23" s="83">
        <f t="shared" si="68"/>
        <v>12.98844593030525</v>
      </c>
      <c r="CG23" s="83">
        <f t="shared" si="69"/>
        <v>6.8696522732584686</v>
      </c>
      <c r="CH23" s="83">
        <f t="shared" si="70"/>
        <v>7.8610760964299926</v>
      </c>
      <c r="CI23" s="83">
        <f t="shared" si="71"/>
        <v>14.833463861978586</v>
      </c>
      <c r="CJ23" s="83">
        <f t="shared" si="72"/>
        <v>7.8610760964299926</v>
      </c>
      <c r="CK23" s="83">
        <f t="shared" si="73"/>
        <v>3.8129703882588699</v>
      </c>
    </row>
    <row r="24" spans="1:89" x14ac:dyDescent="0.25">
      <c r="A24" t="str">
        <f>Plantilla!D25</f>
        <v>L. Bauman</v>
      </c>
      <c r="B24" s="319">
        <f>Plantilla!E25</f>
        <v>35</v>
      </c>
      <c r="C24" s="115">
        <f ca="1">Plantilla!F25</f>
        <v>78</v>
      </c>
      <c r="D24" s="319">
        <f>Plantilla!G25</f>
        <v>0</v>
      </c>
      <c r="E24" s="265">
        <v>36526</v>
      </c>
      <c r="F24" s="115">
        <f>Plantilla!Q25</f>
        <v>6</v>
      </c>
      <c r="G24" s="142">
        <f t="shared" si="0"/>
        <v>0.92582009977255142</v>
      </c>
      <c r="H24" s="142">
        <f t="shared" si="1"/>
        <v>0.99928545900129484</v>
      </c>
      <c r="I24" s="195">
        <f>Plantilla!P25</f>
        <v>1.5</v>
      </c>
      <c r="J24" s="196">
        <f>Plantilla!I25</f>
        <v>12.2</v>
      </c>
      <c r="K24" s="49">
        <f>Plantilla!X25</f>
        <v>0</v>
      </c>
      <c r="L24" s="49">
        <f>Plantilla!Y25</f>
        <v>5.95</v>
      </c>
      <c r="M24" s="49">
        <f>Plantilla!Z25</f>
        <v>13.95</v>
      </c>
      <c r="N24" s="49">
        <f>Plantilla!AA25</f>
        <v>2.95</v>
      </c>
      <c r="O24" s="49">
        <f>Plantilla!AB25</f>
        <v>8.9499999999999993</v>
      </c>
      <c r="P24" s="49">
        <f>Plantilla!AC25</f>
        <v>5.95</v>
      </c>
      <c r="Q24" s="49">
        <f>Plantilla!AD25</f>
        <v>16.95</v>
      </c>
      <c r="R24" s="196">
        <f t="shared" si="2"/>
        <v>3.3562499999999997</v>
      </c>
      <c r="S24" s="196">
        <f t="shared" si="3"/>
        <v>18.115640301054924</v>
      </c>
      <c r="T24" s="49">
        <f t="shared" si="4"/>
        <v>0.80600000000000005</v>
      </c>
      <c r="U24" s="49">
        <f t="shared" si="5"/>
        <v>0.74649999999999994</v>
      </c>
      <c r="V24" s="196">
        <f t="shared" ca="1" si="6"/>
        <v>17.959502480016212</v>
      </c>
      <c r="W24" s="196">
        <f t="shared" ca="1" si="7"/>
        <v>19.384618765121754</v>
      </c>
      <c r="X24" s="83">
        <f t="shared" si="8"/>
        <v>4.2162228429054069</v>
      </c>
      <c r="Y24" s="83">
        <f t="shared" si="9"/>
        <v>6.3352373885348001</v>
      </c>
      <c r="Z24" s="83">
        <f t="shared" si="10"/>
        <v>4.2162228429054069</v>
      </c>
      <c r="AA24" s="83">
        <f t="shared" si="11"/>
        <v>4.5916155635042273</v>
      </c>
      <c r="AB24" s="83">
        <f t="shared" si="12"/>
        <v>8.8984797742329977</v>
      </c>
      <c r="AC24" s="83">
        <f t="shared" si="13"/>
        <v>2.2958077817521136</v>
      </c>
      <c r="AD24" s="83">
        <f t="shared" si="14"/>
        <v>4.0218381862674528</v>
      </c>
      <c r="AE24" s="83">
        <f t="shared" si="15"/>
        <v>3.3636253546600732</v>
      </c>
      <c r="AF24" s="83">
        <f t="shared" si="16"/>
        <v>6.4336008767704573</v>
      </c>
      <c r="AG24" s="83">
        <f t="shared" si="17"/>
        <v>1.6818126773300366</v>
      </c>
      <c r="AH24" s="83">
        <f t="shared" si="18"/>
        <v>6.5059147130797035</v>
      </c>
      <c r="AI24" s="83">
        <f t="shared" si="19"/>
        <v>8.1866013922943583</v>
      </c>
      <c r="AJ24" s="83">
        <f t="shared" si="20"/>
        <v>3.683970626532461</v>
      </c>
      <c r="AK24" s="83">
        <f t="shared" si="21"/>
        <v>2.8220461222969107</v>
      </c>
      <c r="AL24" s="83">
        <f t="shared" si="22"/>
        <v>3.4683061072490027</v>
      </c>
      <c r="AM24" s="83">
        <f t="shared" si="23"/>
        <v>6.7094537497716802</v>
      </c>
      <c r="AN24" s="83">
        <f t="shared" si="24"/>
        <v>6.300123680156962</v>
      </c>
      <c r="AO24" s="83">
        <f t="shared" si="25"/>
        <v>3.3230461222969105</v>
      </c>
      <c r="AP24" s="83">
        <f t="shared" si="26"/>
        <v>1.8157621749791029</v>
      </c>
      <c r="AQ24" s="83">
        <f t="shared" si="27"/>
        <v>2.4025895390429097</v>
      </c>
      <c r="AR24" s="83">
        <f t="shared" si="28"/>
        <v>5.2856969858944005</v>
      </c>
      <c r="AS24" s="83">
        <f t="shared" si="29"/>
        <v>1.2012947695214549</v>
      </c>
      <c r="AT24" s="83">
        <f t="shared" si="30"/>
        <v>15.952164906875947</v>
      </c>
      <c r="AU24" s="83">
        <f t="shared" si="31"/>
        <v>1.5468023706502896</v>
      </c>
      <c r="AV24" s="83">
        <f t="shared" si="32"/>
        <v>2.9672545738502678</v>
      </c>
      <c r="AW24" s="83">
        <f t="shared" si="33"/>
        <v>0.77340118532514479</v>
      </c>
      <c r="AX24" s="83">
        <f t="shared" si="34"/>
        <v>1.6818126773300366</v>
      </c>
      <c r="AY24" s="83">
        <f t="shared" si="35"/>
        <v>3.5593919096931992</v>
      </c>
      <c r="AZ24" s="83">
        <f t="shared" si="36"/>
        <v>0.84090633866501829</v>
      </c>
      <c r="BA24" s="83">
        <f t="shared" si="37"/>
        <v>16.898479774232996</v>
      </c>
      <c r="BB24" s="83">
        <f t="shared" si="38"/>
        <v>3.0103153828809481</v>
      </c>
      <c r="BC24" s="83">
        <f t="shared" si="39"/>
        <v>5.9260623556023813</v>
      </c>
      <c r="BD24" s="83">
        <f t="shared" si="40"/>
        <v>1.5051576914404741</v>
      </c>
      <c r="BE24" s="83">
        <f t="shared" si="41"/>
        <v>2.5894576143018022</v>
      </c>
      <c r="BF24" s="83">
        <f t="shared" si="42"/>
        <v>3.096670961433083</v>
      </c>
      <c r="BG24" s="83">
        <f t="shared" si="43"/>
        <v>14.88756068109927</v>
      </c>
      <c r="BH24" s="83">
        <f t="shared" si="44"/>
        <v>7.1337485192931336</v>
      </c>
      <c r="BI24" s="83">
        <f t="shared" si="45"/>
        <v>2.867533625590152</v>
      </c>
      <c r="BJ24" s="83">
        <f t="shared" si="46"/>
        <v>4.3157626905030035</v>
      </c>
      <c r="BK24" s="83">
        <f t="shared" si="47"/>
        <v>2.3491986603975117</v>
      </c>
      <c r="BL24" s="83">
        <f t="shared" si="48"/>
        <v>6.4383207939827711</v>
      </c>
      <c r="BM24" s="83">
        <f t="shared" si="49"/>
        <v>6.3612713226796398</v>
      </c>
      <c r="BN24" s="83">
        <f t="shared" si="50"/>
        <v>0.61872094826011581</v>
      </c>
      <c r="BO24" s="83">
        <f t="shared" si="51"/>
        <v>1.6017263593619395</v>
      </c>
      <c r="BP24" s="83">
        <f t="shared" si="52"/>
        <v>0.60509662464784386</v>
      </c>
      <c r="BQ24" s="83">
        <f t="shared" si="53"/>
        <v>5.1540363311410635</v>
      </c>
      <c r="BR24" s="83">
        <f t="shared" si="54"/>
        <v>9.3014449896636346</v>
      </c>
      <c r="BS24" s="83">
        <f t="shared" si="55"/>
        <v>1.6062947695214547</v>
      </c>
      <c r="BT24" s="83">
        <f t="shared" si="56"/>
        <v>2.5271682558821711</v>
      </c>
      <c r="BU24" s="83">
        <f t="shared" si="57"/>
        <v>2.1712290649128514</v>
      </c>
      <c r="BV24" s="83">
        <f t="shared" si="58"/>
        <v>7.6888082972760134</v>
      </c>
      <c r="BW24" s="83">
        <f t="shared" si="59"/>
        <v>7.9995155898501604</v>
      </c>
      <c r="BX24" s="83">
        <f t="shared" si="60"/>
        <v>1.4397160526821924</v>
      </c>
      <c r="BY24" s="83">
        <f t="shared" si="61"/>
        <v>2.5271682558821711</v>
      </c>
      <c r="BZ24" s="83">
        <f t="shared" si="62"/>
        <v>2.1712290649128514</v>
      </c>
      <c r="CA24" s="83">
        <f t="shared" si="63"/>
        <v>10.662940737541021</v>
      </c>
      <c r="CB24" s="83">
        <f t="shared" si="64"/>
        <v>6.437139397938533</v>
      </c>
      <c r="CC24" s="83">
        <f t="shared" si="65"/>
        <v>1.7609750065864833</v>
      </c>
      <c r="CD24" s="83">
        <f t="shared" si="66"/>
        <v>6.8607827883385966</v>
      </c>
      <c r="CE24" s="83">
        <f t="shared" si="67"/>
        <v>4.9541079623753914</v>
      </c>
      <c r="CF24" s="83">
        <f t="shared" si="68"/>
        <v>11.648688225786355</v>
      </c>
      <c r="CG24" s="83">
        <f t="shared" si="69"/>
        <v>4.9541079623753914</v>
      </c>
      <c r="CH24" s="83">
        <f t="shared" si="70"/>
        <v>5.1767528993471572</v>
      </c>
      <c r="CI24" s="83">
        <f t="shared" si="71"/>
        <v>13.289018810924972</v>
      </c>
      <c r="CJ24" s="83">
        <f t="shared" si="72"/>
        <v>5.1767528993471572</v>
      </c>
      <c r="CK24" s="83">
        <f t="shared" si="73"/>
        <v>4.224619943558249</v>
      </c>
    </row>
    <row r="25" spans="1:89" x14ac:dyDescent="0.25">
      <c r="A25" t="str">
        <f>Plantilla!D26</f>
        <v>J. Limon</v>
      </c>
      <c r="B25" s="319">
        <f>Plantilla!E26</f>
        <v>35</v>
      </c>
      <c r="C25" s="115">
        <f ca="1">Plantilla!F26</f>
        <v>3</v>
      </c>
      <c r="D25" s="319" t="str">
        <f>Plantilla!G26</f>
        <v>RAP</v>
      </c>
      <c r="E25" s="265">
        <v>36526</v>
      </c>
      <c r="F25" s="115">
        <f>Plantilla!Q26</f>
        <v>6</v>
      </c>
      <c r="G25" s="142">
        <f t="shared" si="0"/>
        <v>0.92582009977255142</v>
      </c>
      <c r="H25" s="142">
        <f t="shared" si="1"/>
        <v>0.99928545900129484</v>
      </c>
      <c r="I25" s="195">
        <f>Plantilla!P26</f>
        <v>1.5</v>
      </c>
      <c r="J25" s="196">
        <f>Plantilla!I26</f>
        <v>14.4</v>
      </c>
      <c r="K25" s="49">
        <f>Plantilla!X26</f>
        <v>0</v>
      </c>
      <c r="L25" s="49">
        <f>Plantilla!Y26</f>
        <v>6.8376190476190493</v>
      </c>
      <c r="M25" s="49">
        <f>Plantilla!Z26</f>
        <v>8.9499999999999993</v>
      </c>
      <c r="N25" s="49">
        <f>Plantilla!AA26</f>
        <v>7.95</v>
      </c>
      <c r="O25" s="49">
        <f>Plantilla!AB26</f>
        <v>9.9499999999999993</v>
      </c>
      <c r="P25" s="49">
        <f>Plantilla!AC26</f>
        <v>6.95</v>
      </c>
      <c r="Q25" s="49">
        <f>Plantilla!AD26</f>
        <v>18.999999999999993</v>
      </c>
      <c r="R25" s="196">
        <f t="shared" si="2"/>
        <v>3.7172023809523811</v>
      </c>
      <c r="S25" s="196">
        <f t="shared" si="3"/>
        <v>21.115308143374001</v>
      </c>
      <c r="T25" s="49">
        <f t="shared" si="4"/>
        <v>0.91749999999999976</v>
      </c>
      <c r="U25" s="49">
        <f t="shared" si="5"/>
        <v>0.84350476190476176</v>
      </c>
      <c r="V25" s="196">
        <f t="shared" ca="1" si="6"/>
        <v>19.946315699456896</v>
      </c>
      <c r="W25" s="196">
        <f t="shared" ca="1" si="7"/>
        <v>21.529088906163604</v>
      </c>
      <c r="X25" s="83">
        <f t="shared" si="8"/>
        <v>4.5450167979417291</v>
      </c>
      <c r="Y25" s="83">
        <f t="shared" si="9"/>
        <v>6.8364160649647197</v>
      </c>
      <c r="Z25" s="83">
        <f t="shared" si="10"/>
        <v>4.5450167979417291</v>
      </c>
      <c r="AA25" s="83">
        <f t="shared" si="11"/>
        <v>5.0991648231329618</v>
      </c>
      <c r="AB25" s="83">
        <f t="shared" si="12"/>
        <v>9.8821023704127171</v>
      </c>
      <c r="AC25" s="83">
        <f t="shared" si="13"/>
        <v>2.5495824115664809</v>
      </c>
      <c r="AD25" s="83">
        <f t="shared" si="14"/>
        <v>2.8546870308248926</v>
      </c>
      <c r="AE25" s="83">
        <f t="shared" si="15"/>
        <v>3.7354346960160072</v>
      </c>
      <c r="AF25" s="83">
        <f t="shared" si="16"/>
        <v>7.1447600138083942</v>
      </c>
      <c r="AG25" s="83">
        <f t="shared" si="17"/>
        <v>1.8677173480080036</v>
      </c>
      <c r="AH25" s="83">
        <f t="shared" si="18"/>
        <v>4.617876079275562</v>
      </c>
      <c r="AI25" s="83">
        <f t="shared" si="19"/>
        <v>9.0915341807796999</v>
      </c>
      <c r="AJ25" s="83">
        <f t="shared" si="20"/>
        <v>4.0911903813508648</v>
      </c>
      <c r="AK25" s="83">
        <f t="shared" si="21"/>
        <v>2.0030787149065423</v>
      </c>
      <c r="AL25" s="83">
        <f t="shared" si="22"/>
        <v>6.4647561938026756</v>
      </c>
      <c r="AM25" s="83">
        <f t="shared" si="23"/>
        <v>7.4511051872911889</v>
      </c>
      <c r="AN25" s="83">
        <f t="shared" si="24"/>
        <v>6.9965284782522037</v>
      </c>
      <c r="AO25" s="83">
        <f t="shared" si="25"/>
        <v>3.6814287149065414</v>
      </c>
      <c r="AP25" s="83">
        <f t="shared" si="26"/>
        <v>1.9473654826788613</v>
      </c>
      <c r="AQ25" s="83">
        <f t="shared" si="27"/>
        <v>2.6681676400114336</v>
      </c>
      <c r="AR25" s="83">
        <f t="shared" si="28"/>
        <v>5.8699688080251535</v>
      </c>
      <c r="AS25" s="83">
        <f t="shared" si="29"/>
        <v>1.3340838200057168</v>
      </c>
      <c r="AT25" s="83">
        <f t="shared" si="30"/>
        <v>11.32279225671722</v>
      </c>
      <c r="AU25" s="83">
        <f t="shared" si="31"/>
        <v>1.6892828319631767</v>
      </c>
      <c r="AV25" s="83">
        <f t="shared" si="32"/>
        <v>3.288383613578544</v>
      </c>
      <c r="AW25" s="83">
        <f t="shared" si="33"/>
        <v>0.84464141598158837</v>
      </c>
      <c r="AX25" s="83">
        <f t="shared" si="34"/>
        <v>1.8677173480080036</v>
      </c>
      <c r="AY25" s="83">
        <f t="shared" si="35"/>
        <v>3.952840948165087</v>
      </c>
      <c r="AZ25" s="83">
        <f t="shared" si="36"/>
        <v>0.9338586740040018</v>
      </c>
      <c r="BA25" s="83">
        <f t="shared" si="37"/>
        <v>11.994483322793666</v>
      </c>
      <c r="BB25" s="83">
        <f t="shared" si="38"/>
        <v>3.2876042806667978</v>
      </c>
      <c r="BC25" s="83">
        <f t="shared" si="39"/>
        <v>6.5299603108593107</v>
      </c>
      <c r="BD25" s="83">
        <f t="shared" si="40"/>
        <v>1.6438021403333989</v>
      </c>
      <c r="BE25" s="83">
        <f t="shared" si="41"/>
        <v>2.8756917897901006</v>
      </c>
      <c r="BF25" s="83">
        <f t="shared" si="42"/>
        <v>3.4389716249036253</v>
      </c>
      <c r="BG25" s="83">
        <f t="shared" si="43"/>
        <v>10.567139807381221</v>
      </c>
      <c r="BH25" s="83">
        <f t="shared" si="44"/>
        <v>10.404095673963567</v>
      </c>
      <c r="BI25" s="83">
        <f t="shared" si="45"/>
        <v>3.1316704807932734</v>
      </c>
      <c r="BJ25" s="83">
        <f t="shared" si="46"/>
        <v>4.792819649650168</v>
      </c>
      <c r="BK25" s="83">
        <f t="shared" si="47"/>
        <v>2.6088750257889575</v>
      </c>
      <c r="BL25" s="83">
        <f t="shared" si="48"/>
        <v>4.5698981459843866</v>
      </c>
      <c r="BM25" s="83">
        <f t="shared" si="49"/>
        <v>10.011178424121665</v>
      </c>
      <c r="BN25" s="83">
        <f t="shared" si="50"/>
        <v>0.67571313278527056</v>
      </c>
      <c r="BO25" s="83">
        <f t="shared" si="51"/>
        <v>1.778778426674289</v>
      </c>
      <c r="BP25" s="83">
        <f t="shared" si="52"/>
        <v>0.67198296118806478</v>
      </c>
      <c r="BQ25" s="83">
        <f t="shared" si="53"/>
        <v>3.658317413452068</v>
      </c>
      <c r="BR25" s="83">
        <f t="shared" si="54"/>
        <v>14.710905553112655</v>
      </c>
      <c r="BS25" s="83">
        <f t="shared" si="55"/>
        <v>1.754255248577145</v>
      </c>
      <c r="BT25" s="83">
        <f t="shared" si="56"/>
        <v>2.8065170731972113</v>
      </c>
      <c r="BU25" s="83">
        <f t="shared" si="57"/>
        <v>2.4112329783807027</v>
      </c>
      <c r="BV25" s="83">
        <f t="shared" si="58"/>
        <v>5.457489911871118</v>
      </c>
      <c r="BW25" s="83">
        <f t="shared" si="59"/>
        <v>12.669887521655381</v>
      </c>
      <c r="BX25" s="83">
        <f t="shared" si="60"/>
        <v>1.5723324820580336</v>
      </c>
      <c r="BY25" s="83">
        <f t="shared" si="61"/>
        <v>2.8065170731972113</v>
      </c>
      <c r="BZ25" s="83">
        <f t="shared" si="62"/>
        <v>2.4112329783807027</v>
      </c>
      <c r="CA25" s="83">
        <f t="shared" si="63"/>
        <v>7.5685189766828032</v>
      </c>
      <c r="CB25" s="83">
        <f t="shared" si="64"/>
        <v>10.226062573900331</v>
      </c>
      <c r="CC25" s="83">
        <f t="shared" si="65"/>
        <v>1.9231835317734625</v>
      </c>
      <c r="CD25" s="83">
        <f t="shared" si="66"/>
        <v>4.8697602290542292</v>
      </c>
      <c r="CE25" s="83">
        <f t="shared" si="67"/>
        <v>6.1011258111754998</v>
      </c>
      <c r="CF25" s="83">
        <f t="shared" si="68"/>
        <v>12.882788221465669</v>
      </c>
      <c r="CG25" s="83">
        <f t="shared" si="69"/>
        <v>6.1011258111754998</v>
      </c>
      <c r="CH25" s="83">
        <f t="shared" si="70"/>
        <v>6.7435631101004549</v>
      </c>
      <c r="CI25" s="83">
        <f t="shared" si="71"/>
        <v>14.789447668904529</v>
      </c>
      <c r="CJ25" s="83">
        <f t="shared" si="72"/>
        <v>6.7435631101004549</v>
      </c>
      <c r="CK25" s="83">
        <f t="shared" si="73"/>
        <v>2.9986208306984166</v>
      </c>
    </row>
    <row r="26" spans="1:89" x14ac:dyDescent="0.25">
      <c r="A26" t="str">
        <f>Plantilla!D27</f>
        <v>P .Trivadi</v>
      </c>
      <c r="B26" s="319">
        <f>Plantilla!E27</f>
        <v>32</v>
      </c>
      <c r="C26" s="115">
        <f ca="1">Plantilla!F27</f>
        <v>34</v>
      </c>
      <c r="D26" s="319">
        <f>Plantilla!G27</f>
        <v>0</v>
      </c>
      <c r="E26" s="265">
        <v>36526</v>
      </c>
      <c r="F26" s="115">
        <f>Plantilla!Q27</f>
        <v>3</v>
      </c>
      <c r="G26" s="142">
        <f t="shared" si="0"/>
        <v>0.65465367070797709</v>
      </c>
      <c r="H26" s="142">
        <f t="shared" si="1"/>
        <v>0.75498344352707503</v>
      </c>
      <c r="I26" s="195">
        <f>Plantilla!P27</f>
        <v>1.5</v>
      </c>
      <c r="J26" s="196">
        <f>Plantilla!I27</f>
        <v>6.3</v>
      </c>
      <c r="K26" s="49">
        <f>Plantilla!X27</f>
        <v>0</v>
      </c>
      <c r="L26" s="49">
        <f>Plantilla!Y27</f>
        <v>4.0199999999999996</v>
      </c>
      <c r="M26" s="49">
        <f>Plantilla!Z27</f>
        <v>6</v>
      </c>
      <c r="N26" s="49">
        <f>Plantilla!AA27</f>
        <v>5.5099999999999989</v>
      </c>
      <c r="O26" s="49">
        <f>Plantilla!AB27</f>
        <v>10.95</v>
      </c>
      <c r="P26" s="49">
        <f>Plantilla!AC27</f>
        <v>7.95</v>
      </c>
      <c r="Q26" s="49">
        <f>Plantilla!AD27</f>
        <v>14</v>
      </c>
      <c r="R26" s="196">
        <f t="shared" si="2"/>
        <v>3.6149999999999998</v>
      </c>
      <c r="S26" s="196">
        <f t="shared" si="3"/>
        <v>18.967390152389889</v>
      </c>
      <c r="T26" s="49">
        <f t="shared" si="4"/>
        <v>0.81750000000000012</v>
      </c>
      <c r="U26" s="49">
        <f t="shared" si="5"/>
        <v>0.58079999999999998</v>
      </c>
      <c r="V26" s="196">
        <f t="shared" ca="1" si="6"/>
        <v>10.517526693747016</v>
      </c>
      <c r="W26" s="196">
        <f t="shared" ca="1" si="7"/>
        <v>12.129403493675845</v>
      </c>
      <c r="X26" s="83">
        <f t="shared" si="8"/>
        <v>3.3494523995639689</v>
      </c>
      <c r="Y26" s="83">
        <f t="shared" si="9"/>
        <v>5.0209315324594312</v>
      </c>
      <c r="Z26" s="83">
        <f t="shared" si="10"/>
        <v>3.3494523995639689</v>
      </c>
      <c r="AA26" s="83">
        <f t="shared" si="11"/>
        <v>3.3982662980240641</v>
      </c>
      <c r="AB26" s="83">
        <f t="shared" si="12"/>
        <v>6.5857873992714415</v>
      </c>
      <c r="AC26" s="83">
        <f t="shared" si="13"/>
        <v>1.6991331490120321</v>
      </c>
      <c r="AD26" s="83">
        <f t="shared" si="14"/>
        <v>2.0386574010266032</v>
      </c>
      <c r="AE26" s="83">
        <f t="shared" si="15"/>
        <v>2.4894276369246051</v>
      </c>
      <c r="AF26" s="83">
        <f t="shared" si="16"/>
        <v>4.7615242896732521</v>
      </c>
      <c r="AG26" s="83">
        <f t="shared" si="17"/>
        <v>1.2447138184623026</v>
      </c>
      <c r="AH26" s="83">
        <f t="shared" si="18"/>
        <v>3.2978281487195056</v>
      </c>
      <c r="AI26" s="83">
        <f t="shared" si="19"/>
        <v>6.0589244073297266</v>
      </c>
      <c r="AJ26" s="83">
        <f t="shared" si="20"/>
        <v>2.7265159832983765</v>
      </c>
      <c r="AK26" s="83">
        <f t="shared" si="21"/>
        <v>1.430486495678331</v>
      </c>
      <c r="AL26" s="83">
        <f t="shared" si="22"/>
        <v>4.7485629907716067</v>
      </c>
      <c r="AM26" s="83">
        <f t="shared" si="23"/>
        <v>4.9656836990506665</v>
      </c>
      <c r="AN26" s="83">
        <f t="shared" si="24"/>
        <v>4.6627374786841802</v>
      </c>
      <c r="AO26" s="83">
        <f t="shared" si="25"/>
        <v>2.7664864956783313</v>
      </c>
      <c r="AP26" s="83">
        <f t="shared" si="26"/>
        <v>1.7800667709901752</v>
      </c>
      <c r="AQ26" s="83">
        <f t="shared" si="27"/>
        <v>1.7781625978032893</v>
      </c>
      <c r="AR26" s="83">
        <f t="shared" si="28"/>
        <v>3.9119577151672362</v>
      </c>
      <c r="AS26" s="83">
        <f t="shared" si="29"/>
        <v>0.88908129890164467</v>
      </c>
      <c r="AT26" s="83">
        <f t="shared" si="30"/>
        <v>8.0861033049122408</v>
      </c>
      <c r="AU26" s="83">
        <f t="shared" si="31"/>
        <v>1.7570523619052876</v>
      </c>
      <c r="AV26" s="83">
        <f t="shared" si="32"/>
        <v>3.4411257079865321</v>
      </c>
      <c r="AW26" s="83">
        <f t="shared" si="33"/>
        <v>0.87852618095264379</v>
      </c>
      <c r="AX26" s="83">
        <f t="shared" si="34"/>
        <v>1.2447138184623026</v>
      </c>
      <c r="AY26" s="83">
        <f t="shared" si="35"/>
        <v>2.6343149597085769</v>
      </c>
      <c r="AZ26" s="83">
        <f t="shared" si="36"/>
        <v>0.62235690923115128</v>
      </c>
      <c r="BA26" s="83">
        <f t="shared" si="37"/>
        <v>8.5657873992714428</v>
      </c>
      <c r="BB26" s="83">
        <f t="shared" si="38"/>
        <v>3.419494212015675</v>
      </c>
      <c r="BC26" s="83">
        <f t="shared" si="39"/>
        <v>6.817198856998564</v>
      </c>
      <c r="BD26" s="83">
        <f t="shared" si="40"/>
        <v>1.7097471060078375</v>
      </c>
      <c r="BE26" s="83">
        <f t="shared" si="41"/>
        <v>1.9164641331879892</v>
      </c>
      <c r="BF26" s="83">
        <f t="shared" si="42"/>
        <v>2.2918540149464617</v>
      </c>
      <c r="BG26" s="83">
        <f t="shared" si="43"/>
        <v>7.5464586987581415</v>
      </c>
      <c r="BH26" s="83">
        <f t="shared" si="44"/>
        <v>8.8929749979523116</v>
      </c>
      <c r="BI26" s="83">
        <f t="shared" si="45"/>
        <v>3.2573047632244174</v>
      </c>
      <c r="BJ26" s="83">
        <f t="shared" si="46"/>
        <v>3.1941068886466493</v>
      </c>
      <c r="BK26" s="83">
        <f t="shared" si="47"/>
        <v>1.7386478734076607</v>
      </c>
      <c r="BL26" s="83">
        <f t="shared" si="48"/>
        <v>3.2635649991224196</v>
      </c>
      <c r="BM26" s="83">
        <f t="shared" si="49"/>
        <v>8.15167818696324</v>
      </c>
      <c r="BN26" s="83">
        <f t="shared" si="50"/>
        <v>0.70282094476211499</v>
      </c>
      <c r="BO26" s="83">
        <f t="shared" si="51"/>
        <v>1.1854417318688595</v>
      </c>
      <c r="BP26" s="83">
        <f t="shared" si="52"/>
        <v>0.44783354315045804</v>
      </c>
      <c r="BQ26" s="83">
        <f t="shared" si="53"/>
        <v>2.6125651567777899</v>
      </c>
      <c r="BR26" s="83">
        <f t="shared" si="54"/>
        <v>11.941302595463073</v>
      </c>
      <c r="BS26" s="83">
        <f t="shared" si="55"/>
        <v>1.8246312989016449</v>
      </c>
      <c r="BT26" s="83">
        <f t="shared" si="56"/>
        <v>1.8703636213930892</v>
      </c>
      <c r="BU26" s="83">
        <f t="shared" si="57"/>
        <v>1.6069321254222317</v>
      </c>
      <c r="BV26" s="83">
        <f t="shared" si="58"/>
        <v>3.8974332666685068</v>
      </c>
      <c r="BW26" s="83">
        <f t="shared" si="59"/>
        <v>10.275332438392757</v>
      </c>
      <c r="BX26" s="83">
        <f t="shared" si="60"/>
        <v>1.6354102753118445</v>
      </c>
      <c r="BY26" s="83">
        <f t="shared" si="61"/>
        <v>1.8703636213930892</v>
      </c>
      <c r="BZ26" s="83">
        <f t="shared" si="62"/>
        <v>1.6069321254222317</v>
      </c>
      <c r="CA26" s="83">
        <f t="shared" si="63"/>
        <v>5.4050118489402807</v>
      </c>
      <c r="CB26" s="83">
        <f t="shared" si="64"/>
        <v>8.2777497223479397</v>
      </c>
      <c r="CC26" s="83">
        <f t="shared" si="65"/>
        <v>2.0003365350921731</v>
      </c>
      <c r="CD26" s="83">
        <f t="shared" si="66"/>
        <v>3.4777096841042061</v>
      </c>
      <c r="CE26" s="83">
        <f t="shared" si="67"/>
        <v>5.8773652350204211</v>
      </c>
      <c r="CF26" s="83">
        <f t="shared" si="68"/>
        <v>13.469776611579643</v>
      </c>
      <c r="CG26" s="83">
        <f t="shared" si="69"/>
        <v>5.8773652350204211</v>
      </c>
      <c r="CH26" s="83">
        <f t="shared" si="70"/>
        <v>6.308095549746108</v>
      </c>
      <c r="CI26" s="83">
        <f t="shared" si="71"/>
        <v>15.503112949602604</v>
      </c>
      <c r="CJ26" s="83">
        <f t="shared" si="72"/>
        <v>6.308095549746108</v>
      </c>
      <c r="CK26" s="83">
        <f t="shared" si="73"/>
        <v>2.1414468498178607</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88" t="s">
        <v>446</v>
      </c>
      <c r="B35" s="688"/>
      <c r="C35" s="688"/>
      <c r="D35" s="688"/>
      <c r="E35" s="688"/>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31</v>
      </c>
      <c r="D37">
        <f t="shared" si="74"/>
        <v>0</v>
      </c>
      <c r="E37" s="265">
        <f t="shared" si="74"/>
        <v>42468</v>
      </c>
      <c r="F37" s="195">
        <f ca="1">I3</f>
        <v>1</v>
      </c>
      <c r="G37" s="196">
        <f>J3</f>
        <v>23.9</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8.6816791481271789</v>
      </c>
      <c r="Q37" s="196">
        <f>(0.5*M37+ 0.3*N37)/10</f>
        <v>0.54600000000000004</v>
      </c>
      <c r="R37" s="196">
        <f>(0.4*I37+0.3*N37)/10</f>
        <v>1.024</v>
      </c>
      <c r="S37" s="196">
        <f ca="1">IF(TODAY()-E37&gt;335,(N37+1+(LOG(G37)*4/3)),(N37+((TODAY()-E37)^0.5)/(336^0.5)+(LOG(G37)*4/3)))</f>
        <v>21.037863867930849</v>
      </c>
      <c r="T37" s="83">
        <f ca="1">((H37+F37+(LOG(G37)*4/3))*0.597)+((I37+F37+(LOG(G37)*4/3))*0.276)</f>
        <v>15.725655156703631</v>
      </c>
      <c r="U37" s="83">
        <f ca="1">((H37+F37+(LOG(G37)*4/3))*0.866)+((I37+F37+(LOG(G37)*4/3))*0.425)</f>
        <v>23.175765586832064</v>
      </c>
      <c r="V37" s="83">
        <f ca="1">T37</f>
        <v>15.725655156703631</v>
      </c>
      <c r="W37" s="83">
        <f ca="1">((I37+F37+(LOG(G37)*4/3))*0.516)</f>
        <v>7.630537755852318</v>
      </c>
      <c r="X37" s="83">
        <f ca="1">(I37+F37+(LOG(G37)*4/3))*1</f>
        <v>14.787863867930849</v>
      </c>
      <c r="Y37" s="83">
        <f ca="1">W37/2</f>
        <v>3.815268877926159</v>
      </c>
      <c r="Z37" s="83">
        <f ca="1">(J37+F37+(LOG(G37)*4/3))*0.238</f>
        <v>1.168071600567542</v>
      </c>
      <c r="AA37" s="83">
        <f ca="1">((I37+F37+(LOG(G37)*4/3))*0.378)</f>
        <v>5.589812542077861</v>
      </c>
      <c r="AB37" s="83">
        <f ca="1">(I37+F37+(LOG(G37)*4/3))*0.723</f>
        <v>10.691625576514003</v>
      </c>
      <c r="AC37" s="83">
        <f ca="1">AA37/2</f>
        <v>2.7949062710389305</v>
      </c>
      <c r="AD37" s="83">
        <f ca="1">(J37+F37+(LOG(G37)*4/3))*0.385</f>
        <v>1.8895275891533769</v>
      </c>
      <c r="AE37" s="326">
        <f ca="1">((I37+F37+(LOG(G37)*4/3))*0.92)</f>
        <v>13.604834758496381</v>
      </c>
      <c r="AF37" s="83">
        <f ca="1">(I37+F37+(LOG(G37)*4/3))*0.414</f>
        <v>6.1221756413233708</v>
      </c>
      <c r="AG37" s="83">
        <f ca="1">((J37+F37+(LOG(G37)*4/3))*0.167)</f>
        <v>0.81961326594445183</v>
      </c>
      <c r="AH37" s="326">
        <f ca="1">(K37+F37+(LOG(G37)*4/3))*0.588</f>
        <v>2.9328639543433397</v>
      </c>
      <c r="AI37" s="83">
        <f ca="1">((I37+F37+(LOG(G37)*4/3))*0.754)</f>
        <v>11.15004935641986</v>
      </c>
      <c r="AJ37" s="83">
        <f ca="1">((I37+F37+(LOG(G37)*4/3))*0.708)</f>
        <v>10.469807618495039</v>
      </c>
      <c r="AK37" s="83">
        <f ca="1">((N37+F37+(LOG(G37)*4/3))*0.167)</f>
        <v>3.513323265944452</v>
      </c>
      <c r="AL37" s="83">
        <f ca="1">((O37+F37+(LOG(G37)*4/3))*0.288)</f>
        <v>1.4239047939640848</v>
      </c>
      <c r="AM37" s="83">
        <f ca="1">((I37+F37+(LOG(G37)*4/3))*0.27)</f>
        <v>3.9927232443413296</v>
      </c>
      <c r="AN37" s="83">
        <f ca="1">((I37+F37+(LOG(G37)*4/3))*0.594)</f>
        <v>8.7839911375509239</v>
      </c>
      <c r="AO37" s="83">
        <f ca="1">AM37/2</f>
        <v>1.9963616221706648</v>
      </c>
      <c r="AP37" s="83">
        <f ca="1">((J37+F37+(LOG(G37)*4/3))*0.944)</f>
        <v>4.6330234913267212</v>
      </c>
      <c r="AQ37" s="83">
        <f ca="1">((L37+F37+(LOG(G37)*4/3))*0.13)</f>
        <v>0.49242230283101057</v>
      </c>
      <c r="AR37" s="83">
        <f ca="1">((M37+F37+(LOG(G37)*4/3))*0.173)+((L37+F37+(LOG(G37)*4/3))*0.12)</f>
        <v>0.94549411330373911</v>
      </c>
      <c r="AS37" s="83">
        <f ca="1">AQ37/2</f>
        <v>0.24621115141550529</v>
      </c>
      <c r="AT37" s="83">
        <f ca="1">((I37+F37+(LOG(G37)*4/3))*0.189)</f>
        <v>2.7949062710389305</v>
      </c>
      <c r="AU37" s="83">
        <f ca="1">((I37+F37+(LOG(G37)*4/3))*0.4)</f>
        <v>5.9151455471723402</v>
      </c>
      <c r="AV37" s="83">
        <f ca="1">AT37/2</f>
        <v>1.3974531355194653</v>
      </c>
      <c r="AW37" s="83">
        <f ca="1">((J37+F37+(LOG(G37)*4/3))*1)</f>
        <v>4.9078638679308488</v>
      </c>
      <c r="AX37" s="83">
        <f ca="1">((L37+F37+(LOG(G37)*4/3))*0.253)</f>
        <v>0.95832955858650515</v>
      </c>
      <c r="AY37" s="83">
        <f ca="1">((M37+F37+(LOG(G37)*4/3))*0.21)+((L37+F37+(LOG(G37)*4/3))*0.341)</f>
        <v>1.8876129912298987</v>
      </c>
      <c r="AZ37" s="83">
        <f ca="1">AX37/2</f>
        <v>0.47916477929325257</v>
      </c>
      <c r="BA37" s="83">
        <f ca="1">((I37+F37+(LOG(G37)*4/3))*0.291)</f>
        <v>4.3032683855678764</v>
      </c>
      <c r="BB37" s="83">
        <f ca="1">((I37+F37+(LOG(G37)*4/3))*0.348)</f>
        <v>5.1461766260399351</v>
      </c>
      <c r="BC37" s="83">
        <f ca="1">((J37+F37+(LOG(G37)*4/3))*0.881)</f>
        <v>4.3238280676470779</v>
      </c>
      <c r="BD37" s="83">
        <f ca="1">((K37+F37+(LOG(G37)*4/3))*0.574)+((L37+F37+(LOG(G37)*4/3))*0.315)</f>
        <v>4.056210978590526</v>
      </c>
      <c r="BE37" s="83">
        <f ca="1">((L37+F37+(LOG(G37)*4/3))*0.241)</f>
        <v>0.91287519217133495</v>
      </c>
      <c r="BF37" s="83">
        <f ca="1">((I37+F37+(LOG(G37)*4/3))*0.485)</f>
        <v>7.1721139759464618</v>
      </c>
      <c r="BG37" s="83">
        <f ca="1">((I37+F37+(LOG(G37)*4/3))*0.264)</f>
        <v>3.9039960611337441</v>
      </c>
      <c r="BH37" s="83">
        <f ca="1">((J37+F37+(LOG(G37)*4/3))*0.381)</f>
        <v>1.8698961336816535</v>
      </c>
      <c r="BI37" s="83">
        <f ca="1">((K37+F37+(LOG(G37)*4/3))*0.673)+((L37+F37+(LOG(G37)*4/3))*0.201)</f>
        <v>4.1181930205715629</v>
      </c>
      <c r="BJ37" s="83">
        <f ca="1">((L37+F37+(LOG(G37)*4/3))*0.052)</f>
        <v>0.19696892113240422</v>
      </c>
      <c r="BK37" s="83">
        <f ca="1">((I37+F37+(LOG(G37)*4/3))*0.18)</f>
        <v>2.6618154962275526</v>
      </c>
      <c r="BL37" s="83">
        <f ca="1">(I37+F37+(LOG(G37)*4/3))*0.068</f>
        <v>1.0055747430192978</v>
      </c>
      <c r="BM37" s="83">
        <f ca="1">((J37+F37+(LOG(G37)*4/3))*0.305)</f>
        <v>1.4968984797189089</v>
      </c>
      <c r="BN37" s="83">
        <f ca="1">((K37+F37+(LOG(G37)*4/3))*1)+((L37+F37+(LOG(G37)*4/3))*0.286)</f>
        <v>6.0711929341590727</v>
      </c>
      <c r="BO37" s="83">
        <f ca="1">((L37+F37+(LOG(G37)*4/3))*0.135)</f>
        <v>0.51136162217066483</v>
      </c>
      <c r="BP37" s="83">
        <f ca="1">((I37+F37+(LOG(G37)*4/3))*0.284)</f>
        <v>4.1997533384923607</v>
      </c>
      <c r="BQ37" s="83">
        <f ca="1">(I37+F37+(LOG(G37)*4/3))*0.244</f>
        <v>3.6082387837751271</v>
      </c>
      <c r="BR37" s="83">
        <f ca="1">((J37+F37+(LOG(G37)*4/3))*0.455)</f>
        <v>2.2330780599085363</v>
      </c>
      <c r="BS37" s="83">
        <f ca="1">((K37+F37+(LOG(G37)*4/3))*0.864)+((L37+F37+(LOG(G37)*4/3))*0.244)</f>
        <v>5.2337531656673812</v>
      </c>
      <c r="BT37" s="83">
        <f ca="1">((L37+F37+(LOG(G37)*4/3))*0.121)</f>
        <v>0.45833152801963289</v>
      </c>
      <c r="BU37" s="83">
        <f ca="1">((I37+F37+(LOG(G37)*4/3))*0.284)</f>
        <v>4.1997533384923607</v>
      </c>
      <c r="BV37" s="83">
        <f ca="1">((I37+F37+(LOG(G37)*4/3))*0.244)</f>
        <v>3.6082387837751271</v>
      </c>
      <c r="BW37" s="83">
        <f ca="1">((J37+F37+(LOG(G37)*4/3))*0.631)</f>
        <v>3.0968621006643655</v>
      </c>
      <c r="BX37" s="83">
        <f ca="1">((K37+F37+(LOG(G37)*4/3))*0.702)+((L37+F37+(LOG(G37)*4/3))*0.193)</f>
        <v>4.2325381617981108</v>
      </c>
      <c r="BY37" s="83">
        <f ca="1">((L37+F37+(LOG(G37)*4/3))*0.148)</f>
        <v>0.56060385245376587</v>
      </c>
      <c r="BZ37" s="83">
        <f ca="1">((J37+F37+(LOG(G37)*4/3))*0.406)</f>
        <v>1.9925927303799247</v>
      </c>
      <c r="CA37" s="83">
        <f ca="1">IF(D37="TEC",((K37+F37+(LOG(G37)*4/3))*0.15)+((L37+F37+(LOG(G37)*4/3))*0.324)+((M37+F37+(LOG(G37)*4/3))*0.127),(((K37+F37+(LOG(G37)*4/3))*0.144)+((L37+F37+(LOG(G37)*4/3))*0.25)+((M37+F37+(LOG(G37)*4/3))*0.127)))</f>
        <v>2.0256270751919732</v>
      </c>
      <c r="CB37" s="83">
        <f ca="1">((L37+F37+(LOG(G37)*4/3))*0.543)+((M37+F37+(LOG(G37)*4/3))*0.583)</f>
        <v>3.7112847152901378</v>
      </c>
      <c r="CC37" s="83">
        <f ca="1">CA37</f>
        <v>2.0256270751919732</v>
      </c>
      <c r="CD37" s="83">
        <f ca="1">((M37+1+(LOG(G37)*4/3))*0.26)+((K37+F37+(LOG(G37)*4/3))*0.221)+((L37+F37+(LOG(G37)*4/3))*0.142)</f>
        <v>2.3780391897209197</v>
      </c>
      <c r="CE37" s="83">
        <f ca="1">((M37+F37+(LOG(G37)*4/3))*1)+((L37+F37+(LOG(G37)*4/3))*0.369)</f>
        <v>4.2355856351973342</v>
      </c>
      <c r="CF37" s="83">
        <f ca="1">CD37</f>
        <v>2.3780391897209197</v>
      </c>
      <c r="CG37" s="83">
        <f ca="1">((J37+F37+(LOG(G37)*4/3))*0.25)</f>
        <v>1.2269659669827122</v>
      </c>
    </row>
    <row r="38" spans="1:85" x14ac:dyDescent="0.25">
      <c r="A38" t="str">
        <f t="shared" ref="A38:E38" si="76">A4</f>
        <v>T. Hammond</v>
      </c>
      <c r="B38">
        <f t="shared" si="76"/>
        <v>39</v>
      </c>
      <c r="C38">
        <f t="shared" ca="1" si="76"/>
        <v>40</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13.95</v>
      </c>
      <c r="O38" s="196">
        <f t="shared" ref="O38:O60" si="85">((2*(L38+1))+(I38+1))/8</f>
        <v>1.7312500000000002</v>
      </c>
      <c r="P38" s="196">
        <f t="shared" ref="P38:P60" si="86">1.66*(M38+(LOG(G38)*4/3)+F38)+0.55*(N38+(LOG(G38)*4/3)+F38)-7.6</f>
        <v>6.1110429629290124</v>
      </c>
      <c r="Q38" s="196">
        <f t="shared" ref="Q38:Q60" si="87">(0.5*M38+ 0.3*N38)/10</f>
        <v>0.41849999999999998</v>
      </c>
      <c r="R38" s="196">
        <f t="shared" ref="R38:R60" si="88">(0.4*I38+0.3*N38)/10</f>
        <v>0.69650000000000001</v>
      </c>
      <c r="S38" s="196">
        <f t="shared" ref="S38:S60" ca="1" si="89">IF(TODAY()-E38&gt;335,(N38+1+(LOG(G38)*4/3)),(N38+((TODAY()-E38)^0.5)/(336^0.5)+(LOG(G38)*4/3)))</f>
        <v>16.182372381415842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26">
        <f t="shared" ref="AE38:AE60" si="101">((I38+F38+(LOG(G38)*4/3))*0.92)</f>
        <v>8.9077825909025758</v>
      </c>
      <c r="AF38" s="83">
        <f t="shared" ref="AF38:AF60" si="102">(I38+F38+(LOG(G38)*4/3))*0.414</f>
        <v>4.0085021659061582</v>
      </c>
      <c r="AG38" s="83">
        <f t="shared" ref="AG38:AG60" si="103">((J38+F38+(LOG(G38)*4/3))*0.167)</f>
        <v>0.61495618769644578</v>
      </c>
      <c r="AH38" s="326">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2.7859561876964456</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42</v>
      </c>
      <c r="D39">
        <f t="shared" si="156"/>
        <v>0</v>
      </c>
      <c r="E39" s="265">
        <f t="shared" si="156"/>
        <v>36526</v>
      </c>
      <c r="F39" s="195">
        <f t="shared" si="77"/>
        <v>1.5</v>
      </c>
      <c r="G39" s="196">
        <f t="shared" ref="G39:H39" si="157">J5</f>
        <v>18.3</v>
      </c>
      <c r="H39" s="49">
        <f t="shared" si="157"/>
        <v>0</v>
      </c>
      <c r="I39" s="49">
        <f t="shared" si="79"/>
        <v>11.95</v>
      </c>
      <c r="J39" s="49">
        <f t="shared" si="80"/>
        <v>11.75</v>
      </c>
      <c r="K39" s="49">
        <f t="shared" si="81"/>
        <v>8.9499999999999993</v>
      </c>
      <c r="L39" s="49">
        <f t="shared" si="82"/>
        <v>7.95</v>
      </c>
      <c r="M39" s="49">
        <f t="shared" si="83"/>
        <v>0.95</v>
      </c>
      <c r="N39" s="49">
        <f t="shared" si="84"/>
        <v>17.177777777777774</v>
      </c>
      <c r="O39" s="196">
        <f t="shared" si="85"/>
        <v>3.8562499999999997</v>
      </c>
      <c r="P39" s="196">
        <f t="shared" si="86"/>
        <v>10.459800322183442</v>
      </c>
      <c r="Q39" s="196">
        <f t="shared" si="87"/>
        <v>0.56283333333333307</v>
      </c>
      <c r="R39" s="196">
        <f t="shared" si="88"/>
        <v>0.99333333333333318</v>
      </c>
      <c r="S39" s="196">
        <f t="shared" ca="1" si="89"/>
        <v>19.861045897418347</v>
      </c>
      <c r="T39" s="83">
        <f t="shared" si="90"/>
        <v>6.0771930684462196</v>
      </c>
      <c r="U39" s="83">
        <f t="shared" si="91"/>
        <v>9.18834914245598</v>
      </c>
      <c r="V39" s="83">
        <f t="shared" si="92"/>
        <v>6.0771930684462196</v>
      </c>
      <c r="W39" s="83">
        <f t="shared" si="93"/>
        <v>7.8087663497345359</v>
      </c>
      <c r="X39" s="83">
        <f t="shared" si="94"/>
        <v>15.133268119640572</v>
      </c>
      <c r="Y39" s="83">
        <f t="shared" si="95"/>
        <v>3.9043831748672679</v>
      </c>
      <c r="Z39" s="83">
        <f t="shared" si="96"/>
        <v>3.5541178124744564</v>
      </c>
      <c r="AA39" s="83">
        <f t="shared" si="97"/>
        <v>5.7203753492241365</v>
      </c>
      <c r="AB39" s="83">
        <f t="shared" si="98"/>
        <v>10.941352850500133</v>
      </c>
      <c r="AC39" s="83">
        <f t="shared" si="99"/>
        <v>2.8601876746120682</v>
      </c>
      <c r="AD39" s="83">
        <f t="shared" si="100"/>
        <v>5.7493082260616211</v>
      </c>
      <c r="AE39" s="326">
        <f t="shared" si="101"/>
        <v>13.922606670069326</v>
      </c>
      <c r="AF39" s="83">
        <f t="shared" si="102"/>
        <v>6.2651730015311964</v>
      </c>
      <c r="AG39" s="83">
        <f t="shared" si="103"/>
        <v>2.4938557759799758</v>
      </c>
      <c r="AH39" s="326">
        <f t="shared" si="104"/>
        <v>7.1343616543486563</v>
      </c>
      <c r="AI39" s="83">
        <f t="shared" si="105"/>
        <v>11.410484162208991</v>
      </c>
      <c r="AJ39" s="83">
        <f t="shared" si="106"/>
        <v>10.714353828705525</v>
      </c>
      <c r="AK39" s="83">
        <f t="shared" si="107"/>
        <v>3.4002946648688641</v>
      </c>
      <c r="AL39" s="83">
        <f t="shared" si="108"/>
        <v>2.0273812184564846</v>
      </c>
      <c r="AM39" s="83">
        <f t="shared" si="109"/>
        <v>4.085982392302955</v>
      </c>
      <c r="AN39" s="83">
        <f t="shared" si="110"/>
        <v>8.9891612630664994</v>
      </c>
      <c r="AO39" s="83">
        <f t="shared" si="111"/>
        <v>2.0429911961514775</v>
      </c>
      <c r="AP39" s="83">
        <f t="shared" si="112"/>
        <v>14.097005104940701</v>
      </c>
      <c r="AQ39" s="83">
        <f t="shared" si="113"/>
        <v>1.4473248555532745</v>
      </c>
      <c r="AR39" s="83">
        <f t="shared" si="114"/>
        <v>2.0510475590546875</v>
      </c>
      <c r="AS39" s="83">
        <f t="shared" si="115"/>
        <v>0.72366242777663725</v>
      </c>
      <c r="AT39" s="83">
        <f t="shared" si="116"/>
        <v>2.8601876746120682</v>
      </c>
      <c r="AU39" s="83">
        <f t="shared" si="117"/>
        <v>6.0533072478562291</v>
      </c>
      <c r="AV39" s="83">
        <f t="shared" si="118"/>
        <v>1.4300938373060341</v>
      </c>
      <c r="AW39" s="83">
        <f t="shared" si="119"/>
        <v>14.933268119640573</v>
      </c>
      <c r="AX39" s="83">
        <f t="shared" si="120"/>
        <v>2.8167168342690649</v>
      </c>
      <c r="AY39" s="83">
        <f t="shared" si="121"/>
        <v>4.6644307339219555</v>
      </c>
      <c r="AZ39" s="83">
        <f t="shared" si="122"/>
        <v>1.4083584171345325</v>
      </c>
      <c r="BA39" s="83">
        <f t="shared" si="123"/>
        <v>4.403781022815406</v>
      </c>
      <c r="BB39" s="83">
        <f t="shared" si="124"/>
        <v>5.2663773056349186</v>
      </c>
      <c r="BC39" s="83">
        <f t="shared" si="125"/>
        <v>13.156209213403345</v>
      </c>
      <c r="BD39" s="83">
        <f t="shared" si="126"/>
        <v>10.471475358360468</v>
      </c>
      <c r="BE39" s="83">
        <f t="shared" si="127"/>
        <v>2.6831176168333779</v>
      </c>
      <c r="BF39" s="83">
        <f t="shared" si="128"/>
        <v>7.3396350380256772</v>
      </c>
      <c r="BG39" s="83">
        <f t="shared" si="129"/>
        <v>3.9951827835851113</v>
      </c>
      <c r="BH39" s="83">
        <f t="shared" si="130"/>
        <v>5.6895751535830588</v>
      </c>
      <c r="BI39" s="83">
        <f t="shared" si="131"/>
        <v>10.403476336565861</v>
      </c>
      <c r="BJ39" s="83">
        <f t="shared" si="132"/>
        <v>0.57892994222130978</v>
      </c>
      <c r="BK39" s="83">
        <f t="shared" si="133"/>
        <v>2.723988261535303</v>
      </c>
      <c r="BL39" s="83">
        <f t="shared" si="134"/>
        <v>1.0290622321355589</v>
      </c>
      <c r="BM39" s="83">
        <f t="shared" si="135"/>
        <v>4.5546467764903751</v>
      </c>
      <c r="BN39" s="83">
        <f t="shared" si="136"/>
        <v>15.317382801857775</v>
      </c>
      <c r="BO39" s="83">
        <f t="shared" si="137"/>
        <v>1.5029911961514772</v>
      </c>
      <c r="BP39" s="83">
        <f t="shared" si="138"/>
        <v>4.2978481459779223</v>
      </c>
      <c r="BQ39" s="83">
        <f t="shared" si="139"/>
        <v>3.6925174211922998</v>
      </c>
      <c r="BR39" s="83">
        <f t="shared" si="140"/>
        <v>6.7946369944364609</v>
      </c>
      <c r="BS39" s="83">
        <f t="shared" si="141"/>
        <v>13.199661076561755</v>
      </c>
      <c r="BT39" s="83">
        <f t="shared" si="142"/>
        <v>1.3471254424765091</v>
      </c>
      <c r="BU39" s="83">
        <f t="shared" si="143"/>
        <v>4.2978481459779223</v>
      </c>
      <c r="BV39" s="83">
        <f t="shared" si="144"/>
        <v>3.6925174211922998</v>
      </c>
      <c r="BW39" s="83">
        <f t="shared" si="145"/>
        <v>9.422892183493202</v>
      </c>
      <c r="BX39" s="83">
        <f t="shared" si="146"/>
        <v>10.666274967078312</v>
      </c>
      <c r="BY39" s="83">
        <f t="shared" si="147"/>
        <v>1.6477236817068046</v>
      </c>
      <c r="BZ39" s="83">
        <f t="shared" si="148"/>
        <v>6.0629068565740729</v>
      </c>
      <c r="CA39" s="83">
        <f t="shared" si="149"/>
        <v>5.0554326903327382</v>
      </c>
      <c r="CB39" s="83">
        <f t="shared" si="150"/>
        <v>8.4550599027152842</v>
      </c>
      <c r="CC39" s="83">
        <f t="shared" si="151"/>
        <v>5.0554326903327382</v>
      </c>
      <c r="CD39" s="83">
        <f t="shared" si="152"/>
        <v>5.2070260385360765</v>
      </c>
      <c r="CE39" s="83">
        <f t="shared" si="153"/>
        <v>8.2414440557879445</v>
      </c>
      <c r="CF39" s="83">
        <f t="shared" si="154"/>
        <v>5.2070260385360765</v>
      </c>
      <c r="CG39" s="83">
        <f t="shared" si="155"/>
        <v>3.7333170299101432</v>
      </c>
    </row>
    <row r="40" spans="1:85" x14ac:dyDescent="0.25">
      <c r="A40" t="str">
        <f t="shared" ref="A40:E40" si="158">A6</f>
        <v>B. Bartolache</v>
      </c>
      <c r="B40">
        <f t="shared" si="158"/>
        <v>36</v>
      </c>
      <c r="C40">
        <f t="shared" ca="1" si="158"/>
        <v>27</v>
      </c>
      <c r="D40">
        <f t="shared" si="158"/>
        <v>0</v>
      </c>
      <c r="E40" s="265">
        <f t="shared" si="158"/>
        <v>36526</v>
      </c>
      <c r="F40" s="195">
        <f t="shared" si="77"/>
        <v>1.5</v>
      </c>
      <c r="G40" s="196">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196">
        <f t="shared" si="85"/>
        <v>3.8562499999999997</v>
      </c>
      <c r="P40" s="196">
        <f t="shared" si="86"/>
        <v>10.910478981528717</v>
      </c>
      <c r="Q40" s="196">
        <f t="shared" si="87"/>
        <v>0.5774999999999999</v>
      </c>
      <c r="R40" s="196">
        <f t="shared" si="88"/>
        <v>0.95799999999999996</v>
      </c>
      <c r="S40" s="196">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26">
        <f t="shared" si="101"/>
        <v>13.68884192896218</v>
      </c>
      <c r="AF40" s="83">
        <f t="shared" si="102"/>
        <v>6.1599788680329803</v>
      </c>
      <c r="AG40" s="83">
        <f t="shared" si="103"/>
        <v>1.4828223936268308</v>
      </c>
      <c r="AH40" s="326">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50</v>
      </c>
      <c r="D41">
        <f t="shared" si="160"/>
        <v>0</v>
      </c>
      <c r="E41" s="265">
        <f t="shared" si="160"/>
        <v>36526</v>
      </c>
      <c r="F41" s="195">
        <f t="shared" si="77"/>
        <v>1.5</v>
      </c>
      <c r="G41" s="196">
        <f t="shared" ref="G41:H41" si="161">J7</f>
        <v>6.4</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10.322404767783633</v>
      </c>
      <c r="Q41" s="196">
        <f t="shared" si="87"/>
        <v>0.5475833333333332</v>
      </c>
      <c r="R41" s="196">
        <f t="shared" si="88"/>
        <v>0.78426999999999991</v>
      </c>
      <c r="S41" s="196">
        <f t="shared" ca="1" si="89"/>
        <v>15.411017743089626</v>
      </c>
      <c r="T41" s="83">
        <f t="shared" si="90"/>
        <v>4.898781489717245</v>
      </c>
      <c r="U41" s="83">
        <f t="shared" si="91"/>
        <v>7.4061877952175976</v>
      </c>
      <c r="V41" s="83">
        <f t="shared" si="92"/>
        <v>4.898781489717245</v>
      </c>
      <c r="W41" s="83">
        <f t="shared" si="93"/>
        <v>6.2846598221009149</v>
      </c>
      <c r="X41" s="83">
        <f t="shared" si="94"/>
        <v>12.179573298645183</v>
      </c>
      <c r="Y41" s="83">
        <f t="shared" si="95"/>
        <v>3.1423299110504574</v>
      </c>
      <c r="Z41" s="83">
        <f t="shared" si="96"/>
        <v>2.5168277784108866</v>
      </c>
      <c r="AA41" s="83">
        <f t="shared" si="97"/>
        <v>4.6038787068878788</v>
      </c>
      <c r="AB41" s="83">
        <f t="shared" si="98"/>
        <v>8.8058314949204668</v>
      </c>
      <c r="AC41" s="83">
        <f t="shared" si="99"/>
        <v>2.3019393534439394</v>
      </c>
      <c r="AD41" s="83">
        <f t="shared" si="100"/>
        <v>4.0713390533117284</v>
      </c>
      <c r="AE41" s="326">
        <f t="shared" si="101"/>
        <v>11.205207434753568</v>
      </c>
      <c r="AF41" s="83">
        <f t="shared" si="102"/>
        <v>5.0423433456391056</v>
      </c>
      <c r="AG41" s="83">
        <f t="shared" si="103"/>
        <v>1.7660094075404122</v>
      </c>
      <c r="AH41" s="326">
        <f t="shared" si="104"/>
        <v>5.1361250996033663</v>
      </c>
      <c r="AI41" s="83">
        <f t="shared" si="105"/>
        <v>9.1833982671784682</v>
      </c>
      <c r="AJ41" s="83">
        <f t="shared" si="106"/>
        <v>8.6231378954407898</v>
      </c>
      <c r="AK41" s="83">
        <f t="shared" si="107"/>
        <v>2.6571399630959678</v>
      </c>
      <c r="AL41" s="83">
        <f t="shared" si="108"/>
        <v>1.8335011100098124</v>
      </c>
      <c r="AM41" s="83">
        <f t="shared" si="109"/>
        <v>3.2884847906341994</v>
      </c>
      <c r="AN41" s="83">
        <f t="shared" si="110"/>
        <v>7.2346665393952385</v>
      </c>
      <c r="AO41" s="83">
        <f t="shared" si="111"/>
        <v>1.6442423953170997</v>
      </c>
      <c r="AP41" s="83">
        <f t="shared" si="112"/>
        <v>9.9827118605877185</v>
      </c>
      <c r="AQ41" s="83">
        <f t="shared" si="113"/>
        <v>1.4869711954905402</v>
      </c>
      <c r="AR41" s="83">
        <f t="shared" si="114"/>
        <v>2.3283976431697049</v>
      </c>
      <c r="AS41" s="83">
        <f t="shared" si="115"/>
        <v>0.74348559774527012</v>
      </c>
      <c r="AT41" s="83">
        <f t="shared" si="116"/>
        <v>2.3019393534439394</v>
      </c>
      <c r="AU41" s="83">
        <f t="shared" si="117"/>
        <v>4.8718293194580733</v>
      </c>
      <c r="AV41" s="83">
        <f t="shared" si="118"/>
        <v>1.1509696767219697</v>
      </c>
      <c r="AW41" s="83">
        <f t="shared" si="119"/>
        <v>10.574906631978516</v>
      </c>
      <c r="AX41" s="83">
        <f t="shared" si="120"/>
        <v>2.8938747112238974</v>
      </c>
      <c r="AY41" s="83">
        <f t="shared" si="121"/>
        <v>5.0606702208868288</v>
      </c>
      <c r="AZ41" s="83">
        <f t="shared" si="122"/>
        <v>1.4469373556119487</v>
      </c>
      <c r="BA41" s="83">
        <f t="shared" si="123"/>
        <v>3.5442558299057478</v>
      </c>
      <c r="BB41" s="83">
        <f t="shared" si="124"/>
        <v>4.238491507928523</v>
      </c>
      <c r="BC41" s="83">
        <f t="shared" si="125"/>
        <v>9.3164927427730735</v>
      </c>
      <c r="BD41" s="83">
        <f t="shared" si="126"/>
        <v>8.6168819958288978</v>
      </c>
      <c r="BE41" s="83">
        <f t="shared" si="127"/>
        <v>2.756615831640155</v>
      </c>
      <c r="BF41" s="83">
        <f t="shared" si="128"/>
        <v>5.9070930498429135</v>
      </c>
      <c r="BG41" s="83">
        <f t="shared" si="129"/>
        <v>3.2154073508423284</v>
      </c>
      <c r="BH41" s="83">
        <f t="shared" si="130"/>
        <v>4.0290394267838145</v>
      </c>
      <c r="BI41" s="83">
        <f t="shared" si="131"/>
        <v>8.1776783963492221</v>
      </c>
      <c r="BJ41" s="83">
        <f t="shared" si="132"/>
        <v>0.59478847819621605</v>
      </c>
      <c r="BK41" s="83">
        <f t="shared" si="133"/>
        <v>2.1923231937561329</v>
      </c>
      <c r="BL41" s="83">
        <f t="shared" si="134"/>
        <v>0.82821098430787254</v>
      </c>
      <c r="BM41" s="83">
        <f t="shared" si="135"/>
        <v>3.2253465227534472</v>
      </c>
      <c r="BN41" s="83">
        <f t="shared" si="136"/>
        <v>12.006243262057703</v>
      </c>
      <c r="BO41" s="83">
        <f t="shared" si="137"/>
        <v>1.5441623953170995</v>
      </c>
      <c r="BP41" s="83">
        <f t="shared" si="138"/>
        <v>3.4589988168152317</v>
      </c>
      <c r="BQ41" s="83">
        <f t="shared" si="139"/>
        <v>2.9718158848694247</v>
      </c>
      <c r="BR41" s="83">
        <f t="shared" si="140"/>
        <v>4.8115825175502254</v>
      </c>
      <c r="BS41" s="83">
        <f t="shared" si="141"/>
        <v>10.337889881565527</v>
      </c>
      <c r="BT41" s="83">
        <f t="shared" si="142"/>
        <v>1.3840270358027336</v>
      </c>
      <c r="BU41" s="83">
        <f t="shared" si="143"/>
        <v>3.4589988168152317</v>
      </c>
      <c r="BV41" s="83">
        <f t="shared" si="144"/>
        <v>2.9718158848694247</v>
      </c>
      <c r="BW41" s="83">
        <f t="shared" si="145"/>
        <v>6.672766084778444</v>
      </c>
      <c r="BX41" s="83">
        <f t="shared" si="146"/>
        <v>8.3394847689541027</v>
      </c>
      <c r="BY41" s="83">
        <f t="shared" si="147"/>
        <v>1.6928595148661534</v>
      </c>
      <c r="BZ41" s="83">
        <f t="shared" si="148"/>
        <v>4.2934120925832779</v>
      </c>
      <c r="CA41" s="83">
        <f t="shared" si="149"/>
        <v>4.8190496885941396</v>
      </c>
      <c r="CB41" s="83">
        <f t="shared" si="150"/>
        <v>9.4319848676078095</v>
      </c>
      <c r="CC41" s="83">
        <f t="shared" si="151"/>
        <v>4.8190496885941396</v>
      </c>
      <c r="CD41" s="83">
        <f t="shared" si="152"/>
        <v>4.8611201650559481</v>
      </c>
      <c r="CE41" s="83">
        <f t="shared" si="153"/>
        <v>9.7456171791785877</v>
      </c>
      <c r="CF41" s="83">
        <f t="shared" si="154"/>
        <v>4.8611201650559481</v>
      </c>
      <c r="CG41" s="83">
        <f t="shared" si="155"/>
        <v>2.643726657994629</v>
      </c>
    </row>
    <row r="42" spans="1:85" x14ac:dyDescent="0.25">
      <c r="A42" t="str">
        <f t="shared" ref="A42:E42" si="162">A8</f>
        <v>E. Romweber</v>
      </c>
      <c r="B42">
        <f t="shared" si="162"/>
        <v>36</v>
      </c>
      <c r="C42">
        <f t="shared" ca="1" si="162"/>
        <v>4</v>
      </c>
      <c r="D42" t="str">
        <f t="shared" si="162"/>
        <v>IMP</v>
      </c>
      <c r="E42" s="265">
        <f t="shared" si="162"/>
        <v>36526</v>
      </c>
      <c r="F42" s="195">
        <f t="shared" si="77"/>
        <v>1.5</v>
      </c>
      <c r="G42" s="196">
        <f t="shared" ref="G42:H42" si="163">J8</f>
        <v>17.399999999999999</v>
      </c>
      <c r="H42" s="49">
        <f t="shared" si="163"/>
        <v>0</v>
      </c>
      <c r="I42" s="49">
        <f t="shared" si="79"/>
        <v>11.95</v>
      </c>
      <c r="J42" s="49">
        <f t="shared" si="80"/>
        <v>11.95</v>
      </c>
      <c r="K42" s="49">
        <f t="shared" si="81"/>
        <v>11.95</v>
      </c>
      <c r="L42" s="49">
        <f t="shared" si="82"/>
        <v>9.9499999999999993</v>
      </c>
      <c r="M42" s="49">
        <f t="shared" si="83"/>
        <v>5.95</v>
      </c>
      <c r="N42" s="49">
        <f t="shared" si="84"/>
        <v>17.529999999999998</v>
      </c>
      <c r="O42" s="196">
        <f t="shared" si="85"/>
        <v>4.3562499999999993</v>
      </c>
      <c r="P42" s="196">
        <f t="shared" si="86"/>
        <v>18.888985118272728</v>
      </c>
      <c r="Q42" s="196">
        <f t="shared" si="87"/>
        <v>0.82340000000000002</v>
      </c>
      <c r="R42" s="196">
        <f t="shared" si="88"/>
        <v>1.0039</v>
      </c>
      <c r="S42" s="196">
        <f t="shared" ca="1" si="89"/>
        <v>20.184065664376796</v>
      </c>
      <c r="T42" s="83">
        <f t="shared" si="90"/>
        <v>6.0516993250009463</v>
      </c>
      <c r="U42" s="83">
        <f t="shared" si="91"/>
        <v>9.1506487727104471</v>
      </c>
      <c r="V42" s="83">
        <f t="shared" si="92"/>
        <v>6.0516993250009463</v>
      </c>
      <c r="W42" s="83">
        <f t="shared" si="93"/>
        <v>7.7936978828184289</v>
      </c>
      <c r="X42" s="83">
        <f t="shared" si="94"/>
        <v>15.104065664376799</v>
      </c>
      <c r="Y42" s="83">
        <f t="shared" si="95"/>
        <v>3.8968489414092145</v>
      </c>
      <c r="Z42" s="83">
        <f t="shared" si="96"/>
        <v>3.5947676281216783</v>
      </c>
      <c r="AA42" s="83">
        <f t="shared" si="97"/>
        <v>5.7093368211344302</v>
      </c>
      <c r="AB42" s="83">
        <f t="shared" si="98"/>
        <v>10.920239475344426</v>
      </c>
      <c r="AC42" s="83">
        <f t="shared" si="99"/>
        <v>2.8546684105672151</v>
      </c>
      <c r="AD42" s="83">
        <f t="shared" si="100"/>
        <v>5.8150652807850678</v>
      </c>
      <c r="AE42" s="326">
        <f t="shared" si="101"/>
        <v>13.895740411226656</v>
      </c>
      <c r="AF42" s="83">
        <f t="shared" si="102"/>
        <v>6.2530831850519943</v>
      </c>
      <c r="AG42" s="83">
        <f t="shared" si="103"/>
        <v>2.5223789659509257</v>
      </c>
      <c r="AH42" s="326">
        <f t="shared" si="104"/>
        <v>8.8811906106535581</v>
      </c>
      <c r="AI42" s="83">
        <f t="shared" si="105"/>
        <v>11.388465510940106</v>
      </c>
      <c r="AJ42" s="83">
        <f t="shared" si="106"/>
        <v>10.693678490378772</v>
      </c>
      <c r="AK42" s="83">
        <f t="shared" si="107"/>
        <v>3.4542389659509252</v>
      </c>
      <c r="AL42" s="83">
        <f t="shared" si="108"/>
        <v>2.1629709113405182</v>
      </c>
      <c r="AM42" s="83">
        <f t="shared" si="109"/>
        <v>4.078097729381736</v>
      </c>
      <c r="AN42" s="83">
        <f t="shared" si="110"/>
        <v>8.9718150046398186</v>
      </c>
      <c r="AO42" s="83">
        <f t="shared" si="111"/>
        <v>2.039048864690868</v>
      </c>
      <c r="AP42" s="83">
        <f t="shared" si="112"/>
        <v>14.258237987171698</v>
      </c>
      <c r="AQ42" s="83">
        <f t="shared" si="113"/>
        <v>1.703528536368984</v>
      </c>
      <c r="AR42" s="83">
        <f t="shared" si="114"/>
        <v>3.147491239662402</v>
      </c>
      <c r="AS42" s="83">
        <f t="shared" si="115"/>
        <v>0.85176426818449202</v>
      </c>
      <c r="AT42" s="83">
        <f t="shared" si="116"/>
        <v>2.8546684105672151</v>
      </c>
      <c r="AU42" s="83">
        <f t="shared" si="117"/>
        <v>6.04162626575072</v>
      </c>
      <c r="AV42" s="83">
        <f t="shared" si="118"/>
        <v>1.4273342052836075</v>
      </c>
      <c r="AW42" s="83">
        <f t="shared" si="119"/>
        <v>15.104065664376799</v>
      </c>
      <c r="AX42" s="83">
        <f t="shared" si="120"/>
        <v>3.3153286130873303</v>
      </c>
      <c r="AY42" s="83">
        <f t="shared" si="121"/>
        <v>6.3803401810716167</v>
      </c>
      <c r="AZ42" s="83">
        <f t="shared" si="122"/>
        <v>1.6576643065436651</v>
      </c>
      <c r="BA42" s="83">
        <f t="shared" si="123"/>
        <v>4.3952831083336479</v>
      </c>
      <c r="BB42" s="83">
        <f t="shared" si="124"/>
        <v>5.2562148512031257</v>
      </c>
      <c r="BC42" s="83">
        <f t="shared" si="125"/>
        <v>13.306681850315961</v>
      </c>
      <c r="BD42" s="83">
        <f t="shared" si="126"/>
        <v>12.797514375630975</v>
      </c>
      <c r="BE42" s="83">
        <f t="shared" si="127"/>
        <v>3.1580798251148083</v>
      </c>
      <c r="BF42" s="83">
        <f t="shared" si="128"/>
        <v>7.3254718472227474</v>
      </c>
      <c r="BG42" s="83">
        <f t="shared" si="129"/>
        <v>3.987473335395475</v>
      </c>
      <c r="BH42" s="83">
        <f t="shared" si="130"/>
        <v>5.7546490181275605</v>
      </c>
      <c r="BI42" s="83">
        <f t="shared" si="131"/>
        <v>12.798953390665325</v>
      </c>
      <c r="BJ42" s="83">
        <f t="shared" si="132"/>
        <v>0.68141141454759357</v>
      </c>
      <c r="BK42" s="83">
        <f t="shared" si="133"/>
        <v>2.7187318195878238</v>
      </c>
      <c r="BL42" s="83">
        <f t="shared" si="134"/>
        <v>1.0270764651776225</v>
      </c>
      <c r="BM42" s="83">
        <f t="shared" si="135"/>
        <v>4.606740027634924</v>
      </c>
      <c r="BN42" s="83">
        <f t="shared" si="136"/>
        <v>18.851828444388563</v>
      </c>
      <c r="BO42" s="83">
        <f t="shared" si="137"/>
        <v>1.769048864690868</v>
      </c>
      <c r="BP42" s="83">
        <f t="shared" si="138"/>
        <v>4.2895546486830103</v>
      </c>
      <c r="BQ42" s="83">
        <f t="shared" si="139"/>
        <v>3.6853920221079388</v>
      </c>
      <c r="BR42" s="83">
        <f t="shared" si="140"/>
        <v>6.8723498772914438</v>
      </c>
      <c r="BS42" s="83">
        <f t="shared" si="141"/>
        <v>16.247304756129491</v>
      </c>
      <c r="BT42" s="83">
        <f t="shared" si="142"/>
        <v>1.5855919453895926</v>
      </c>
      <c r="BU42" s="83">
        <f t="shared" si="143"/>
        <v>4.2895546486830103</v>
      </c>
      <c r="BV42" s="83">
        <f t="shared" si="144"/>
        <v>3.6853920221079388</v>
      </c>
      <c r="BW42" s="83">
        <f t="shared" si="145"/>
        <v>9.5306654342217598</v>
      </c>
      <c r="BX42" s="83">
        <f t="shared" si="146"/>
        <v>13.132138769617235</v>
      </c>
      <c r="BY42" s="83">
        <f t="shared" si="147"/>
        <v>1.9394017183277661</v>
      </c>
      <c r="BZ42" s="83">
        <f t="shared" si="148"/>
        <v>6.1322506597369806</v>
      </c>
      <c r="CA42" s="83">
        <f t="shared" si="149"/>
        <v>6.6072182111403119</v>
      </c>
      <c r="CB42" s="83">
        <f t="shared" si="150"/>
        <v>12.423177938088276</v>
      </c>
      <c r="CC42" s="83">
        <f t="shared" si="151"/>
        <v>6.6072182111403119</v>
      </c>
      <c r="CD42" s="83">
        <f t="shared" si="152"/>
        <v>7.4358329089067459</v>
      </c>
      <c r="CE42" s="83">
        <f t="shared" si="153"/>
        <v>13.939465894531839</v>
      </c>
      <c r="CF42" s="83">
        <f t="shared" si="154"/>
        <v>7.4358329089067459</v>
      </c>
      <c r="CG42" s="83">
        <f t="shared" si="155"/>
        <v>3.7760164160941998</v>
      </c>
    </row>
    <row r="43" spans="1:85" x14ac:dyDescent="0.25">
      <c r="A43" t="str">
        <f t="shared" ref="A43:E43" si="164">A9</f>
        <v>S. Buschelman</v>
      </c>
      <c r="B43">
        <f t="shared" si="164"/>
        <v>34</v>
      </c>
      <c r="C43">
        <f t="shared" ca="1" si="164"/>
        <v>75</v>
      </c>
      <c r="D43" t="str">
        <f t="shared" si="164"/>
        <v>TEC</v>
      </c>
      <c r="E43" s="265">
        <f t="shared" si="164"/>
        <v>36526</v>
      </c>
      <c r="F43" s="195">
        <f t="shared" si="77"/>
        <v>1.5</v>
      </c>
      <c r="G43" s="196">
        <f t="shared" ref="G43:H43" si="165">J9</f>
        <v>14.9</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14.5289888709215</v>
      </c>
      <c r="Q43" s="196">
        <f t="shared" si="87"/>
        <v>0.67749999999999999</v>
      </c>
      <c r="R43" s="196">
        <f t="shared" si="88"/>
        <v>0.8521466666666665</v>
      </c>
      <c r="S43" s="196">
        <f t="shared" ca="1" si="89"/>
        <v>18.564248357883031</v>
      </c>
      <c r="T43" s="83">
        <f t="shared" si="90"/>
        <v>5.2429008164318862</v>
      </c>
      <c r="U43" s="83">
        <f t="shared" si="91"/>
        <v>7.910002963360327</v>
      </c>
      <c r="V43" s="83">
        <f t="shared" si="92"/>
        <v>5.2429008164318862</v>
      </c>
      <c r="W43" s="83">
        <f t="shared" si="93"/>
        <v>6.3818441526676439</v>
      </c>
      <c r="X43" s="83">
        <f t="shared" si="94"/>
        <v>12.367915024549697</v>
      </c>
      <c r="Y43" s="83">
        <f t="shared" si="95"/>
        <v>3.190922076333822</v>
      </c>
      <c r="Z43" s="83">
        <f t="shared" si="96"/>
        <v>4.0612911091761612</v>
      </c>
      <c r="AA43" s="83">
        <f t="shared" si="97"/>
        <v>4.6750718792797858</v>
      </c>
      <c r="AB43" s="83">
        <f t="shared" si="98"/>
        <v>8.9420025627494315</v>
      </c>
      <c r="AC43" s="83">
        <f t="shared" si="99"/>
        <v>2.3375359396398929</v>
      </c>
      <c r="AD43" s="83">
        <f t="shared" si="100"/>
        <v>6.5697356177849668</v>
      </c>
      <c r="AE43" s="326">
        <f t="shared" si="101"/>
        <v>11.378481822585723</v>
      </c>
      <c r="AF43" s="83">
        <f t="shared" si="102"/>
        <v>5.1203168201635743</v>
      </c>
      <c r="AG43" s="83">
        <f t="shared" si="103"/>
        <v>2.8497294757664662</v>
      </c>
      <c r="AH43" s="326">
        <f t="shared" si="104"/>
        <v>9.413438034435222</v>
      </c>
      <c r="AI43" s="83">
        <f t="shared" si="105"/>
        <v>9.3254079285104723</v>
      </c>
      <c r="AJ43" s="83">
        <f t="shared" si="106"/>
        <v>8.756483837381186</v>
      </c>
      <c r="AK43" s="83">
        <f t="shared" si="107"/>
        <v>3.1837294757664663</v>
      </c>
      <c r="AL43" s="83">
        <f t="shared" si="108"/>
        <v>2.041835527070313</v>
      </c>
      <c r="AM43" s="83">
        <f t="shared" si="109"/>
        <v>3.3393370566284184</v>
      </c>
      <c r="AN43" s="83">
        <f t="shared" si="110"/>
        <v>7.3465415245825199</v>
      </c>
      <c r="AO43" s="83">
        <f t="shared" si="111"/>
        <v>1.6696685283142092</v>
      </c>
      <c r="AP43" s="83">
        <f t="shared" si="112"/>
        <v>16.10865044984158</v>
      </c>
      <c r="AQ43" s="83">
        <f t="shared" si="113"/>
        <v>1.6918522865247942</v>
      </c>
      <c r="AR43" s="83">
        <f t="shared" si="114"/>
        <v>2.7751747688597281</v>
      </c>
      <c r="AS43" s="83">
        <f t="shared" si="115"/>
        <v>0.84592614326239712</v>
      </c>
      <c r="AT43" s="83">
        <f t="shared" si="116"/>
        <v>2.3375359396398929</v>
      </c>
      <c r="AU43" s="83">
        <f t="shared" si="117"/>
        <v>4.9471660098198793</v>
      </c>
      <c r="AV43" s="83">
        <f t="shared" si="118"/>
        <v>1.1687679698199465</v>
      </c>
      <c r="AW43" s="83">
        <f t="shared" si="119"/>
        <v>17.064248357883031</v>
      </c>
      <c r="AX43" s="83">
        <f t="shared" si="120"/>
        <v>3.2926048345444072</v>
      </c>
      <c r="AY43" s="83">
        <f t="shared" si="121"/>
        <v>5.9108508451935506</v>
      </c>
      <c r="AZ43" s="83">
        <f t="shared" si="122"/>
        <v>1.6463024172722036</v>
      </c>
      <c r="BA43" s="83">
        <f t="shared" si="123"/>
        <v>3.5990632721439617</v>
      </c>
      <c r="BB43" s="83">
        <f t="shared" si="124"/>
        <v>4.3040344285432948</v>
      </c>
      <c r="BC43" s="83">
        <f t="shared" si="125"/>
        <v>15.033602803294951</v>
      </c>
      <c r="BD43" s="83">
        <f t="shared" si="126"/>
        <v>13.288796790158013</v>
      </c>
      <c r="BE43" s="83">
        <f t="shared" si="127"/>
        <v>3.1364338542498107</v>
      </c>
      <c r="BF43" s="83">
        <f t="shared" si="128"/>
        <v>5.9984387869066031</v>
      </c>
      <c r="BG43" s="83">
        <f t="shared" si="129"/>
        <v>3.2651295664811202</v>
      </c>
      <c r="BH43" s="83">
        <f t="shared" si="130"/>
        <v>6.5014786243534353</v>
      </c>
      <c r="BI43" s="83">
        <f t="shared" si="131"/>
        <v>13.390088064789769</v>
      </c>
      <c r="BJ43" s="83">
        <f t="shared" si="132"/>
        <v>0.67674091460991759</v>
      </c>
      <c r="BK43" s="83">
        <f t="shared" si="133"/>
        <v>2.2262247044189456</v>
      </c>
      <c r="BL43" s="83">
        <f t="shared" si="134"/>
        <v>0.84101822166937945</v>
      </c>
      <c r="BM43" s="83">
        <f t="shared" si="135"/>
        <v>5.2045957491543247</v>
      </c>
      <c r="BN43" s="83">
        <f t="shared" si="136"/>
        <v>19.731323388237577</v>
      </c>
      <c r="BO43" s="83">
        <f t="shared" si="137"/>
        <v>1.7569235283142095</v>
      </c>
      <c r="BP43" s="83">
        <f t="shared" si="138"/>
        <v>3.5124878669721138</v>
      </c>
      <c r="BQ43" s="83">
        <f t="shared" si="139"/>
        <v>3.0177712659901261</v>
      </c>
      <c r="BR43" s="83">
        <f t="shared" si="140"/>
        <v>7.7642330028367796</v>
      </c>
      <c r="BS43" s="83">
        <f t="shared" si="141"/>
        <v>17.007467180534398</v>
      </c>
      <c r="BT43" s="83">
        <f t="shared" si="142"/>
        <v>1.5747240513038467</v>
      </c>
      <c r="BU43" s="83">
        <f t="shared" si="143"/>
        <v>3.5124878669721138</v>
      </c>
      <c r="BV43" s="83">
        <f t="shared" si="144"/>
        <v>3.0177712659901261</v>
      </c>
      <c r="BW43" s="83">
        <f t="shared" si="145"/>
        <v>10.767540713824193</v>
      </c>
      <c r="BX43" s="83">
        <f t="shared" si="146"/>
        <v>13.750242280305311</v>
      </c>
      <c r="BY43" s="83">
        <f t="shared" si="147"/>
        <v>1.9261087569666886</v>
      </c>
      <c r="BZ43" s="83">
        <f t="shared" si="148"/>
        <v>6.9280848333005114</v>
      </c>
      <c r="CA43" s="83">
        <f t="shared" si="149"/>
        <v>7.5088132630877018</v>
      </c>
      <c r="CB43" s="83">
        <f t="shared" si="150"/>
        <v>11.156043650976294</v>
      </c>
      <c r="CC43" s="83">
        <f t="shared" si="151"/>
        <v>7.5088132630877018</v>
      </c>
      <c r="CD43" s="83">
        <f t="shared" si="152"/>
        <v>7.0797717269611287</v>
      </c>
      <c r="CE43" s="83">
        <f t="shared" si="153"/>
        <v>11.816506001941871</v>
      </c>
      <c r="CF43" s="83">
        <f t="shared" si="154"/>
        <v>7.0797717269611287</v>
      </c>
      <c r="CG43" s="83">
        <f t="shared" si="155"/>
        <v>4.2660620894707577</v>
      </c>
    </row>
    <row r="44" spans="1:85" x14ac:dyDescent="0.25">
      <c r="A44" t="str">
        <f t="shared" ref="A44:E44" si="166">A10</f>
        <v>E. Gross</v>
      </c>
      <c r="B44">
        <f t="shared" si="166"/>
        <v>35</v>
      </c>
      <c r="C44">
        <f t="shared" ca="1" si="166"/>
        <v>103</v>
      </c>
      <c r="D44">
        <f t="shared" si="166"/>
        <v>0</v>
      </c>
      <c r="E44" s="265">
        <f t="shared" si="166"/>
        <v>36526</v>
      </c>
      <c r="F44" s="195">
        <f t="shared" si="77"/>
        <v>1.5</v>
      </c>
      <c r="G44" s="196">
        <f t="shared" ref="G44:H44" si="167">J10</f>
        <v>13.2</v>
      </c>
      <c r="H44" s="49">
        <f t="shared" si="167"/>
        <v>0</v>
      </c>
      <c r="I44" s="49">
        <f t="shared" si="79"/>
        <v>10.549999999999995</v>
      </c>
      <c r="J44" s="49">
        <f t="shared" si="80"/>
        <v>12.95</v>
      </c>
      <c r="K44" s="49">
        <f t="shared" si="81"/>
        <v>3.95</v>
      </c>
      <c r="L44" s="49">
        <f t="shared" si="82"/>
        <v>8.9499999999999993</v>
      </c>
      <c r="M44" s="49">
        <f t="shared" si="83"/>
        <v>0.95</v>
      </c>
      <c r="N44" s="49">
        <f t="shared" si="84"/>
        <v>17.3</v>
      </c>
      <c r="O44" s="196">
        <f t="shared" si="85"/>
        <v>3.9312499999999995</v>
      </c>
      <c r="P44" s="196">
        <f t="shared" si="86"/>
        <v>10.108957850619907</v>
      </c>
      <c r="Q44" s="196">
        <f t="shared" si="87"/>
        <v>0.5665</v>
      </c>
      <c r="R44" s="196">
        <f t="shared" si="88"/>
        <v>0.94099999999999984</v>
      </c>
      <c r="S44" s="196">
        <f t="shared" ca="1" si="89"/>
        <v>19.794098574941135</v>
      </c>
      <c r="T44" s="83">
        <f t="shared" si="90"/>
        <v>5.5256480559236074</v>
      </c>
      <c r="U44" s="83">
        <f t="shared" si="91"/>
        <v>8.3491312602490009</v>
      </c>
      <c r="V44" s="83">
        <f t="shared" si="92"/>
        <v>5.5256480559236074</v>
      </c>
      <c r="W44" s="83">
        <f t="shared" si="93"/>
        <v>6.9887548646696223</v>
      </c>
      <c r="X44" s="83">
        <f t="shared" si="94"/>
        <v>13.544098574941128</v>
      </c>
      <c r="Y44" s="83">
        <f t="shared" si="95"/>
        <v>3.4943774323348111</v>
      </c>
      <c r="Z44" s="83">
        <f t="shared" si="96"/>
        <v>3.7946954608359897</v>
      </c>
      <c r="AA44" s="83">
        <f t="shared" si="97"/>
        <v>5.1196692613277461</v>
      </c>
      <c r="AB44" s="83">
        <f t="shared" si="98"/>
        <v>9.7923832696824356</v>
      </c>
      <c r="AC44" s="83">
        <f t="shared" si="99"/>
        <v>2.5598346306638731</v>
      </c>
      <c r="AD44" s="83">
        <f t="shared" si="100"/>
        <v>6.1384779513523364</v>
      </c>
      <c r="AE44" s="326">
        <f t="shared" si="101"/>
        <v>12.460570688945838</v>
      </c>
      <c r="AF44" s="83">
        <f t="shared" si="102"/>
        <v>5.6072568100256266</v>
      </c>
      <c r="AG44" s="83">
        <f t="shared" si="103"/>
        <v>2.6626644620151696</v>
      </c>
      <c r="AH44" s="326">
        <f t="shared" si="104"/>
        <v>4.083129962065386</v>
      </c>
      <c r="AI44" s="83">
        <f t="shared" si="105"/>
        <v>10.212250325505611</v>
      </c>
      <c r="AJ44" s="83">
        <f t="shared" si="106"/>
        <v>9.5892217910583177</v>
      </c>
      <c r="AK44" s="83">
        <f t="shared" si="107"/>
        <v>3.3891144620151699</v>
      </c>
      <c r="AL44" s="83">
        <f t="shared" si="108"/>
        <v>1.994500389583046</v>
      </c>
      <c r="AM44" s="83">
        <f t="shared" si="109"/>
        <v>3.6569066152341048</v>
      </c>
      <c r="AN44" s="83">
        <f t="shared" si="110"/>
        <v>8.0451945535150298</v>
      </c>
      <c r="AO44" s="83">
        <f t="shared" si="111"/>
        <v>1.8284533076170524</v>
      </c>
      <c r="AP44" s="83">
        <f t="shared" si="112"/>
        <v>15.051229054744429</v>
      </c>
      <c r="AQ44" s="83">
        <f t="shared" si="113"/>
        <v>1.5527328147423474</v>
      </c>
      <c r="AR44" s="83">
        <f t="shared" si="114"/>
        <v>2.115620882457752</v>
      </c>
      <c r="AS44" s="83">
        <f t="shared" si="115"/>
        <v>0.77636640737117368</v>
      </c>
      <c r="AT44" s="83">
        <f t="shared" si="116"/>
        <v>2.5598346306638731</v>
      </c>
      <c r="AU44" s="83">
        <f t="shared" si="117"/>
        <v>5.4176394299764512</v>
      </c>
      <c r="AV44" s="83">
        <f t="shared" si="118"/>
        <v>1.2799173153319365</v>
      </c>
      <c r="AW44" s="83">
        <f t="shared" si="119"/>
        <v>15.944098574941133</v>
      </c>
      <c r="AX44" s="83">
        <f t="shared" si="120"/>
        <v>3.0218569394601067</v>
      </c>
      <c r="AY44" s="83">
        <f t="shared" si="121"/>
        <v>4.9011983147925644</v>
      </c>
      <c r="AZ44" s="83">
        <f t="shared" si="122"/>
        <v>1.5109284697300533</v>
      </c>
      <c r="BA44" s="83">
        <f t="shared" si="123"/>
        <v>3.9413326853078678</v>
      </c>
      <c r="BB44" s="83">
        <f t="shared" si="124"/>
        <v>4.7133463040795123</v>
      </c>
      <c r="BC44" s="83">
        <f t="shared" si="125"/>
        <v>14.046750844523139</v>
      </c>
      <c r="BD44" s="83">
        <f t="shared" si="126"/>
        <v>7.7483036331226671</v>
      </c>
      <c r="BE44" s="83">
        <f t="shared" si="127"/>
        <v>2.8785277565608132</v>
      </c>
      <c r="BF44" s="83">
        <f t="shared" si="128"/>
        <v>6.5688878088464469</v>
      </c>
      <c r="BG44" s="83">
        <f t="shared" si="129"/>
        <v>3.5756420237844577</v>
      </c>
      <c r="BH44" s="83">
        <f t="shared" si="130"/>
        <v>6.0747015570525722</v>
      </c>
      <c r="BI44" s="83">
        <f t="shared" si="131"/>
        <v>7.074142154498551</v>
      </c>
      <c r="BJ44" s="83">
        <f t="shared" si="132"/>
        <v>0.62109312589693888</v>
      </c>
      <c r="BK44" s="83">
        <f t="shared" si="133"/>
        <v>2.4379377434894027</v>
      </c>
      <c r="BL44" s="83">
        <f t="shared" si="134"/>
        <v>0.92099870309599674</v>
      </c>
      <c r="BM44" s="83">
        <f t="shared" si="135"/>
        <v>4.8629500653570457</v>
      </c>
      <c r="BN44" s="83">
        <f t="shared" si="136"/>
        <v>10.360110767374298</v>
      </c>
      <c r="BO44" s="83">
        <f t="shared" si="137"/>
        <v>1.6124533076170531</v>
      </c>
      <c r="BP44" s="83">
        <f t="shared" si="138"/>
        <v>3.8465239952832797</v>
      </c>
      <c r="BQ44" s="83">
        <f t="shared" si="139"/>
        <v>3.3047600522856349</v>
      </c>
      <c r="BR44" s="83">
        <f t="shared" si="140"/>
        <v>7.2545648515982162</v>
      </c>
      <c r="BS44" s="83">
        <f t="shared" si="141"/>
        <v>8.9140612210347747</v>
      </c>
      <c r="BT44" s="83">
        <f t="shared" si="142"/>
        <v>1.445235927567877</v>
      </c>
      <c r="BU44" s="83">
        <f t="shared" si="143"/>
        <v>3.8465239952832797</v>
      </c>
      <c r="BV44" s="83">
        <f t="shared" si="144"/>
        <v>3.3047600522856349</v>
      </c>
      <c r="BW44" s="83">
        <f t="shared" si="145"/>
        <v>10.060726200787855</v>
      </c>
      <c r="BX44" s="83">
        <f t="shared" si="146"/>
        <v>7.1799682245723133</v>
      </c>
      <c r="BY44" s="83">
        <f t="shared" si="147"/>
        <v>1.7677265890912877</v>
      </c>
      <c r="BZ44" s="83">
        <f t="shared" si="148"/>
        <v>6.4733040214261006</v>
      </c>
      <c r="CA44" s="83">
        <f t="shared" si="149"/>
        <v>4.4868753575443305</v>
      </c>
      <c r="CB44" s="83">
        <f t="shared" si="150"/>
        <v>8.7850549953837156</v>
      </c>
      <c r="CC44" s="83">
        <f t="shared" si="151"/>
        <v>4.4868753575443305</v>
      </c>
      <c r="CD44" s="83">
        <f t="shared" si="152"/>
        <v>4.1261734121883258</v>
      </c>
      <c r="CE44" s="83">
        <f t="shared" si="153"/>
        <v>8.351470949094411</v>
      </c>
      <c r="CF44" s="83">
        <f t="shared" si="154"/>
        <v>4.1261734121883258</v>
      </c>
      <c r="CG44" s="83">
        <f t="shared" si="155"/>
        <v>3.9860246437352833</v>
      </c>
    </row>
    <row r="45" spans="1:85" x14ac:dyDescent="0.25">
      <c r="A45" t="str">
        <f t="shared" ref="A45:E45" si="168">A11</f>
        <v>W. Gelifini</v>
      </c>
      <c r="B45">
        <f t="shared" si="168"/>
        <v>34</v>
      </c>
      <c r="C45">
        <f t="shared" ca="1" si="168"/>
        <v>28</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6">
        <f t="shared" si="101"/>
        <v>7.3807051280088629</v>
      </c>
      <c r="AF45" s="83">
        <f t="shared" si="102"/>
        <v>3.3213173076039881</v>
      </c>
      <c r="AG45" s="83">
        <f t="shared" si="103"/>
        <v>1.8989486530673101</v>
      </c>
      <c r="AH45" s="326">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98</v>
      </c>
      <c r="D46" t="str">
        <f t="shared" si="170"/>
        <v>CAB</v>
      </c>
      <c r="E46" s="265">
        <f t="shared" si="170"/>
        <v>43626</v>
      </c>
      <c r="F46" s="195">
        <f t="shared" ca="1" si="77"/>
        <v>0.26826417179081041</v>
      </c>
      <c r="G46" s="196">
        <f t="shared" ref="G46:H46" si="171">J12</f>
        <v>0.5</v>
      </c>
      <c r="H46" s="49">
        <f t="shared" si="171"/>
        <v>0</v>
      </c>
      <c r="I46" s="49">
        <f t="shared" si="79"/>
        <v>4</v>
      </c>
      <c r="J46" s="49">
        <f t="shared" si="80"/>
        <v>8.1999999999999993</v>
      </c>
      <c r="K46" s="49">
        <f t="shared" si="81"/>
        <v>3</v>
      </c>
      <c r="L46" s="49">
        <f t="shared" si="82"/>
        <v>4</v>
      </c>
      <c r="M46" s="49">
        <f t="shared" si="83"/>
        <v>7</v>
      </c>
      <c r="N46" s="49">
        <f t="shared" si="84"/>
        <v>6</v>
      </c>
      <c r="O46" s="196">
        <f t="shared" si="85"/>
        <v>1.875</v>
      </c>
      <c r="P46" s="196">
        <f t="shared" ca="1" si="86"/>
        <v>7.0258287657678249</v>
      </c>
      <c r="Q46" s="196">
        <f t="shared" si="87"/>
        <v>0.53</v>
      </c>
      <c r="R46" s="196">
        <f t="shared" si="88"/>
        <v>0.33999999999999997</v>
      </c>
      <c r="S46" s="196">
        <f t="shared" ca="1" si="89"/>
        <v>5.9563642724793748</v>
      </c>
      <c r="T46" s="83">
        <f t="shared" ca="1" si="90"/>
        <v>0.98779570702050334</v>
      </c>
      <c r="U46" s="83">
        <f t="shared" ca="1" si="91"/>
        <v>1.5281560799123366</v>
      </c>
      <c r="V46" s="83">
        <f t="shared" ca="1" si="92"/>
        <v>0.98779570702050334</v>
      </c>
      <c r="W46" s="83">
        <f t="shared" ca="1" si="93"/>
        <v>1.9953156756272392</v>
      </c>
      <c r="X46" s="83">
        <f t="shared" ca="1" si="94"/>
        <v>3.8668908442388354</v>
      </c>
      <c r="Y46" s="83">
        <f t="shared" ca="1" si="95"/>
        <v>0.99765783781361961</v>
      </c>
      <c r="Z46" s="83">
        <f t="shared" ca="1" si="96"/>
        <v>1.919920020928843</v>
      </c>
      <c r="AA46" s="83">
        <f t="shared" ca="1" si="97"/>
        <v>1.4616847391222798</v>
      </c>
      <c r="AB46" s="83">
        <f t="shared" ca="1" si="98"/>
        <v>2.7957620803846779</v>
      </c>
      <c r="AC46" s="83">
        <f t="shared" ca="1" si="99"/>
        <v>0.7308423695611399</v>
      </c>
      <c r="AD46" s="83">
        <f t="shared" ca="1" si="100"/>
        <v>3.1057529750319519</v>
      </c>
      <c r="AE46" s="326">
        <f t="shared" ca="1" si="101"/>
        <v>3.5575395766997286</v>
      </c>
      <c r="AF46" s="83">
        <f t="shared" ca="1" si="102"/>
        <v>1.6008928095148778</v>
      </c>
      <c r="AG46" s="83">
        <f t="shared" ca="1" si="103"/>
        <v>1.3471707709878857</v>
      </c>
      <c r="AH46" s="326">
        <f t="shared" ca="1" si="104"/>
        <v>1.6857318164124351</v>
      </c>
      <c r="AI46" s="83">
        <f t="shared" ca="1" si="105"/>
        <v>2.9156356965560821</v>
      </c>
      <c r="AJ46" s="83">
        <f t="shared" ca="1" si="106"/>
        <v>2.7377587177210954</v>
      </c>
      <c r="AK46" s="83">
        <f t="shared" ca="1" si="107"/>
        <v>0.97977077098788545</v>
      </c>
      <c r="AL46" s="83">
        <f t="shared" ca="1" si="108"/>
        <v>0.50166456314078456</v>
      </c>
      <c r="AM46" s="83">
        <f t="shared" ca="1" si="109"/>
        <v>1.0440605279444857</v>
      </c>
      <c r="AN46" s="83">
        <f t="shared" ca="1" si="110"/>
        <v>2.2969331614778681</v>
      </c>
      <c r="AO46" s="83">
        <f t="shared" ca="1" si="111"/>
        <v>0.52203026397224284</v>
      </c>
      <c r="AP46" s="83">
        <f t="shared" ca="1" si="112"/>
        <v>7.6151449569614611</v>
      </c>
      <c r="AQ46" s="83">
        <f t="shared" ca="1" si="113"/>
        <v>0.50269580975104866</v>
      </c>
      <c r="AR46" s="83">
        <f t="shared" ca="1" si="114"/>
        <v>1.6519990173619785</v>
      </c>
      <c r="AS46" s="83">
        <f t="shared" ca="1" si="115"/>
        <v>0.25134790487552433</v>
      </c>
      <c r="AT46" s="83">
        <f t="shared" ca="1" si="116"/>
        <v>0.7308423695611399</v>
      </c>
      <c r="AU46" s="83">
        <f t="shared" ca="1" si="117"/>
        <v>1.5467563376955342</v>
      </c>
      <c r="AV46" s="83">
        <f t="shared" ca="1" si="118"/>
        <v>0.36542118478056995</v>
      </c>
      <c r="AW46" s="83">
        <f t="shared" ca="1" si="119"/>
        <v>8.0668908442388361</v>
      </c>
      <c r="AX46" s="83">
        <f t="shared" ca="1" si="120"/>
        <v>0.97832338359242543</v>
      </c>
      <c r="AY46" s="83">
        <f t="shared" ca="1" si="121"/>
        <v>2.7606568551755983</v>
      </c>
      <c r="AZ46" s="83">
        <f t="shared" ca="1" si="122"/>
        <v>0.48916169179621272</v>
      </c>
      <c r="BA46" s="83">
        <f t="shared" ca="1" si="123"/>
        <v>1.1252652356735011</v>
      </c>
      <c r="BB46" s="83">
        <f t="shared" ca="1" si="124"/>
        <v>1.3456780137951145</v>
      </c>
      <c r="BC46" s="83">
        <f t="shared" ca="1" si="125"/>
        <v>7.106930833774415</v>
      </c>
      <c r="BD46" s="83">
        <f t="shared" ca="1" si="126"/>
        <v>2.8636659605283246</v>
      </c>
      <c r="BE46" s="83">
        <f t="shared" ca="1" si="127"/>
        <v>0.93192069346155926</v>
      </c>
      <c r="BF46" s="83">
        <f t="shared" ca="1" si="128"/>
        <v>1.8754420594558352</v>
      </c>
      <c r="BG46" s="83">
        <f t="shared" ca="1" si="129"/>
        <v>1.0208591828790525</v>
      </c>
      <c r="BH46" s="83">
        <f t="shared" ca="1" si="130"/>
        <v>3.0734854116549966</v>
      </c>
      <c r="BI46" s="83">
        <f t="shared" ca="1" si="131"/>
        <v>2.7066625978647423</v>
      </c>
      <c r="BJ46" s="83">
        <f t="shared" ca="1" si="132"/>
        <v>0.20107832390041944</v>
      </c>
      <c r="BK46" s="83">
        <f t="shared" ca="1" si="133"/>
        <v>0.6960403519629903</v>
      </c>
      <c r="BL46" s="83">
        <f t="shared" ca="1" si="134"/>
        <v>0.26294857740824085</v>
      </c>
      <c r="BM46" s="83">
        <f t="shared" ca="1" si="135"/>
        <v>2.4604017074928448</v>
      </c>
      <c r="BN46" s="83">
        <f t="shared" ca="1" si="136"/>
        <v>3.9728216256911422</v>
      </c>
      <c r="BO46" s="83">
        <f t="shared" ca="1" si="137"/>
        <v>0.52203026397224284</v>
      </c>
      <c r="BP46" s="83">
        <f t="shared" ca="1" si="138"/>
        <v>1.0981969997638292</v>
      </c>
      <c r="BQ46" s="83">
        <f t="shared" ca="1" si="139"/>
        <v>0.94352136599427583</v>
      </c>
      <c r="BR46" s="83">
        <f t="shared" ca="1" si="140"/>
        <v>3.6704353341286704</v>
      </c>
      <c r="BS46" s="83">
        <f t="shared" ca="1" si="141"/>
        <v>3.4205150554166295</v>
      </c>
      <c r="BT46" s="83">
        <f t="shared" ca="1" si="142"/>
        <v>0.46789379215289906</v>
      </c>
      <c r="BU46" s="83">
        <f t="shared" ca="1" si="143"/>
        <v>1.0981969997638292</v>
      </c>
      <c r="BV46" s="83">
        <f t="shared" ca="1" si="144"/>
        <v>0.94352136599427583</v>
      </c>
      <c r="BW46" s="83">
        <f t="shared" ca="1" si="145"/>
        <v>5.0902081227147056</v>
      </c>
      <c r="BX46" s="83">
        <f t="shared" ca="1" si="146"/>
        <v>2.7588673055937578</v>
      </c>
      <c r="BY46" s="83">
        <f t="shared" ca="1" si="147"/>
        <v>0.57229984494734765</v>
      </c>
      <c r="BZ46" s="83">
        <f t="shared" ca="1" si="148"/>
        <v>3.2751576827609679</v>
      </c>
      <c r="CA46" s="83">
        <f t="shared" ca="1" si="149"/>
        <v>2.251650129848433</v>
      </c>
      <c r="CB46" s="83">
        <f t="shared" ca="1" si="150"/>
        <v>6.1031190906129282</v>
      </c>
      <c r="CC46" s="83">
        <f t="shared" ca="1" si="151"/>
        <v>2.251650129848433</v>
      </c>
      <c r="CD46" s="83">
        <f t="shared" ca="1" si="152"/>
        <v>3.1583243112951838</v>
      </c>
      <c r="CE46" s="83">
        <f t="shared" ca="1" si="153"/>
        <v>8.2937735657629652</v>
      </c>
      <c r="CF46" s="83">
        <f t="shared" ca="1" si="154"/>
        <v>3.1583243112951838</v>
      </c>
      <c r="CG46" s="83">
        <f t="shared" ca="1" si="155"/>
        <v>2.016722711059709</v>
      </c>
    </row>
    <row r="47" spans="1:85" x14ac:dyDescent="0.25">
      <c r="A47" t="str">
        <f t="shared" ref="A47:E47" si="172">A13</f>
        <v>I. Stone</v>
      </c>
      <c r="B47">
        <f t="shared" si="172"/>
        <v>18</v>
      </c>
      <c r="C47">
        <f t="shared" ca="1" si="172"/>
        <v>41</v>
      </c>
      <c r="D47" t="str">
        <f t="shared" si="172"/>
        <v>RAP</v>
      </c>
      <c r="E47" s="265">
        <f t="shared" si="172"/>
        <v>43633</v>
      </c>
      <c r="F47" s="195">
        <f t="shared" ca="1" si="77"/>
        <v>0.23942884084114555</v>
      </c>
      <c r="G47" s="196">
        <f t="shared" ref="G47:H47" si="173">J13</f>
        <v>1.4</v>
      </c>
      <c r="H47" s="49">
        <f t="shared" si="173"/>
        <v>0</v>
      </c>
      <c r="I47" s="49">
        <f t="shared" si="79"/>
        <v>3</v>
      </c>
      <c r="J47" s="49">
        <f t="shared" si="80"/>
        <v>6.75</v>
      </c>
      <c r="K47" s="49">
        <f t="shared" si="81"/>
        <v>2</v>
      </c>
      <c r="L47" s="49">
        <f t="shared" si="82"/>
        <v>6</v>
      </c>
      <c r="M47" s="49">
        <f t="shared" si="83"/>
        <v>9</v>
      </c>
      <c r="N47" s="49">
        <f t="shared" si="84"/>
        <v>2</v>
      </c>
      <c r="O47" s="196">
        <f t="shared" si="85"/>
        <v>2.25</v>
      </c>
      <c r="P47" s="196">
        <f t="shared" ca="1" si="86"/>
        <v>9.3997283500574742</v>
      </c>
      <c r="Q47" s="196">
        <f t="shared" si="87"/>
        <v>0.51</v>
      </c>
      <c r="R47" s="196">
        <f t="shared" si="88"/>
        <v>0.18000000000000002</v>
      </c>
      <c r="S47" s="196">
        <f t="shared" ca="1" si="89"/>
        <v>2.5221642162583056</v>
      </c>
      <c r="T47" s="83">
        <f t="shared" ca="1" si="90"/>
        <v>1.2071144115837891</v>
      </c>
      <c r="U47" s="83">
        <f t="shared" ca="1" si="91"/>
        <v>1.8356376922733926</v>
      </c>
      <c r="V47" s="83">
        <f t="shared" ca="1" si="92"/>
        <v>1.2071144115837891</v>
      </c>
      <c r="W47" s="83">
        <f t="shared" ca="1" si="93"/>
        <v>1.7720813704206588</v>
      </c>
      <c r="X47" s="83">
        <f t="shared" ca="1" si="94"/>
        <v>3.4342662217454629</v>
      </c>
      <c r="Y47" s="83">
        <f t="shared" ca="1" si="95"/>
        <v>0.88604068521032942</v>
      </c>
      <c r="Z47" s="83">
        <f t="shared" ca="1" si="96"/>
        <v>1.7098553607754201</v>
      </c>
      <c r="AA47" s="83">
        <f t="shared" ca="1" si="97"/>
        <v>1.2981526318197849</v>
      </c>
      <c r="AB47" s="83">
        <f t="shared" ca="1" si="98"/>
        <v>2.4829744783219696</v>
      </c>
      <c r="AC47" s="83">
        <f t="shared" ca="1" si="99"/>
        <v>0.64907631590989245</v>
      </c>
      <c r="AD47" s="83">
        <f t="shared" ca="1" si="100"/>
        <v>2.7659424953720033</v>
      </c>
      <c r="AE47" s="326">
        <f t="shared" ca="1" si="101"/>
        <v>3.1595249240058259</v>
      </c>
      <c r="AF47" s="83">
        <f t="shared" ca="1" si="102"/>
        <v>1.4217862158026215</v>
      </c>
      <c r="AG47" s="83">
        <f t="shared" ca="1" si="103"/>
        <v>1.1997724590314924</v>
      </c>
      <c r="AH47" s="326">
        <f t="shared" ca="1" si="104"/>
        <v>1.431348538386332</v>
      </c>
      <c r="AI47" s="83">
        <f t="shared" ca="1" si="105"/>
        <v>2.5894367311960789</v>
      </c>
      <c r="AJ47" s="83">
        <f t="shared" ca="1" si="106"/>
        <v>2.4314604849957875</v>
      </c>
      <c r="AK47" s="83">
        <f t="shared" ca="1" si="107"/>
        <v>0.40652245903149231</v>
      </c>
      <c r="AL47" s="83">
        <f t="shared" ca="1" si="108"/>
        <v>0.77306867186269324</v>
      </c>
      <c r="AM47" s="83">
        <f t="shared" ca="1" si="109"/>
        <v>0.927251879871275</v>
      </c>
      <c r="AN47" s="83">
        <f t="shared" ca="1" si="110"/>
        <v>2.0399541357168047</v>
      </c>
      <c r="AO47" s="83">
        <f t="shared" ca="1" si="111"/>
        <v>0.4636259399356375</v>
      </c>
      <c r="AP47" s="83">
        <f t="shared" ca="1" si="112"/>
        <v>6.7819473133277164</v>
      </c>
      <c r="AQ47" s="83">
        <f t="shared" ca="1" si="113"/>
        <v>0.83645460882691025</v>
      </c>
      <c r="AR47" s="83">
        <f t="shared" ca="1" si="114"/>
        <v>2.4042400029714206</v>
      </c>
      <c r="AS47" s="83">
        <f t="shared" ca="1" si="115"/>
        <v>0.41822730441345513</v>
      </c>
      <c r="AT47" s="83">
        <f t="shared" ca="1" si="116"/>
        <v>0.64907631590989245</v>
      </c>
      <c r="AU47" s="83">
        <f t="shared" ca="1" si="117"/>
        <v>1.3737064886981853</v>
      </c>
      <c r="AV47" s="83">
        <f t="shared" ca="1" si="118"/>
        <v>0.32453815795494623</v>
      </c>
      <c r="AW47" s="83">
        <f t="shared" ca="1" si="119"/>
        <v>7.1842662217454629</v>
      </c>
      <c r="AX47" s="83">
        <f t="shared" ca="1" si="120"/>
        <v>1.6278693541016021</v>
      </c>
      <c r="AY47" s="83">
        <f t="shared" ca="1" si="121"/>
        <v>4.1752806881817506</v>
      </c>
      <c r="AZ47" s="83">
        <f t="shared" ca="1" si="122"/>
        <v>0.81393467705080103</v>
      </c>
      <c r="BA47" s="83">
        <f t="shared" ca="1" si="123"/>
        <v>0.99937147052792963</v>
      </c>
      <c r="BB47" s="83">
        <f t="shared" ca="1" si="124"/>
        <v>1.1951246451674211</v>
      </c>
      <c r="BC47" s="83">
        <f t="shared" ca="1" si="125"/>
        <v>6.3293385413577532</v>
      </c>
      <c r="BD47" s="83">
        <f t="shared" ca="1" si="126"/>
        <v>3.4240626711317166</v>
      </c>
      <c r="BE47" s="83">
        <f t="shared" ca="1" si="127"/>
        <v>1.5506581594406565</v>
      </c>
      <c r="BF47" s="83">
        <f t="shared" ca="1" si="128"/>
        <v>1.6656191175465496</v>
      </c>
      <c r="BG47" s="83">
        <f t="shared" ca="1" si="129"/>
        <v>0.90664628254080226</v>
      </c>
      <c r="BH47" s="83">
        <f t="shared" ca="1" si="130"/>
        <v>2.7372054304850213</v>
      </c>
      <c r="BI47" s="83">
        <f t="shared" ca="1" si="131"/>
        <v>2.9315486778055346</v>
      </c>
      <c r="BJ47" s="83">
        <f t="shared" ca="1" si="132"/>
        <v>0.33458184353076403</v>
      </c>
      <c r="BK47" s="83">
        <f t="shared" ca="1" si="133"/>
        <v>0.61816791991418329</v>
      </c>
      <c r="BL47" s="83">
        <f t="shared" ca="1" si="134"/>
        <v>0.23353010307869149</v>
      </c>
      <c r="BM47" s="83">
        <f t="shared" ca="1" si="135"/>
        <v>2.191201197632366</v>
      </c>
      <c r="BN47" s="83">
        <f t="shared" ca="1" si="136"/>
        <v>4.2744663611646647</v>
      </c>
      <c r="BO47" s="83">
        <f t="shared" ca="1" si="137"/>
        <v>0.86862593993563753</v>
      </c>
      <c r="BP47" s="83">
        <f t="shared" ca="1" si="138"/>
        <v>0.97533160697571142</v>
      </c>
      <c r="BQ47" s="83">
        <f t="shared" ca="1" si="139"/>
        <v>0.83796095810589288</v>
      </c>
      <c r="BR47" s="83">
        <f t="shared" ca="1" si="140"/>
        <v>3.2688411308941858</v>
      </c>
      <c r="BS47" s="83">
        <f t="shared" ca="1" si="141"/>
        <v>3.6731669736939727</v>
      </c>
      <c r="BT47" s="83">
        <f t="shared" ca="1" si="142"/>
        <v>0.77854621283120096</v>
      </c>
      <c r="BU47" s="83">
        <f t="shared" ca="1" si="143"/>
        <v>0.97533160697571142</v>
      </c>
      <c r="BV47" s="83">
        <f t="shared" ca="1" si="144"/>
        <v>0.83796095810589288</v>
      </c>
      <c r="BW47" s="83">
        <f t="shared" ca="1" si="145"/>
        <v>4.5332719859213872</v>
      </c>
      <c r="BX47" s="83">
        <f t="shared" ca="1" si="146"/>
        <v>2.9506682684621892</v>
      </c>
      <c r="BY47" s="83">
        <f t="shared" ca="1" si="147"/>
        <v>0.95227140081832851</v>
      </c>
      <c r="BZ47" s="83">
        <f t="shared" ca="1" si="148"/>
        <v>2.9168120860286582</v>
      </c>
      <c r="CA47" s="83">
        <f t="shared" ca="1" si="149"/>
        <v>3.1572527015293863</v>
      </c>
      <c r="CB47" s="83">
        <f t="shared" ca="1" si="150"/>
        <v>8.9939837656853907</v>
      </c>
      <c r="CC47" s="83">
        <f t="shared" ca="1" si="151"/>
        <v>3.1572527015293863</v>
      </c>
      <c r="CD47" s="83">
        <f t="shared" ca="1" si="152"/>
        <v>4.1022963575287257</v>
      </c>
      <c r="CE47" s="83">
        <f t="shared" ca="1" si="153"/>
        <v>11.80851045756954</v>
      </c>
      <c r="CF47" s="83">
        <f t="shared" ca="1" si="154"/>
        <v>4.1022963575287257</v>
      </c>
      <c r="CG47" s="83">
        <f t="shared" ca="1" si="155"/>
        <v>1.7960665554363657</v>
      </c>
    </row>
    <row r="48" spans="1:85" x14ac:dyDescent="0.25">
      <c r="A48" t="str">
        <f t="shared" ref="A48:E48" si="174">A14</f>
        <v>G. Piscaer</v>
      </c>
      <c r="B48">
        <f t="shared" si="174"/>
        <v>19</v>
      </c>
      <c r="C48">
        <f t="shared" ca="1" si="174"/>
        <v>2</v>
      </c>
      <c r="D48" t="str">
        <f t="shared" si="174"/>
        <v>IMP</v>
      </c>
      <c r="E48" s="265">
        <f t="shared" si="174"/>
        <v>43630</v>
      </c>
      <c r="F48" s="195">
        <f t="shared" ca="1" si="77"/>
        <v>0.25201373503383784</v>
      </c>
      <c r="G48" s="196">
        <f t="shared" ref="G48:H48" si="175">J14</f>
        <v>1.9</v>
      </c>
      <c r="H48" s="49">
        <f t="shared" si="175"/>
        <v>0</v>
      </c>
      <c r="I48" s="49">
        <f t="shared" si="79"/>
        <v>4</v>
      </c>
      <c r="J48" s="49">
        <f t="shared" si="80"/>
        <v>9</v>
      </c>
      <c r="K48" s="49">
        <f t="shared" si="81"/>
        <v>3</v>
      </c>
      <c r="L48" s="49">
        <f t="shared" si="82"/>
        <v>2</v>
      </c>
      <c r="M48" s="49">
        <f t="shared" si="83"/>
        <v>8</v>
      </c>
      <c r="N48" s="49">
        <f t="shared" si="84"/>
        <v>0</v>
      </c>
      <c r="O48" s="196">
        <f t="shared" si="85"/>
        <v>1.375</v>
      </c>
      <c r="P48" s="196">
        <f t="shared" ca="1" si="86"/>
        <v>7.0583442985657854</v>
      </c>
      <c r="Q48" s="196">
        <f t="shared" si="87"/>
        <v>0.4</v>
      </c>
      <c r="R48" s="196">
        <f t="shared" si="88"/>
        <v>0.16</v>
      </c>
      <c r="S48" s="196">
        <f t="shared" ca="1" si="89"/>
        <v>0.71236403987172869</v>
      </c>
      <c r="T48" s="83">
        <f t="shared" ca="1" si="90"/>
        <v>1.6484771821936333</v>
      </c>
      <c r="U48" s="83">
        <f t="shared" ca="1" si="91"/>
        <v>2.5051775970354875</v>
      </c>
      <c r="V48" s="83">
        <f t="shared" ca="1" si="92"/>
        <v>1.6484771821936333</v>
      </c>
      <c r="W48" s="83">
        <f t="shared" ca="1" si="93"/>
        <v>2.3858215647330066</v>
      </c>
      <c r="X48" s="83">
        <f t="shared" ca="1" si="94"/>
        <v>4.6236852029709432</v>
      </c>
      <c r="Y48" s="83">
        <f t="shared" ca="1" si="95"/>
        <v>1.1929107823665033</v>
      </c>
      <c r="Z48" s="83">
        <f t="shared" ca="1" si="96"/>
        <v>2.2904370783070842</v>
      </c>
      <c r="AA48" s="83">
        <f t="shared" ca="1" si="97"/>
        <v>1.7477530067230165</v>
      </c>
      <c r="AB48" s="83">
        <f t="shared" ca="1" si="98"/>
        <v>3.3429244017479918</v>
      </c>
      <c r="AC48" s="83">
        <f t="shared" ca="1" si="99"/>
        <v>0.87387650336150824</v>
      </c>
      <c r="AD48" s="83">
        <f t="shared" ca="1" si="100"/>
        <v>3.7051188031438134</v>
      </c>
      <c r="AE48" s="326">
        <f t="shared" ca="1" si="101"/>
        <v>4.253790386733268</v>
      </c>
      <c r="AF48" s="83">
        <f t="shared" ca="1" si="102"/>
        <v>1.9142056740299704</v>
      </c>
      <c r="AG48" s="83">
        <f t="shared" ca="1" si="103"/>
        <v>1.6071554288961476</v>
      </c>
      <c r="AH48" s="326">
        <f t="shared" ca="1" si="104"/>
        <v>2.1307268993469144</v>
      </c>
      <c r="AI48" s="83">
        <f t="shared" ca="1" si="105"/>
        <v>3.4862586430400913</v>
      </c>
      <c r="AJ48" s="83">
        <f t="shared" ca="1" si="106"/>
        <v>3.2735691237034277</v>
      </c>
      <c r="AK48" s="83">
        <f t="shared" ca="1" si="107"/>
        <v>0.10415542889614748</v>
      </c>
      <c r="AL48" s="83">
        <f t="shared" ca="1" si="108"/>
        <v>0.57562133845563157</v>
      </c>
      <c r="AM48" s="83">
        <f t="shared" ca="1" si="109"/>
        <v>1.2483950048021548</v>
      </c>
      <c r="AN48" s="83">
        <f t="shared" ca="1" si="110"/>
        <v>2.74646901056474</v>
      </c>
      <c r="AO48" s="83">
        <f t="shared" ca="1" si="111"/>
        <v>0.62419750240107741</v>
      </c>
      <c r="AP48" s="83">
        <f t="shared" ca="1" si="112"/>
        <v>9.0847588316045691</v>
      </c>
      <c r="AQ48" s="83">
        <f t="shared" ca="1" si="113"/>
        <v>0.34107907638622265</v>
      </c>
      <c r="AR48" s="83">
        <f t="shared" ca="1" si="114"/>
        <v>1.8067397644704863</v>
      </c>
      <c r="AS48" s="83">
        <f t="shared" ca="1" si="115"/>
        <v>0.17053953819311132</v>
      </c>
      <c r="AT48" s="83">
        <f t="shared" ca="1" si="116"/>
        <v>0.87387650336150824</v>
      </c>
      <c r="AU48" s="83">
        <f t="shared" ca="1" si="117"/>
        <v>1.8494740811883774</v>
      </c>
      <c r="AV48" s="83">
        <f t="shared" ca="1" si="118"/>
        <v>0.43693825168075412</v>
      </c>
      <c r="AW48" s="83">
        <f t="shared" ca="1" si="119"/>
        <v>9.6236852029709432</v>
      </c>
      <c r="AX48" s="83">
        <f t="shared" ca="1" si="120"/>
        <v>0.66379235635164868</v>
      </c>
      <c r="AY48" s="83">
        <f t="shared" ca="1" si="121"/>
        <v>2.7056505468369898</v>
      </c>
      <c r="AZ48" s="83">
        <f t="shared" ca="1" si="122"/>
        <v>0.33189617817582434</v>
      </c>
      <c r="BA48" s="83">
        <f t="shared" ca="1" si="123"/>
        <v>1.3454923940645445</v>
      </c>
      <c r="BB48" s="83">
        <f t="shared" ca="1" si="124"/>
        <v>1.6090424506338881</v>
      </c>
      <c r="BC48" s="83">
        <f t="shared" ca="1" si="125"/>
        <v>8.4784666638174002</v>
      </c>
      <c r="BD48" s="83">
        <f t="shared" ca="1" si="126"/>
        <v>2.9064561454411684</v>
      </c>
      <c r="BE48" s="83">
        <f t="shared" ca="1" si="127"/>
        <v>0.63230813391599727</v>
      </c>
      <c r="BF48" s="83">
        <f t="shared" ca="1" si="128"/>
        <v>2.2424873234409075</v>
      </c>
      <c r="BG48" s="83">
        <f t="shared" ca="1" si="129"/>
        <v>1.220652893584329</v>
      </c>
      <c r="BH48" s="83">
        <f t="shared" ca="1" si="130"/>
        <v>3.6666240623319295</v>
      </c>
      <c r="BI48" s="83">
        <f t="shared" ca="1" si="131"/>
        <v>2.9661008673966043</v>
      </c>
      <c r="BJ48" s="83">
        <f t="shared" ca="1" si="132"/>
        <v>0.13643163055448904</v>
      </c>
      <c r="BK48" s="83">
        <f t="shared" ca="1" si="133"/>
        <v>0.83226333653476969</v>
      </c>
      <c r="BL48" s="83">
        <f t="shared" ca="1" si="134"/>
        <v>0.31441059380202419</v>
      </c>
      <c r="BM48" s="83">
        <f t="shared" ca="1" si="135"/>
        <v>2.9352239869061374</v>
      </c>
      <c r="BN48" s="83">
        <f t="shared" ca="1" si="136"/>
        <v>4.3740591710206331</v>
      </c>
      <c r="BO48" s="83">
        <f t="shared" ca="1" si="137"/>
        <v>0.35419750240107734</v>
      </c>
      <c r="BP48" s="83">
        <f t="shared" ca="1" si="138"/>
        <v>1.3131265976437478</v>
      </c>
      <c r="BQ48" s="83">
        <f t="shared" ca="1" si="139"/>
        <v>1.12817918952491</v>
      </c>
      <c r="BR48" s="83">
        <f t="shared" ca="1" si="140"/>
        <v>4.3787767673517797</v>
      </c>
      <c r="BS48" s="83">
        <f t="shared" ca="1" si="141"/>
        <v>3.771043204891805</v>
      </c>
      <c r="BT48" s="83">
        <f t="shared" ca="1" si="142"/>
        <v>0.31746590955948412</v>
      </c>
      <c r="BU48" s="83">
        <f t="shared" ca="1" si="143"/>
        <v>1.3131265976437478</v>
      </c>
      <c r="BV48" s="83">
        <f t="shared" ca="1" si="144"/>
        <v>1.12817918952491</v>
      </c>
      <c r="BW48" s="83">
        <f t="shared" ca="1" si="145"/>
        <v>6.0725453630746653</v>
      </c>
      <c r="BX48" s="83">
        <f t="shared" ca="1" si="146"/>
        <v>3.0501982566589945</v>
      </c>
      <c r="BY48" s="83">
        <f t="shared" ca="1" si="147"/>
        <v>0.38830541003969959</v>
      </c>
      <c r="BZ48" s="83">
        <f t="shared" ca="1" si="148"/>
        <v>3.907216192406203</v>
      </c>
      <c r="CA48" s="83">
        <f t="shared" ca="1" si="149"/>
        <v>2.2729399907478616</v>
      </c>
      <c r="CB48" s="83">
        <f t="shared" ca="1" si="150"/>
        <v>6.4522695385452824</v>
      </c>
      <c r="CC48" s="83">
        <f t="shared" ca="1" si="151"/>
        <v>2.2729399907478616</v>
      </c>
      <c r="CD48" s="83">
        <f t="shared" ca="1" si="152"/>
        <v>3.6100323103420995</v>
      </c>
      <c r="CE48" s="83">
        <f t="shared" ca="1" si="153"/>
        <v>9.5918250428672209</v>
      </c>
      <c r="CF48" s="83">
        <f t="shared" ca="1" si="154"/>
        <v>3.6100323103420995</v>
      </c>
      <c r="CG48" s="83">
        <f t="shared" ca="1" si="155"/>
        <v>2.4059213007427358</v>
      </c>
    </row>
    <row r="49" spans="1:85" x14ac:dyDescent="0.25">
      <c r="A49" t="str">
        <f t="shared" ref="A49:E49" si="176">A15</f>
        <v>M. Bondarewski</v>
      </c>
      <c r="B49">
        <f t="shared" si="176"/>
        <v>19</v>
      </c>
      <c r="C49">
        <f t="shared" ca="1" si="176"/>
        <v>2</v>
      </c>
      <c r="D49" t="str">
        <f t="shared" si="176"/>
        <v>RAP</v>
      </c>
      <c r="E49" s="265">
        <f t="shared" si="176"/>
        <v>43627</v>
      </c>
      <c r="F49" s="195">
        <f t="shared" ca="1" si="77"/>
        <v>0.26425451014034512</v>
      </c>
      <c r="G49" s="196">
        <f t="shared" ref="G49:H49" si="177">J15</f>
        <v>1.8</v>
      </c>
      <c r="H49" s="49">
        <f t="shared" si="177"/>
        <v>0</v>
      </c>
      <c r="I49" s="49">
        <f t="shared" si="79"/>
        <v>2</v>
      </c>
      <c r="J49" s="49">
        <f t="shared" si="80"/>
        <v>9.1666666666666661</v>
      </c>
      <c r="K49" s="49">
        <f t="shared" si="81"/>
        <v>5</v>
      </c>
      <c r="L49" s="49">
        <f t="shared" si="82"/>
        <v>4</v>
      </c>
      <c r="M49" s="49">
        <f t="shared" si="83"/>
        <v>8</v>
      </c>
      <c r="N49" s="49">
        <f t="shared" si="84"/>
        <v>6</v>
      </c>
      <c r="O49" s="196">
        <f t="shared" si="85"/>
        <v>1.625</v>
      </c>
      <c r="P49" s="196">
        <f t="shared" ca="1" si="86"/>
        <v>10.316205449114571</v>
      </c>
      <c r="Q49" s="196">
        <f t="shared" si="87"/>
        <v>0.57999999999999996</v>
      </c>
      <c r="R49" s="196">
        <f t="shared" si="88"/>
        <v>0.25999999999999995</v>
      </c>
      <c r="S49" s="196">
        <f t="shared" ca="1" si="89"/>
        <v>6.693916730731015</v>
      </c>
      <c r="T49" s="83">
        <f t="shared" ca="1" si="90"/>
        <v>1.0798313832927697</v>
      </c>
      <c r="U49" s="83">
        <f t="shared" ca="1" si="91"/>
        <v>1.6305616447090099</v>
      </c>
      <c r="V49" s="83">
        <f t="shared" ca="1" si="92"/>
        <v>1.0798313832927697</v>
      </c>
      <c r="W49" s="83">
        <f t="shared" ca="1" si="93"/>
        <v>1.3439828107434928</v>
      </c>
      <c r="X49" s="83">
        <f t="shared" ca="1" si="94"/>
        <v>2.6046178502780868</v>
      </c>
      <c r="Y49" s="83">
        <f t="shared" ca="1" si="95"/>
        <v>0.6719914053717464</v>
      </c>
      <c r="Z49" s="83">
        <f t="shared" ca="1" si="96"/>
        <v>2.3255657150328513</v>
      </c>
      <c r="AA49" s="83">
        <f t="shared" ca="1" si="97"/>
        <v>0.98454554740511679</v>
      </c>
      <c r="AB49" s="83">
        <f t="shared" ca="1" si="98"/>
        <v>1.8831387057510567</v>
      </c>
      <c r="AC49" s="83">
        <f t="shared" ca="1" si="99"/>
        <v>0.4922727737025584</v>
      </c>
      <c r="AD49" s="83">
        <f t="shared" ca="1" si="100"/>
        <v>3.7619445390237303</v>
      </c>
      <c r="AE49" s="326">
        <f t="shared" ca="1" si="101"/>
        <v>2.39624842225584</v>
      </c>
      <c r="AF49" s="83">
        <f t="shared" ca="1" si="102"/>
        <v>1.0783117900151278</v>
      </c>
      <c r="AG49" s="83">
        <f t="shared" ca="1" si="103"/>
        <v>1.6318045143297739</v>
      </c>
      <c r="AH49" s="326">
        <f t="shared" ca="1" si="104"/>
        <v>3.2955152959635146</v>
      </c>
      <c r="AI49" s="83">
        <f t="shared" ca="1" si="105"/>
        <v>1.9638818591096774</v>
      </c>
      <c r="AJ49" s="83">
        <f t="shared" ca="1" si="106"/>
        <v>1.8440694379968854</v>
      </c>
      <c r="AK49" s="83">
        <f t="shared" ca="1" si="107"/>
        <v>1.1029711809964404</v>
      </c>
      <c r="AL49" s="83">
        <f t="shared" ca="1" si="108"/>
        <v>0.64212994088008879</v>
      </c>
      <c r="AM49" s="83">
        <f t="shared" ca="1" si="109"/>
        <v>0.7032468195750835</v>
      </c>
      <c r="AN49" s="83">
        <f t="shared" ca="1" si="110"/>
        <v>1.5471430030651834</v>
      </c>
      <c r="AO49" s="83">
        <f t="shared" ca="1" si="111"/>
        <v>0.35162340978754175</v>
      </c>
      <c r="AP49" s="83">
        <f t="shared" ca="1" si="112"/>
        <v>9.2240925839958461</v>
      </c>
      <c r="AQ49" s="83">
        <f t="shared" ca="1" si="113"/>
        <v>0.5986003205361512</v>
      </c>
      <c r="AR49" s="83">
        <f t="shared" ca="1" si="114"/>
        <v>2.0411530301314791</v>
      </c>
      <c r="AS49" s="83">
        <f t="shared" ca="1" si="115"/>
        <v>0.2993001602680756</v>
      </c>
      <c r="AT49" s="83">
        <f t="shared" ca="1" si="116"/>
        <v>0.4922727737025584</v>
      </c>
      <c r="AU49" s="83">
        <f t="shared" ca="1" si="117"/>
        <v>1.0418471401112348</v>
      </c>
      <c r="AV49" s="83">
        <f t="shared" ca="1" si="118"/>
        <v>0.2461363868512792</v>
      </c>
      <c r="AW49" s="83">
        <f t="shared" ca="1" si="119"/>
        <v>9.7712845169447533</v>
      </c>
      <c r="AX49" s="83">
        <f t="shared" ca="1" si="120"/>
        <v>1.1649683161203559</v>
      </c>
      <c r="AY49" s="83">
        <f t="shared" ca="1" si="121"/>
        <v>3.3771444355032258</v>
      </c>
      <c r="AZ49" s="83">
        <f t="shared" ca="1" si="122"/>
        <v>0.58248415806017795</v>
      </c>
      <c r="BA49" s="83">
        <f t="shared" ca="1" si="123"/>
        <v>0.75794379443092319</v>
      </c>
      <c r="BB49" s="83">
        <f t="shared" ca="1" si="124"/>
        <v>0.9064070118967742</v>
      </c>
      <c r="BC49" s="83">
        <f t="shared" ca="1" si="125"/>
        <v>8.6085016594283275</v>
      </c>
      <c r="BD49" s="83">
        <f t="shared" ca="1" si="126"/>
        <v>4.6675052688972185</v>
      </c>
      <c r="BE49" s="83">
        <f t="shared" ca="1" si="127"/>
        <v>1.1097129019170189</v>
      </c>
      <c r="BF49" s="83">
        <f t="shared" ca="1" si="128"/>
        <v>1.2632396573848721</v>
      </c>
      <c r="BG49" s="83">
        <f t="shared" ca="1" si="129"/>
        <v>0.6876191124734149</v>
      </c>
      <c r="BH49" s="83">
        <f t="shared" ca="1" si="130"/>
        <v>3.7228594009559512</v>
      </c>
      <c r="BI49" s="83">
        <f t="shared" ca="1" si="131"/>
        <v>4.697436001143048</v>
      </c>
      <c r="BJ49" s="83">
        <f t="shared" ca="1" si="132"/>
        <v>0.23944012821446048</v>
      </c>
      <c r="BK49" s="83">
        <f t="shared" ca="1" si="133"/>
        <v>0.4688312130500556</v>
      </c>
      <c r="BL49" s="83">
        <f t="shared" ca="1" si="134"/>
        <v>0.17711401381890993</v>
      </c>
      <c r="BM49" s="83">
        <f t="shared" ca="1" si="135"/>
        <v>2.9802417776681498</v>
      </c>
      <c r="BN49" s="83">
        <f t="shared" ca="1" si="136"/>
        <v>6.9215385554576194</v>
      </c>
      <c r="BO49" s="83">
        <f t="shared" ca="1" si="137"/>
        <v>0.62162340978754171</v>
      </c>
      <c r="BP49" s="83">
        <f t="shared" ca="1" si="138"/>
        <v>0.73971146947897659</v>
      </c>
      <c r="BQ49" s="83">
        <f t="shared" ca="1" si="139"/>
        <v>0.6355267554678532</v>
      </c>
      <c r="BR49" s="83">
        <f t="shared" ca="1" si="140"/>
        <v>4.445934455209863</v>
      </c>
      <c r="BS49" s="83">
        <f t="shared" ca="1" si="141"/>
        <v>5.9659165781081196</v>
      </c>
      <c r="BT49" s="83">
        <f t="shared" ca="1" si="142"/>
        <v>0.55715875988364838</v>
      </c>
      <c r="BU49" s="83">
        <f t="shared" ca="1" si="143"/>
        <v>0.73971146947897659</v>
      </c>
      <c r="BV49" s="83">
        <f t="shared" ca="1" si="144"/>
        <v>0.6355267554678532</v>
      </c>
      <c r="BW49" s="83">
        <f t="shared" ca="1" si="145"/>
        <v>6.1656805301921391</v>
      </c>
      <c r="BX49" s="83">
        <f t="shared" ca="1" si="146"/>
        <v>4.8231329759988872</v>
      </c>
      <c r="BY49" s="83">
        <f t="shared" ca="1" si="147"/>
        <v>0.68148344184115672</v>
      </c>
      <c r="BZ49" s="83">
        <f t="shared" ca="1" si="148"/>
        <v>3.9671415138795703</v>
      </c>
      <c r="CA49" s="83">
        <f t="shared" ca="1" si="149"/>
        <v>3.051005899994883</v>
      </c>
      <c r="CB49" s="83">
        <f t="shared" ca="1" si="150"/>
        <v>7.5167996994131254</v>
      </c>
      <c r="CC49" s="83">
        <f t="shared" ca="1" si="151"/>
        <v>3.051005899994883</v>
      </c>
      <c r="CD49" s="83">
        <f t="shared" ca="1" si="152"/>
        <v>4.3209707480867579</v>
      </c>
      <c r="CE49" s="83">
        <f t="shared" ca="1" si="153"/>
        <v>10.3037218370307</v>
      </c>
      <c r="CF49" s="83">
        <f t="shared" ca="1" si="154"/>
        <v>4.3209707480867579</v>
      </c>
      <c r="CG49" s="83">
        <f t="shared" ca="1" si="155"/>
        <v>2.4428211292361883</v>
      </c>
    </row>
    <row r="50" spans="1:85" x14ac:dyDescent="0.25">
      <c r="A50" t="str">
        <f t="shared" ref="A50:E50" si="178">A16</f>
        <v>J. Vartiainen</v>
      </c>
      <c r="B50">
        <f t="shared" si="178"/>
        <v>19</v>
      </c>
      <c r="C50">
        <f t="shared" ca="1" si="178"/>
        <v>48</v>
      </c>
      <c r="D50" t="str">
        <f t="shared" si="178"/>
        <v>CAB</v>
      </c>
      <c r="E50" s="265">
        <f t="shared" si="178"/>
        <v>43628</v>
      </c>
      <c r="F50" s="195">
        <f t="shared" ca="1" si="77"/>
        <v>0.26021032838031555</v>
      </c>
      <c r="G50" s="196">
        <f t="shared" ref="G50:H50" si="179">J16</f>
        <v>0.4</v>
      </c>
      <c r="H50" s="49">
        <f t="shared" si="179"/>
        <v>0</v>
      </c>
      <c r="I50" s="49">
        <f t="shared" si="79"/>
        <v>7</v>
      </c>
      <c r="J50" s="49">
        <f t="shared" si="80"/>
        <v>8.1999999999999993</v>
      </c>
      <c r="K50" s="49">
        <f t="shared" si="81"/>
        <v>1</v>
      </c>
      <c r="L50" s="49">
        <f t="shared" si="82"/>
        <v>1</v>
      </c>
      <c r="M50" s="49">
        <f t="shared" si="83"/>
        <v>6</v>
      </c>
      <c r="N50" s="49">
        <f t="shared" si="84"/>
        <v>1</v>
      </c>
      <c r="O50" s="196">
        <f t="shared" si="85"/>
        <v>1.5</v>
      </c>
      <c r="P50" s="196">
        <f t="shared" ca="1" si="86"/>
        <v>2.3124682668335605</v>
      </c>
      <c r="Q50" s="196">
        <f t="shared" si="87"/>
        <v>0.32999999999999996</v>
      </c>
      <c r="R50" s="196">
        <f t="shared" si="88"/>
        <v>0.31</v>
      </c>
      <c r="S50" s="196">
        <f t="shared" ca="1" si="89"/>
        <v>0.8187323872735025</v>
      </c>
      <c r="T50" s="83">
        <f t="shared" ca="1" si="90"/>
        <v>1.6959614465817641</v>
      </c>
      <c r="U50" s="83">
        <f t="shared" ca="1" si="91"/>
        <v>2.6259441323448534</v>
      </c>
      <c r="V50" s="83">
        <f t="shared" ca="1" si="92"/>
        <v>1.6959614465817641</v>
      </c>
      <c r="W50" s="83">
        <f t="shared" ca="1" si="93"/>
        <v>3.4724858034778814</v>
      </c>
      <c r="X50" s="83">
        <f t="shared" ca="1" si="94"/>
        <v>6.7296236501509323</v>
      </c>
      <c r="Y50" s="83">
        <f t="shared" ca="1" si="95"/>
        <v>1.7362429017389407</v>
      </c>
      <c r="Z50" s="83">
        <f t="shared" ca="1" si="96"/>
        <v>1.8872504287359217</v>
      </c>
      <c r="AA50" s="83">
        <f t="shared" ca="1" si="97"/>
        <v>2.5437977397570526</v>
      </c>
      <c r="AB50" s="83">
        <f t="shared" ca="1" si="98"/>
        <v>4.8655178990591237</v>
      </c>
      <c r="AC50" s="83">
        <f t="shared" ca="1" si="99"/>
        <v>1.2718988698785263</v>
      </c>
      <c r="AD50" s="83">
        <f t="shared" ca="1" si="100"/>
        <v>3.0529051053081089</v>
      </c>
      <c r="AE50" s="326">
        <f t="shared" ca="1" si="101"/>
        <v>6.191253758138858</v>
      </c>
      <c r="AF50" s="83">
        <f t="shared" ca="1" si="102"/>
        <v>2.7860641911624859</v>
      </c>
      <c r="AG50" s="83">
        <f t="shared" ca="1" si="103"/>
        <v>1.3242471495752057</v>
      </c>
      <c r="AH50" s="326">
        <f t="shared" ca="1" si="104"/>
        <v>0.42901870628874811</v>
      </c>
      <c r="AI50" s="83">
        <f t="shared" ca="1" si="105"/>
        <v>5.0741362322138031</v>
      </c>
      <c r="AJ50" s="83">
        <f t="shared" ca="1" si="106"/>
        <v>4.7645735443068595</v>
      </c>
      <c r="AK50" s="83">
        <f t="shared" ca="1" si="107"/>
        <v>0.12184714957520569</v>
      </c>
      <c r="AL50" s="83">
        <f t="shared" ca="1" si="108"/>
        <v>0.35413161124346848</v>
      </c>
      <c r="AM50" s="83">
        <f t="shared" ca="1" si="109"/>
        <v>1.8169983855407519</v>
      </c>
      <c r="AN50" s="83">
        <f t="shared" ca="1" si="110"/>
        <v>3.9973964481896536</v>
      </c>
      <c r="AO50" s="83">
        <f t="shared" ca="1" si="111"/>
        <v>0.90849919277037594</v>
      </c>
      <c r="AP50" s="83">
        <f t="shared" ca="1" si="112"/>
        <v>7.4855647257424787</v>
      </c>
      <c r="AQ50" s="83">
        <f t="shared" ca="1" si="113"/>
        <v>9.4851074519621187E-2</v>
      </c>
      <c r="AR50" s="83">
        <f t="shared" ca="1" si="114"/>
        <v>1.0787797294942232</v>
      </c>
      <c r="AS50" s="83">
        <f t="shared" ca="1" si="115"/>
        <v>4.7425537259810593E-2</v>
      </c>
      <c r="AT50" s="83">
        <f t="shared" ca="1" si="116"/>
        <v>1.2718988698785263</v>
      </c>
      <c r="AU50" s="83">
        <f t="shared" ca="1" si="117"/>
        <v>2.6918494600603733</v>
      </c>
      <c r="AV50" s="83">
        <f t="shared" ca="1" si="118"/>
        <v>0.63594943493926315</v>
      </c>
      <c r="AW50" s="83">
        <f t="shared" ca="1" si="119"/>
        <v>7.9296236501509316</v>
      </c>
      <c r="AX50" s="83">
        <f t="shared" ca="1" si="120"/>
        <v>0.18459478348818587</v>
      </c>
      <c r="AY50" s="83">
        <f t="shared" ca="1" si="121"/>
        <v>1.4520226312331637</v>
      </c>
      <c r="AZ50" s="83">
        <f t="shared" ca="1" si="122"/>
        <v>9.2297391744092933E-2</v>
      </c>
      <c r="BA50" s="83">
        <f t="shared" ca="1" si="123"/>
        <v>1.9583204821939211</v>
      </c>
      <c r="BB50" s="83">
        <f t="shared" ca="1" si="124"/>
        <v>2.3419090302525243</v>
      </c>
      <c r="BC50" s="83">
        <f t="shared" ca="1" si="125"/>
        <v>6.985998435782971</v>
      </c>
      <c r="BD50" s="83">
        <f t="shared" ca="1" si="126"/>
        <v>0.6486354249841787</v>
      </c>
      <c r="BE50" s="83">
        <f t="shared" ca="1" si="127"/>
        <v>0.17583929968637466</v>
      </c>
      <c r="BF50" s="83">
        <f t="shared" ca="1" si="128"/>
        <v>3.263867470323202</v>
      </c>
      <c r="BG50" s="83">
        <f t="shared" ca="1" si="129"/>
        <v>1.7766206436398462</v>
      </c>
      <c r="BH50" s="83">
        <f t="shared" ca="1" si="130"/>
        <v>3.0211866107075052</v>
      </c>
      <c r="BI50" s="83">
        <f t="shared" ca="1" si="131"/>
        <v>0.63769107023191485</v>
      </c>
      <c r="BJ50" s="83">
        <f t="shared" ca="1" si="132"/>
        <v>3.7940429807848473E-2</v>
      </c>
      <c r="BK50" s="83">
        <f t="shared" ca="1" si="133"/>
        <v>1.2113322570271678</v>
      </c>
      <c r="BL50" s="83">
        <f t="shared" ca="1" si="134"/>
        <v>0.45761440821026345</v>
      </c>
      <c r="BM50" s="83">
        <f t="shared" ca="1" si="135"/>
        <v>2.418535213296034</v>
      </c>
      <c r="BN50" s="83">
        <f t="shared" ca="1" si="136"/>
        <v>0.9382960140940988</v>
      </c>
      <c r="BO50" s="83">
        <f t="shared" ca="1" si="137"/>
        <v>9.849919277037586E-2</v>
      </c>
      <c r="BP50" s="83">
        <f t="shared" ca="1" si="138"/>
        <v>1.9112131166428645</v>
      </c>
      <c r="BQ50" s="83">
        <f t="shared" ca="1" si="139"/>
        <v>1.6420281706368274</v>
      </c>
      <c r="BR50" s="83">
        <f t="shared" ca="1" si="140"/>
        <v>3.607978760818674</v>
      </c>
      <c r="BS50" s="83">
        <f t="shared" ca="1" si="141"/>
        <v>0.80842300436723291</v>
      </c>
      <c r="BT50" s="83">
        <f t="shared" ca="1" si="142"/>
        <v>8.8284461668262801E-2</v>
      </c>
      <c r="BU50" s="83">
        <f t="shared" ca="1" si="143"/>
        <v>1.9112131166428645</v>
      </c>
      <c r="BV50" s="83">
        <f t="shared" ca="1" si="144"/>
        <v>1.6420281706368274</v>
      </c>
      <c r="BW50" s="83">
        <f t="shared" ca="1" si="145"/>
        <v>5.0035925232452376</v>
      </c>
      <c r="BX50" s="83">
        <f t="shared" ca="1" si="146"/>
        <v>0.65301316688508437</v>
      </c>
      <c r="BY50" s="83">
        <f t="shared" ca="1" si="147"/>
        <v>0.10798430022233796</v>
      </c>
      <c r="BZ50" s="83">
        <f t="shared" ca="1" si="148"/>
        <v>3.2194272019612784</v>
      </c>
      <c r="CA50" s="83">
        <f t="shared" ca="1" si="149"/>
        <v>1.0151339217286357</v>
      </c>
      <c r="CB50" s="83">
        <f t="shared" ca="1" si="150"/>
        <v>3.7365562300699495</v>
      </c>
      <c r="CC50" s="83">
        <f t="shared" ca="1" si="151"/>
        <v>1.0151339217286357</v>
      </c>
      <c r="CD50" s="83">
        <f t="shared" ca="1" si="152"/>
        <v>1.9469008486651487</v>
      </c>
      <c r="CE50" s="83">
        <f t="shared" ca="1" si="153"/>
        <v>5.9988547770566267</v>
      </c>
      <c r="CF50" s="83">
        <f t="shared" ca="1" si="154"/>
        <v>1.9469008486651487</v>
      </c>
      <c r="CG50" s="83">
        <f t="shared" ca="1" si="155"/>
        <v>1.9824059125377329</v>
      </c>
    </row>
    <row r="51" spans="1:85" x14ac:dyDescent="0.25">
      <c r="A51" t="str">
        <f t="shared" ref="A51:E51" si="180">A17</f>
        <v>R. Forsyth</v>
      </c>
      <c r="B51">
        <f t="shared" si="180"/>
        <v>19</v>
      </c>
      <c r="C51">
        <f t="shared" ca="1" si="180"/>
        <v>43</v>
      </c>
      <c r="D51" t="str">
        <f t="shared" si="180"/>
        <v>POT</v>
      </c>
      <c r="E51" s="265">
        <f t="shared" si="180"/>
        <v>43626</v>
      </c>
      <c r="F51" s="195">
        <f t="shared" ca="1" si="77"/>
        <v>0.26826417179081041</v>
      </c>
      <c r="G51" s="196">
        <f t="shared" ref="G51:H51" si="181">J17</f>
        <v>2.1</v>
      </c>
      <c r="H51" s="49">
        <f t="shared" si="181"/>
        <v>0</v>
      </c>
      <c r="I51" s="49">
        <f t="shared" si="79"/>
        <v>7</v>
      </c>
      <c r="J51" s="49">
        <f t="shared" si="80"/>
        <v>8.4</v>
      </c>
      <c r="K51" s="49">
        <f t="shared" si="81"/>
        <v>2</v>
      </c>
      <c r="L51" s="49">
        <f t="shared" si="82"/>
        <v>4</v>
      </c>
      <c r="M51" s="49">
        <f t="shared" si="83"/>
        <v>6</v>
      </c>
      <c r="N51" s="49">
        <f t="shared" si="84"/>
        <v>2</v>
      </c>
      <c r="O51" s="196">
        <f t="shared" si="85"/>
        <v>2.25</v>
      </c>
      <c r="P51" s="196">
        <f t="shared" ca="1" si="86"/>
        <v>5.0023366748069726</v>
      </c>
      <c r="Q51" s="196">
        <f t="shared" si="87"/>
        <v>0.36</v>
      </c>
      <c r="R51" s="196">
        <f t="shared" si="88"/>
        <v>0.34</v>
      </c>
      <c r="S51" s="196">
        <f t="shared" ca="1" si="89"/>
        <v>2.7873633263432431</v>
      </c>
      <c r="T51" s="83">
        <f t="shared" ca="1" si="90"/>
        <v>2.5412578810436597</v>
      </c>
      <c r="U51" s="83">
        <f t="shared" ca="1" si="91"/>
        <v>3.8759758584505888</v>
      </c>
      <c r="V51" s="83">
        <f t="shared" ca="1" si="92"/>
        <v>2.5412578810436597</v>
      </c>
      <c r="W51" s="83">
        <f t="shared" ca="1" si="93"/>
        <v>3.9721111874209947</v>
      </c>
      <c r="X51" s="83">
        <f t="shared" ca="1" si="94"/>
        <v>7.6978898981027024</v>
      </c>
      <c r="Y51" s="83">
        <f t="shared" ca="1" si="95"/>
        <v>1.9860555937104973</v>
      </c>
      <c r="Z51" s="83">
        <f t="shared" ca="1" si="96"/>
        <v>2.1652977957484434</v>
      </c>
      <c r="AA51" s="83">
        <f t="shared" ca="1" si="97"/>
        <v>2.9098023814828213</v>
      </c>
      <c r="AB51" s="83">
        <f t="shared" ca="1" si="98"/>
        <v>5.5655743963282536</v>
      </c>
      <c r="AC51" s="83">
        <f t="shared" ca="1" si="99"/>
        <v>1.4549011907414107</v>
      </c>
      <c r="AD51" s="83">
        <f t="shared" ca="1" si="100"/>
        <v>3.502687610769541</v>
      </c>
      <c r="AE51" s="326">
        <f t="shared" ca="1" si="101"/>
        <v>7.0820587062544869</v>
      </c>
      <c r="AF51" s="83">
        <f t="shared" ca="1" si="102"/>
        <v>3.1869264178145187</v>
      </c>
      <c r="AG51" s="83">
        <f t="shared" ca="1" si="103"/>
        <v>1.5193476129831516</v>
      </c>
      <c r="AH51" s="326">
        <f t="shared" ca="1" si="104"/>
        <v>1.5863592600843892</v>
      </c>
      <c r="AI51" s="83">
        <f t="shared" ca="1" si="105"/>
        <v>5.8042089831694375</v>
      </c>
      <c r="AJ51" s="83">
        <f t="shared" ca="1" si="106"/>
        <v>5.4501060478567132</v>
      </c>
      <c r="AK51" s="83">
        <f t="shared" ca="1" si="107"/>
        <v>0.45054761298315138</v>
      </c>
      <c r="AL51" s="83">
        <f t="shared" ca="1" si="108"/>
        <v>0.8489922906535784</v>
      </c>
      <c r="AM51" s="83">
        <f t="shared" ca="1" si="109"/>
        <v>2.0784302724877297</v>
      </c>
      <c r="AN51" s="83">
        <f t="shared" ca="1" si="110"/>
        <v>4.5725465994730055</v>
      </c>
      <c r="AO51" s="83">
        <f t="shared" ca="1" si="111"/>
        <v>1.0392151362438649</v>
      </c>
      <c r="AP51" s="83">
        <f t="shared" ca="1" si="112"/>
        <v>8.5884080638089522</v>
      </c>
      <c r="AQ51" s="83">
        <f t="shared" ca="1" si="113"/>
        <v>0.61072568675335137</v>
      </c>
      <c r="AR51" s="83">
        <f t="shared" ca="1" si="114"/>
        <v>1.7224817401440915</v>
      </c>
      <c r="AS51" s="83">
        <f t="shared" ca="1" si="115"/>
        <v>0.30536284337667569</v>
      </c>
      <c r="AT51" s="83">
        <f t="shared" ca="1" si="116"/>
        <v>1.4549011907414107</v>
      </c>
      <c r="AU51" s="83">
        <f t="shared" ca="1" si="117"/>
        <v>3.0791559592410813</v>
      </c>
      <c r="AV51" s="83">
        <f t="shared" ca="1" si="118"/>
        <v>0.72745059537070533</v>
      </c>
      <c r="AW51" s="83">
        <f t="shared" ca="1" si="119"/>
        <v>9.0978898981027037</v>
      </c>
      <c r="AX51" s="83">
        <f t="shared" ca="1" si="120"/>
        <v>1.1885661442199837</v>
      </c>
      <c r="AY51" s="83">
        <f t="shared" ca="1" si="121"/>
        <v>3.0085373338545889</v>
      </c>
      <c r="AZ51" s="83">
        <f t="shared" ca="1" si="122"/>
        <v>0.59428307210999187</v>
      </c>
      <c r="BA51" s="83">
        <f t="shared" ca="1" si="123"/>
        <v>2.2400859603478862</v>
      </c>
      <c r="BB51" s="83">
        <f t="shared" ca="1" si="124"/>
        <v>2.6788656845397401</v>
      </c>
      <c r="BC51" s="83">
        <f t="shared" ca="1" si="125"/>
        <v>8.0152410002284817</v>
      </c>
      <c r="BD51" s="83">
        <f t="shared" ca="1" si="126"/>
        <v>3.0284241194133026</v>
      </c>
      <c r="BE51" s="83">
        <f t="shared" ca="1" si="127"/>
        <v>1.1321914654427512</v>
      </c>
      <c r="BF51" s="83">
        <f t="shared" ca="1" si="128"/>
        <v>3.7334766005798103</v>
      </c>
      <c r="BG51" s="83">
        <f t="shared" ca="1" si="129"/>
        <v>2.0322429330991136</v>
      </c>
      <c r="BH51" s="83">
        <f t="shared" ca="1" si="130"/>
        <v>3.4662960511771304</v>
      </c>
      <c r="BI51" s="83">
        <f t="shared" ca="1" si="131"/>
        <v>2.7599557709417626</v>
      </c>
      <c r="BJ51" s="83">
        <f t="shared" ca="1" si="132"/>
        <v>0.24429027470134052</v>
      </c>
      <c r="BK51" s="83">
        <f t="shared" ca="1" si="133"/>
        <v>1.3856201816584863</v>
      </c>
      <c r="BL51" s="83">
        <f t="shared" ca="1" si="134"/>
        <v>0.52345651307098384</v>
      </c>
      <c r="BM51" s="83">
        <f t="shared" ca="1" si="135"/>
        <v>2.7748564189213245</v>
      </c>
      <c r="BN51" s="83">
        <f t="shared" ca="1" si="136"/>
        <v>4.0414864089600755</v>
      </c>
      <c r="BO51" s="83">
        <f t="shared" ca="1" si="137"/>
        <v>0.63421513624386483</v>
      </c>
      <c r="BP51" s="83">
        <f t="shared" ca="1" si="138"/>
        <v>2.1862007310611671</v>
      </c>
      <c r="BQ51" s="83">
        <f t="shared" ca="1" si="139"/>
        <v>1.8782851351370593</v>
      </c>
      <c r="BR51" s="83">
        <f t="shared" ca="1" si="140"/>
        <v>4.13953990363673</v>
      </c>
      <c r="BS51" s="83">
        <f t="shared" ca="1" si="141"/>
        <v>3.4772620070977949</v>
      </c>
      <c r="BT51" s="83">
        <f t="shared" ca="1" si="142"/>
        <v>0.56844467767042695</v>
      </c>
      <c r="BU51" s="83">
        <f t="shared" ca="1" si="143"/>
        <v>2.1862007310611671</v>
      </c>
      <c r="BV51" s="83">
        <f t="shared" ca="1" si="144"/>
        <v>1.8782851351370593</v>
      </c>
      <c r="BW51" s="83">
        <f t="shared" ca="1" si="145"/>
        <v>5.7407685257028058</v>
      </c>
      <c r="BX51" s="83">
        <f t="shared" ca="1" si="146"/>
        <v>2.8006114588019191</v>
      </c>
      <c r="BY51" s="83">
        <f t="shared" ca="1" si="147"/>
        <v>0.69528770491919989</v>
      </c>
      <c r="BZ51" s="83">
        <f t="shared" ca="1" si="148"/>
        <v>3.6937432986296979</v>
      </c>
      <c r="CA51" s="83">
        <f t="shared" ca="1" si="149"/>
        <v>2.4136006369115082</v>
      </c>
      <c r="CB51" s="83">
        <f t="shared" ca="1" si="150"/>
        <v>6.4558240252636434</v>
      </c>
      <c r="CC51" s="83">
        <f t="shared" ca="1" si="151"/>
        <v>2.4136006369115082</v>
      </c>
      <c r="CD51" s="83">
        <f t="shared" ca="1" si="152"/>
        <v>3.195036721852373</v>
      </c>
      <c r="CE51" s="83">
        <f t="shared" ca="1" si="153"/>
        <v>8.4314112705026005</v>
      </c>
      <c r="CF51" s="83">
        <f t="shared" ca="1" si="154"/>
        <v>3.195036721852373</v>
      </c>
      <c r="CG51" s="83">
        <f t="shared" ca="1" si="155"/>
        <v>2.2744724745256759</v>
      </c>
    </row>
    <row r="52" spans="1:85" x14ac:dyDescent="0.25">
      <c r="A52" t="str">
        <f t="shared" ref="A52:E52" si="182">A18</f>
        <v>M. Grupinski</v>
      </c>
      <c r="B52">
        <f t="shared" si="182"/>
        <v>23</v>
      </c>
      <c r="C52">
        <f t="shared" ca="1" si="182"/>
        <v>1</v>
      </c>
      <c r="D52" t="str">
        <f t="shared" si="182"/>
        <v>CAB</v>
      </c>
      <c r="E52" s="265">
        <f t="shared" si="182"/>
        <v>43650</v>
      </c>
      <c r="F52" s="195">
        <f t="shared" ca="1" si="77"/>
        <v>0.15905420932620543</v>
      </c>
      <c r="G52" s="196">
        <f t="shared" ref="G52:H52" si="183">J18</f>
        <v>1.8</v>
      </c>
      <c r="H52" s="49">
        <f t="shared" si="183"/>
        <v>0</v>
      </c>
      <c r="I52" s="49">
        <f t="shared" si="79"/>
        <v>3</v>
      </c>
      <c r="J52" s="49">
        <f t="shared" si="80"/>
        <v>8.1818181818181817</v>
      </c>
      <c r="K52" s="49">
        <f t="shared" si="81"/>
        <v>9</v>
      </c>
      <c r="L52" s="49">
        <f t="shared" si="82"/>
        <v>6</v>
      </c>
      <c r="M52" s="49">
        <f t="shared" si="83"/>
        <v>3</v>
      </c>
      <c r="N52" s="49">
        <f t="shared" si="84"/>
        <v>3</v>
      </c>
      <c r="O52" s="196">
        <f t="shared" si="85"/>
        <v>2.25</v>
      </c>
      <c r="P52" s="196">
        <f t="shared" ca="1" si="86"/>
        <v>0.13371278431532296</v>
      </c>
      <c r="Q52" s="196">
        <f t="shared" si="87"/>
        <v>0.24</v>
      </c>
      <c r="R52" s="196">
        <f t="shared" si="88"/>
        <v>0.21000000000000002</v>
      </c>
      <c r="S52" s="196">
        <f t="shared" ca="1" si="89"/>
        <v>3.5781607729405769</v>
      </c>
      <c r="T52" s="83">
        <f t="shared" ca="1" si="90"/>
        <v>1.2639915206820258</v>
      </c>
      <c r="U52" s="83">
        <f t="shared" ca="1" si="91"/>
        <v>1.9197480563579554</v>
      </c>
      <c r="V52" s="83">
        <f t="shared" ca="1" si="92"/>
        <v>1.2639915206820258</v>
      </c>
      <c r="W52" s="83">
        <f t="shared" ca="1" si="93"/>
        <v>1.8056994555233967</v>
      </c>
      <c r="X52" s="83">
        <f t="shared" ca="1" si="94"/>
        <v>3.499417549463947</v>
      </c>
      <c r="Y52" s="83">
        <f t="shared" ca="1" si="95"/>
        <v>0.90284972776169836</v>
      </c>
      <c r="Z52" s="83">
        <f t="shared" ca="1" si="96"/>
        <v>2.0661341040451466</v>
      </c>
      <c r="AA52" s="83">
        <f t="shared" ca="1" si="97"/>
        <v>1.322779833697372</v>
      </c>
      <c r="AB52" s="83">
        <f t="shared" ca="1" si="98"/>
        <v>2.5300788882624334</v>
      </c>
      <c r="AC52" s="83">
        <f t="shared" ca="1" si="99"/>
        <v>0.66138991684868598</v>
      </c>
      <c r="AD52" s="83">
        <f t="shared" ca="1" si="100"/>
        <v>3.3422757565436196</v>
      </c>
      <c r="AE52" s="326">
        <f t="shared" ca="1" si="101"/>
        <v>3.2194641455068314</v>
      </c>
      <c r="AF52" s="83">
        <f t="shared" ca="1" si="102"/>
        <v>1.4487588654780741</v>
      </c>
      <c r="AG52" s="83">
        <f t="shared" ca="1" si="103"/>
        <v>1.4497663671241157</v>
      </c>
      <c r="AH52" s="326">
        <f t="shared" ca="1" si="104"/>
        <v>5.5856575190848003</v>
      </c>
      <c r="AI52" s="83">
        <f t="shared" ca="1" si="105"/>
        <v>2.6385608322958158</v>
      </c>
      <c r="AJ52" s="83">
        <f t="shared" ca="1" si="106"/>
        <v>2.4775876250204742</v>
      </c>
      <c r="AK52" s="83">
        <f t="shared" ca="1" si="107"/>
        <v>0.58440273076047922</v>
      </c>
      <c r="AL52" s="83">
        <f t="shared" ca="1" si="108"/>
        <v>0.79183225424561665</v>
      </c>
      <c r="AM52" s="83">
        <f t="shared" ca="1" si="109"/>
        <v>0.94484273835526578</v>
      </c>
      <c r="AN52" s="83">
        <f t="shared" ca="1" si="110"/>
        <v>2.0786540243815845</v>
      </c>
      <c r="AO52" s="83">
        <f t="shared" ca="1" si="111"/>
        <v>0.47242136917763289</v>
      </c>
      <c r="AP52" s="83">
        <f t="shared" ca="1" si="112"/>
        <v>8.1950865303303289</v>
      </c>
      <c r="AQ52" s="83">
        <f t="shared" ca="1" si="113"/>
        <v>0.84492428143031306</v>
      </c>
      <c r="AR52" s="83">
        <f t="shared" ca="1" si="114"/>
        <v>1.3853293419929362</v>
      </c>
      <c r="AS52" s="83">
        <f t="shared" ca="1" si="115"/>
        <v>0.42246214071515653</v>
      </c>
      <c r="AT52" s="83">
        <f t="shared" ca="1" si="116"/>
        <v>0.66138991684868598</v>
      </c>
      <c r="AU52" s="83">
        <f t="shared" ca="1" si="117"/>
        <v>1.3997670197855789</v>
      </c>
      <c r="AV52" s="83">
        <f t="shared" ca="1" si="118"/>
        <v>0.33069495842434299</v>
      </c>
      <c r="AW52" s="83">
        <f t="shared" ca="1" si="119"/>
        <v>8.6812357312821291</v>
      </c>
      <c r="AX52" s="83">
        <f t="shared" ca="1" si="120"/>
        <v>1.6443526400143784</v>
      </c>
      <c r="AY52" s="83">
        <f t="shared" ca="1" si="121"/>
        <v>2.9511790697546347</v>
      </c>
      <c r="AZ52" s="83">
        <f t="shared" ca="1" si="122"/>
        <v>0.82217632000718921</v>
      </c>
      <c r="BA52" s="83">
        <f t="shared" ca="1" si="123"/>
        <v>1.0183305068940085</v>
      </c>
      <c r="BB52" s="83">
        <f t="shared" ca="1" si="124"/>
        <v>1.2177973072134536</v>
      </c>
      <c r="BC52" s="83">
        <f t="shared" ca="1" si="125"/>
        <v>7.6481686792595553</v>
      </c>
      <c r="BD52" s="83">
        <f t="shared" ca="1" si="126"/>
        <v>7.4999822014734487</v>
      </c>
      <c r="BE52" s="83">
        <f t="shared" ca="1" si="127"/>
        <v>1.5663596294208111</v>
      </c>
      <c r="BF52" s="83">
        <f t="shared" ca="1" si="128"/>
        <v>1.6972175114900143</v>
      </c>
      <c r="BG52" s="83">
        <f t="shared" ca="1" si="129"/>
        <v>0.92384623305848201</v>
      </c>
      <c r="BH52" s="83">
        <f t="shared" ca="1" si="130"/>
        <v>3.3075508136184912</v>
      </c>
      <c r="BI52" s="83">
        <f t="shared" ca="1" si="131"/>
        <v>7.6994909382314898</v>
      </c>
      <c r="BJ52" s="83">
        <f t="shared" ca="1" si="132"/>
        <v>0.33796971257212521</v>
      </c>
      <c r="BK52" s="83">
        <f t="shared" ca="1" si="133"/>
        <v>0.62989515890351044</v>
      </c>
      <c r="BL52" s="83">
        <f t="shared" ca="1" si="134"/>
        <v>0.23796039336354841</v>
      </c>
      <c r="BM52" s="83">
        <f t="shared" ca="1" si="135"/>
        <v>2.6477768980410494</v>
      </c>
      <c r="BN52" s="83">
        <f t="shared" ca="1" si="136"/>
        <v>11.358250968610637</v>
      </c>
      <c r="BO52" s="83">
        <f t="shared" ca="1" si="137"/>
        <v>0.8774213691776328</v>
      </c>
      <c r="BP52" s="83">
        <f t="shared" ca="1" si="138"/>
        <v>0.99383458404776082</v>
      </c>
      <c r="BQ52" s="83">
        <f t="shared" ca="1" si="139"/>
        <v>0.8538578820692031</v>
      </c>
      <c r="BR52" s="83">
        <f t="shared" ca="1" si="140"/>
        <v>3.9499622577333691</v>
      </c>
      <c r="BS52" s="83">
        <f t="shared" ca="1" si="141"/>
        <v>9.7933546448060529</v>
      </c>
      <c r="BT52" s="83">
        <f t="shared" ca="1" si="142"/>
        <v>0.7864295234851375</v>
      </c>
      <c r="BU52" s="83">
        <f t="shared" ca="1" si="143"/>
        <v>0.99383458404776082</v>
      </c>
      <c r="BV52" s="83">
        <f t="shared" ca="1" si="144"/>
        <v>0.8538578820692031</v>
      </c>
      <c r="BW52" s="83">
        <f t="shared" ca="1" si="145"/>
        <v>5.4778597464390231</v>
      </c>
      <c r="BX52" s="83">
        <f t="shared" ca="1" si="146"/>
        <v>7.9229787067702322</v>
      </c>
      <c r="BY52" s="83">
        <f t="shared" ca="1" si="147"/>
        <v>0.96191379732066407</v>
      </c>
      <c r="BZ52" s="83">
        <f t="shared" ca="1" si="148"/>
        <v>3.5245817069005447</v>
      </c>
      <c r="CA52" s="83">
        <f t="shared" ca="1" si="149"/>
        <v>3.4371965432707161</v>
      </c>
      <c r="CB52" s="83">
        <f t="shared" ca="1" si="150"/>
        <v>5.5693441606964047</v>
      </c>
      <c r="CC52" s="83">
        <f t="shared" ca="1" si="151"/>
        <v>3.4371965432707161</v>
      </c>
      <c r="CD52" s="83">
        <f t="shared" ca="1" si="152"/>
        <v>4.1507830388912259</v>
      </c>
      <c r="CE52" s="83">
        <f t="shared" ca="1" si="153"/>
        <v>5.8977026252161426</v>
      </c>
      <c r="CF52" s="83">
        <f t="shared" ca="1" si="154"/>
        <v>4.1507830388912259</v>
      </c>
      <c r="CG52" s="83">
        <f t="shared" ca="1" si="155"/>
        <v>2.1703089328205323</v>
      </c>
    </row>
    <row r="53" spans="1:85" x14ac:dyDescent="0.25">
      <c r="A53" t="str">
        <f t="shared" ref="A53:E53" si="184">A19</f>
        <v>V. Godoi</v>
      </c>
      <c r="B53">
        <f t="shared" si="184"/>
        <v>26</v>
      </c>
      <c r="C53">
        <f t="shared" ca="1" si="184"/>
        <v>7</v>
      </c>
      <c r="D53">
        <f t="shared" si="184"/>
        <v>0</v>
      </c>
      <c r="E53" s="265">
        <f t="shared" si="184"/>
        <v>43639</v>
      </c>
      <c r="F53" s="195">
        <f t="shared" ca="1" si="77"/>
        <v>0.21305928511808678</v>
      </c>
      <c r="G53" s="196">
        <f t="shared" ref="G53:H53" si="185">J19</f>
        <v>4.5999999999999996</v>
      </c>
      <c r="H53" s="49">
        <f t="shared" si="185"/>
        <v>0</v>
      </c>
      <c r="I53" s="49">
        <f t="shared" si="79"/>
        <v>3</v>
      </c>
      <c r="J53" s="49">
        <f t="shared" si="80"/>
        <v>9.3076923076923084</v>
      </c>
      <c r="K53" s="49">
        <f t="shared" si="81"/>
        <v>9</v>
      </c>
      <c r="L53" s="49">
        <f t="shared" si="82"/>
        <v>5</v>
      </c>
      <c r="M53" s="49">
        <f t="shared" si="83"/>
        <v>5</v>
      </c>
      <c r="N53" s="49">
        <f t="shared" si="84"/>
        <v>1</v>
      </c>
      <c r="O53" s="196">
        <f t="shared" si="85"/>
        <v>2</v>
      </c>
      <c r="P53" s="196">
        <f t="shared" ca="1" si="86"/>
        <v>3.6737874307993419</v>
      </c>
      <c r="Q53" s="196">
        <f t="shared" si="87"/>
        <v>0.27999999999999997</v>
      </c>
      <c r="R53" s="196">
        <f t="shared" si="88"/>
        <v>0.15000000000000002</v>
      </c>
      <c r="S53" s="196">
        <f t="shared" ca="1" si="89"/>
        <v>2.1824842612423638</v>
      </c>
      <c r="T53" s="83">
        <f t="shared" ca="1" si="90"/>
        <v>1.7854508719854421</v>
      </c>
      <c r="U53" s="83">
        <f t="shared" ca="1" si="91"/>
        <v>2.6908866846886661</v>
      </c>
      <c r="V53" s="83">
        <f t="shared" ca="1" si="92"/>
        <v>1.7854508719854421</v>
      </c>
      <c r="W53" s="83">
        <f t="shared" ca="1" si="93"/>
        <v>2.1139159793178557</v>
      </c>
      <c r="X53" s="83">
        <f t="shared" ca="1" si="94"/>
        <v>4.096736394026852</v>
      </c>
      <c r="Y53" s="83">
        <f t="shared" ca="1" si="95"/>
        <v>1.0569579896589278</v>
      </c>
      <c r="Z53" s="83">
        <f t="shared" ca="1" si="96"/>
        <v>2.4762540310091601</v>
      </c>
      <c r="AA53" s="83">
        <f t="shared" ca="1" si="97"/>
        <v>1.5485663569421499</v>
      </c>
      <c r="AB53" s="83">
        <f t="shared" ca="1" si="98"/>
        <v>2.9619404128814137</v>
      </c>
      <c r="AC53" s="83">
        <f t="shared" ca="1" si="99"/>
        <v>0.77428317847107497</v>
      </c>
      <c r="AD53" s="83">
        <f t="shared" ca="1" si="100"/>
        <v>4.0057050501618772</v>
      </c>
      <c r="AE53" s="326">
        <f t="shared" ca="1" si="101"/>
        <v>3.7689974825047039</v>
      </c>
      <c r="AF53" s="83">
        <f t="shared" ca="1" si="102"/>
        <v>1.6960488671271166</v>
      </c>
      <c r="AG53" s="83">
        <f t="shared" ca="1" si="103"/>
        <v>1.7375395931870998</v>
      </c>
      <c r="AH53" s="326">
        <f t="shared" ca="1" si="104"/>
        <v>5.9368809996877889</v>
      </c>
      <c r="AI53" s="83">
        <f t="shared" ca="1" si="105"/>
        <v>3.0889392410962464</v>
      </c>
      <c r="AJ53" s="83">
        <f t="shared" ca="1" si="106"/>
        <v>2.9004893669710112</v>
      </c>
      <c r="AK53" s="83">
        <f t="shared" ca="1" si="107"/>
        <v>0.35015497780248439</v>
      </c>
      <c r="AL53" s="83">
        <f t="shared" ca="1" si="108"/>
        <v>0.89186008147973339</v>
      </c>
      <c r="AM53" s="83">
        <f t="shared" ca="1" si="109"/>
        <v>1.1061188263872501</v>
      </c>
      <c r="AN53" s="83">
        <f t="shared" ca="1" si="110"/>
        <v>2.4334614180519498</v>
      </c>
      <c r="AO53" s="83">
        <f t="shared" ca="1" si="111"/>
        <v>0.55305941319362506</v>
      </c>
      <c r="AP53" s="83">
        <f t="shared" ca="1" si="112"/>
        <v>9.8217806944228876</v>
      </c>
      <c r="AQ53" s="83">
        <f t="shared" ca="1" si="113"/>
        <v>0.79257573122349079</v>
      </c>
      <c r="AR53" s="83">
        <f t="shared" ca="1" si="114"/>
        <v>1.7863437634498673</v>
      </c>
      <c r="AS53" s="83">
        <f t="shared" ca="1" si="115"/>
        <v>0.39628786561174539</v>
      </c>
      <c r="AT53" s="83">
        <f t="shared" ca="1" si="116"/>
        <v>0.77428317847107497</v>
      </c>
      <c r="AU53" s="83">
        <f t="shared" ca="1" si="117"/>
        <v>1.6386945576107408</v>
      </c>
      <c r="AV53" s="83">
        <f t="shared" ca="1" si="118"/>
        <v>0.38714158923553749</v>
      </c>
      <c r="AW53" s="83">
        <f t="shared" ca="1" si="119"/>
        <v>10.40442870171916</v>
      </c>
      <c r="AX53" s="83">
        <f t="shared" ca="1" si="120"/>
        <v>1.5424743076887935</v>
      </c>
      <c r="AY53" s="83">
        <f t="shared" ca="1" si="121"/>
        <v>3.3593017531087952</v>
      </c>
      <c r="AZ53" s="83">
        <f t="shared" ca="1" si="122"/>
        <v>0.77123715384439673</v>
      </c>
      <c r="BA53" s="83">
        <f t="shared" ca="1" si="123"/>
        <v>1.1921502906618138</v>
      </c>
      <c r="BB53" s="83">
        <f t="shared" ca="1" si="124"/>
        <v>1.4256642651213445</v>
      </c>
      <c r="BC53" s="83">
        <f t="shared" ca="1" si="125"/>
        <v>9.166301686214581</v>
      </c>
      <c r="BD53" s="83">
        <f t="shared" ca="1" si="126"/>
        <v>7.7159986542898711</v>
      </c>
      <c r="BE53" s="83">
        <f t="shared" ca="1" si="127"/>
        <v>1.4693134709604714</v>
      </c>
      <c r="BF53" s="83">
        <f t="shared" ca="1" si="128"/>
        <v>1.9869171511030232</v>
      </c>
      <c r="BG53" s="83">
        <f t="shared" ca="1" si="129"/>
        <v>1.081538408023089</v>
      </c>
      <c r="BH53" s="83">
        <f t="shared" ca="1" si="130"/>
        <v>3.9640873353550004</v>
      </c>
      <c r="BI53" s="83">
        <f t="shared" ca="1" si="131"/>
        <v>8.0205476083794682</v>
      </c>
      <c r="BJ53" s="83">
        <f t="shared" ca="1" si="132"/>
        <v>0.31703029248939629</v>
      </c>
      <c r="BK53" s="83">
        <f t="shared" ca="1" si="133"/>
        <v>0.73741255092483338</v>
      </c>
      <c r="BL53" s="83">
        <f t="shared" ca="1" si="134"/>
        <v>0.27857807479382596</v>
      </c>
      <c r="BM53" s="83">
        <f t="shared" ca="1" si="135"/>
        <v>3.173350754024344</v>
      </c>
      <c r="BN53" s="83">
        <f t="shared" ca="1" si="136"/>
        <v>11.840403002718531</v>
      </c>
      <c r="BO53" s="83">
        <f t="shared" ca="1" si="137"/>
        <v>0.82305941319362508</v>
      </c>
      <c r="BP53" s="83">
        <f t="shared" ca="1" si="138"/>
        <v>1.1634731359036259</v>
      </c>
      <c r="BQ53" s="83">
        <f t="shared" ca="1" si="139"/>
        <v>0.99960368014255185</v>
      </c>
      <c r="BR53" s="83">
        <f t="shared" ca="1" si="140"/>
        <v>4.7340150592822186</v>
      </c>
      <c r="BS53" s="83">
        <f t="shared" ca="1" si="141"/>
        <v>10.211183924581752</v>
      </c>
      <c r="BT53" s="83">
        <f t="shared" ca="1" si="142"/>
        <v>0.73770510367724906</v>
      </c>
      <c r="BU53" s="83">
        <f t="shared" ca="1" si="143"/>
        <v>1.1634731359036259</v>
      </c>
      <c r="BV53" s="83">
        <f t="shared" ca="1" si="144"/>
        <v>0.99960368014255185</v>
      </c>
      <c r="BW53" s="83">
        <f t="shared" ca="1" si="145"/>
        <v>6.5651945107847904</v>
      </c>
      <c r="BX53" s="83">
        <f t="shared" ca="1" si="146"/>
        <v>8.2645790726540316</v>
      </c>
      <c r="BY53" s="83">
        <f t="shared" ca="1" si="147"/>
        <v>0.90231698631597401</v>
      </c>
      <c r="BZ53" s="83">
        <f t="shared" ca="1" si="148"/>
        <v>4.2241980528979797</v>
      </c>
      <c r="CA53" s="83">
        <f t="shared" ca="1" si="149"/>
        <v>3.7523996612879893</v>
      </c>
      <c r="CB53" s="83">
        <f t="shared" ca="1" si="150"/>
        <v>6.8649251796742359</v>
      </c>
      <c r="CC53" s="83">
        <f t="shared" ca="1" si="151"/>
        <v>3.7523996612879893</v>
      </c>
      <c r="CD53" s="83">
        <f t="shared" ca="1" si="152"/>
        <v>4.8868713593480262</v>
      </c>
      <c r="CE53" s="83">
        <f t="shared" ca="1" si="153"/>
        <v>8.3464321234227601</v>
      </c>
      <c r="CF53" s="83">
        <f t="shared" ca="1" si="154"/>
        <v>4.8868713593480262</v>
      </c>
      <c r="CG53" s="83">
        <f t="shared" ca="1" si="155"/>
        <v>2.6011071754297901</v>
      </c>
    </row>
    <row r="54" spans="1:85" x14ac:dyDescent="0.25">
      <c r="A54" t="str">
        <f t="shared" ref="A54:E54" si="186">A20</f>
        <v>P. Tuderek</v>
      </c>
      <c r="B54">
        <f t="shared" si="186"/>
        <v>18</v>
      </c>
      <c r="C54">
        <f t="shared" ca="1" si="186"/>
        <v>100</v>
      </c>
      <c r="D54" t="str">
        <f t="shared" si="186"/>
        <v>CAB</v>
      </c>
      <c r="E54" s="265">
        <f t="shared" si="186"/>
        <v>43626</v>
      </c>
      <c r="F54" s="195">
        <f t="shared" ca="1" si="77"/>
        <v>0.26826417179081041</v>
      </c>
      <c r="G54" s="196">
        <f t="shared" ref="G54:H54" si="187">J20</f>
        <v>1.2</v>
      </c>
      <c r="H54" s="49">
        <f t="shared" si="187"/>
        <v>0</v>
      </c>
      <c r="I54" s="49">
        <f t="shared" si="79"/>
        <v>6</v>
      </c>
      <c r="J54" s="49">
        <f t="shared" si="80"/>
        <v>7</v>
      </c>
      <c r="K54" s="49">
        <f t="shared" si="81"/>
        <v>2</v>
      </c>
      <c r="L54" s="49">
        <f t="shared" si="82"/>
        <v>3</v>
      </c>
      <c r="M54" s="49">
        <f t="shared" si="83"/>
        <v>6</v>
      </c>
      <c r="N54" s="49">
        <f t="shared" si="84"/>
        <v>8</v>
      </c>
      <c r="O54" s="196">
        <f t="shared" si="85"/>
        <v>1.875</v>
      </c>
      <c r="P54" s="196">
        <f t="shared" ca="1" si="86"/>
        <v>7.5861845580113592</v>
      </c>
      <c r="Q54" s="196">
        <f t="shared" si="87"/>
        <v>0.54</v>
      </c>
      <c r="R54" s="196">
        <f t="shared" si="88"/>
        <v>0.48000000000000009</v>
      </c>
      <c r="S54" s="196">
        <f t="shared" ca="1" si="89"/>
        <v>8.4633125947615166</v>
      </c>
      <c r="T54" s="83">
        <f t="shared" ca="1" si="90"/>
        <v>1.9823615923728131</v>
      </c>
      <c r="U54" s="83">
        <f t="shared" ca="1" si="91"/>
        <v>3.0326263639785807</v>
      </c>
      <c r="V54" s="83">
        <f t="shared" ca="1" si="92"/>
        <v>1.9823615923728131</v>
      </c>
      <c r="W54" s="83">
        <f t="shared" ca="1" si="93"/>
        <v>3.2889010099248241</v>
      </c>
      <c r="X54" s="83">
        <f t="shared" ca="1" si="94"/>
        <v>6.3738391665209768</v>
      </c>
      <c r="Y54" s="83">
        <f t="shared" ca="1" si="95"/>
        <v>1.6444505049624121</v>
      </c>
      <c r="Z54" s="83">
        <f t="shared" ca="1" si="96"/>
        <v>1.7549737216319925</v>
      </c>
      <c r="AA54" s="83">
        <f t="shared" ca="1" si="97"/>
        <v>2.4093112049449292</v>
      </c>
      <c r="AB54" s="83">
        <f t="shared" ca="1" si="98"/>
        <v>4.6082857173946659</v>
      </c>
      <c r="AC54" s="83">
        <f t="shared" ca="1" si="99"/>
        <v>1.2046556024724646</v>
      </c>
      <c r="AD54" s="83">
        <f t="shared" ca="1" si="100"/>
        <v>2.838928079110576</v>
      </c>
      <c r="AE54" s="326">
        <f t="shared" ca="1" si="101"/>
        <v>5.8639320331992986</v>
      </c>
      <c r="AF54" s="83">
        <f t="shared" ca="1" si="102"/>
        <v>2.6387694149396843</v>
      </c>
      <c r="AG54" s="83">
        <f t="shared" ca="1" si="103"/>
        <v>1.2314311408090033</v>
      </c>
      <c r="AH54" s="326">
        <f t="shared" ca="1" si="104"/>
        <v>1.3958174299143342</v>
      </c>
      <c r="AI54" s="83">
        <f t="shared" ca="1" si="105"/>
        <v>4.8058747315568162</v>
      </c>
      <c r="AJ54" s="83">
        <f t="shared" ca="1" si="106"/>
        <v>4.5126781298968517</v>
      </c>
      <c r="AK54" s="83">
        <f t="shared" ca="1" si="107"/>
        <v>1.3984311408090031</v>
      </c>
      <c r="AL54" s="83">
        <f t="shared" ca="1" si="108"/>
        <v>0.64766567995804125</v>
      </c>
      <c r="AM54" s="83">
        <f t="shared" ca="1" si="109"/>
        <v>1.7209365749606638</v>
      </c>
      <c r="AN54" s="83">
        <f t="shared" ca="1" si="110"/>
        <v>3.7860604649134602</v>
      </c>
      <c r="AO54" s="83">
        <f t="shared" ca="1" si="111"/>
        <v>0.86046828748033188</v>
      </c>
      <c r="AP54" s="83">
        <f t="shared" ca="1" si="112"/>
        <v>6.9609041731958019</v>
      </c>
      <c r="AQ54" s="83">
        <f t="shared" ca="1" si="113"/>
        <v>0.43859909164772698</v>
      </c>
      <c r="AR54" s="83">
        <f t="shared" ca="1" si="114"/>
        <v>1.5075348757906462</v>
      </c>
      <c r="AS54" s="83">
        <f t="shared" ca="1" si="115"/>
        <v>0.21929954582386349</v>
      </c>
      <c r="AT54" s="83">
        <f t="shared" ca="1" si="116"/>
        <v>1.2046556024724646</v>
      </c>
      <c r="AU54" s="83">
        <f t="shared" ca="1" si="117"/>
        <v>2.5495356666083908</v>
      </c>
      <c r="AV54" s="83">
        <f t="shared" ca="1" si="118"/>
        <v>0.60232780123623231</v>
      </c>
      <c r="AW54" s="83">
        <f t="shared" ca="1" si="119"/>
        <v>7.3738391665209768</v>
      </c>
      <c r="AX54" s="83">
        <f t="shared" ca="1" si="120"/>
        <v>0.85358130912980712</v>
      </c>
      <c r="AY54" s="83">
        <f t="shared" ca="1" si="121"/>
        <v>2.488985380753058</v>
      </c>
      <c r="AZ54" s="83">
        <f t="shared" ca="1" si="122"/>
        <v>0.42679065456490356</v>
      </c>
      <c r="BA54" s="83">
        <f t="shared" ca="1" si="123"/>
        <v>1.8547871974576042</v>
      </c>
      <c r="BB54" s="83">
        <f t="shared" ca="1" si="124"/>
        <v>2.2180960299493</v>
      </c>
      <c r="BC54" s="83">
        <f t="shared" ca="1" si="125"/>
        <v>6.4963523057049803</v>
      </c>
      <c r="BD54" s="83">
        <f t="shared" ca="1" si="126"/>
        <v>2.4253430190371486</v>
      </c>
      <c r="BE54" s="83">
        <f t="shared" ca="1" si="127"/>
        <v>0.81309523913155535</v>
      </c>
      <c r="BF54" s="83">
        <f t="shared" ca="1" si="128"/>
        <v>3.0913119957626738</v>
      </c>
      <c r="BG54" s="83">
        <f t="shared" ca="1" si="129"/>
        <v>1.6826935399615379</v>
      </c>
      <c r="BH54" s="83">
        <f t="shared" ca="1" si="130"/>
        <v>2.8094327224444924</v>
      </c>
      <c r="BI54" s="83">
        <f t="shared" ca="1" si="131"/>
        <v>2.2757354315393341</v>
      </c>
      <c r="BJ54" s="83">
        <f t="shared" ca="1" si="132"/>
        <v>0.17543963665909079</v>
      </c>
      <c r="BK54" s="83">
        <f t="shared" ca="1" si="133"/>
        <v>1.1472910499737758</v>
      </c>
      <c r="BL54" s="83">
        <f t="shared" ca="1" si="134"/>
        <v>0.43342106332342645</v>
      </c>
      <c r="BM54" s="83">
        <f t="shared" ca="1" si="135"/>
        <v>2.2490209457888977</v>
      </c>
      <c r="BN54" s="83">
        <f t="shared" ca="1" si="136"/>
        <v>3.338757168145976</v>
      </c>
      <c r="BO54" s="83">
        <f t="shared" ca="1" si="137"/>
        <v>0.45546828748033191</v>
      </c>
      <c r="BP54" s="83">
        <f t="shared" ca="1" si="138"/>
        <v>1.8101703232919573</v>
      </c>
      <c r="BQ54" s="83">
        <f t="shared" ca="1" si="139"/>
        <v>1.5552167566311184</v>
      </c>
      <c r="BR54" s="83">
        <f t="shared" ca="1" si="140"/>
        <v>3.3550968207670446</v>
      </c>
      <c r="BS54" s="83">
        <f t="shared" ca="1" si="141"/>
        <v>2.8742137965052423</v>
      </c>
      <c r="BT54" s="83">
        <f t="shared" ca="1" si="142"/>
        <v>0.40823453914903818</v>
      </c>
      <c r="BU54" s="83">
        <f t="shared" ca="1" si="143"/>
        <v>1.8101703232919573</v>
      </c>
      <c r="BV54" s="83">
        <f t="shared" ca="1" si="144"/>
        <v>1.5552167566311184</v>
      </c>
      <c r="BW54" s="83">
        <f t="shared" ca="1" si="145"/>
        <v>4.6528925140747361</v>
      </c>
      <c r="BX54" s="83">
        <f t="shared" ca="1" si="146"/>
        <v>2.317586054036274</v>
      </c>
      <c r="BY54" s="83">
        <f t="shared" ca="1" si="147"/>
        <v>0.49932819664510453</v>
      </c>
      <c r="BZ54" s="83">
        <f t="shared" ca="1" si="148"/>
        <v>2.9937787016075168</v>
      </c>
      <c r="CA54" s="83">
        <f t="shared" ca="1" si="149"/>
        <v>1.9947702057574288</v>
      </c>
      <c r="CB54" s="83">
        <f t="shared" ca="1" si="150"/>
        <v>5.5479429015026192</v>
      </c>
      <c r="CC54" s="83">
        <f t="shared" ca="1" si="151"/>
        <v>1.9947702057574288</v>
      </c>
      <c r="CD54" s="83">
        <f t="shared" ca="1" si="152"/>
        <v>2.8511531160769579</v>
      </c>
      <c r="CE54" s="83">
        <f t="shared" ca="1" si="153"/>
        <v>7.6187858189672175</v>
      </c>
      <c r="CF54" s="83">
        <f t="shared" ca="1" si="154"/>
        <v>2.8511531160769579</v>
      </c>
      <c r="CG54" s="83">
        <f t="shared" ca="1" si="155"/>
        <v>1.8434597916302442</v>
      </c>
    </row>
    <row r="55" spans="1:85" x14ac:dyDescent="0.25">
      <c r="A55" t="str">
        <f t="shared" ref="A55:E55" si="188">A21</f>
        <v>G. Stoychev</v>
      </c>
      <c r="B55">
        <f t="shared" si="188"/>
        <v>24</v>
      </c>
      <c r="C55">
        <f t="shared" ca="1" si="188"/>
        <v>3</v>
      </c>
      <c r="D55" t="str">
        <f t="shared" si="188"/>
        <v>IMP</v>
      </c>
      <c r="E55" s="265">
        <f t="shared" si="188"/>
        <v>43650</v>
      </c>
      <c r="F55" s="195">
        <f t="shared" ca="1" si="77"/>
        <v>0.15905420932620543</v>
      </c>
      <c r="G55" s="196">
        <f t="shared" ref="G55:H55" si="189">J21</f>
        <v>3.7</v>
      </c>
      <c r="H55" s="49">
        <f t="shared" si="189"/>
        <v>0</v>
      </c>
      <c r="I55" s="49">
        <f t="shared" si="79"/>
        <v>9</v>
      </c>
      <c r="J55" s="49">
        <f t="shared" si="80"/>
        <v>8.1818181818181817</v>
      </c>
      <c r="K55" s="49">
        <f t="shared" si="81"/>
        <v>9</v>
      </c>
      <c r="L55" s="49">
        <f t="shared" si="82"/>
        <v>5</v>
      </c>
      <c r="M55" s="49">
        <f t="shared" si="83"/>
        <v>5</v>
      </c>
      <c r="N55" s="49">
        <f t="shared" si="84"/>
        <v>3</v>
      </c>
      <c r="O55" s="196">
        <f t="shared" si="85"/>
        <v>2.75</v>
      </c>
      <c r="P55" s="196">
        <f t="shared" ca="1" si="86"/>
        <v>4.3758108828616606</v>
      </c>
      <c r="Q55" s="196">
        <f t="shared" si="87"/>
        <v>0.33999999999999997</v>
      </c>
      <c r="R55" s="196">
        <f t="shared" si="88"/>
        <v>0.45</v>
      </c>
      <c r="S55" s="196">
        <f t="shared" ca="1" si="89"/>
        <v>3.9953997315588285</v>
      </c>
      <c r="T55" s="83">
        <f t="shared" ca="1" si="90"/>
        <v>3.2842411315557594</v>
      </c>
      <c r="U55" s="83">
        <f t="shared" ca="1" si="91"/>
        <v>5.0084035519341175</v>
      </c>
      <c r="V55" s="83">
        <f t="shared" ca="1" si="92"/>
        <v>3.2842411315557594</v>
      </c>
      <c r="W55" s="83">
        <f t="shared" ca="1" si="93"/>
        <v>5.1169947581704145</v>
      </c>
      <c r="X55" s="83">
        <f t="shared" ca="1" si="94"/>
        <v>9.9166565080821982</v>
      </c>
      <c r="Y55" s="83">
        <f t="shared" ca="1" si="95"/>
        <v>2.5584973790852072</v>
      </c>
      <c r="Z55" s="83">
        <f t="shared" ca="1" si="96"/>
        <v>2.1654369761962902</v>
      </c>
      <c r="AA55" s="83">
        <f t="shared" ca="1" si="97"/>
        <v>3.7484961600550708</v>
      </c>
      <c r="AB55" s="83">
        <f t="shared" ca="1" si="98"/>
        <v>7.1697426553434287</v>
      </c>
      <c r="AC55" s="83">
        <f t="shared" ca="1" si="99"/>
        <v>1.8742480800275354</v>
      </c>
      <c r="AD55" s="83">
        <f t="shared" ca="1" si="100"/>
        <v>3.5029127556116464</v>
      </c>
      <c r="AE55" s="326">
        <f t="shared" ca="1" si="101"/>
        <v>9.1233239874356222</v>
      </c>
      <c r="AF55" s="83">
        <f t="shared" ca="1" si="102"/>
        <v>4.1054957943460302</v>
      </c>
      <c r="AG55" s="83">
        <f t="shared" ca="1" si="103"/>
        <v>1.5194452732133634</v>
      </c>
      <c r="AH55" s="326">
        <f t="shared" ca="1" si="104"/>
        <v>5.8309940267523324</v>
      </c>
      <c r="AI55" s="83">
        <f t="shared" ca="1" si="105"/>
        <v>7.4771590070939773</v>
      </c>
      <c r="AJ55" s="83">
        <f t="shared" ca="1" si="106"/>
        <v>7.0209928077221964</v>
      </c>
      <c r="AK55" s="83">
        <f t="shared" ca="1" si="107"/>
        <v>0.6540816368497272</v>
      </c>
      <c r="AL55" s="83">
        <f t="shared" ca="1" si="108"/>
        <v>1.0559970743276732</v>
      </c>
      <c r="AM55" s="83">
        <f t="shared" ca="1" si="109"/>
        <v>2.6774972571821936</v>
      </c>
      <c r="AN55" s="83">
        <f t="shared" ca="1" si="110"/>
        <v>5.8904939658008253</v>
      </c>
      <c r="AO55" s="83">
        <f t="shared" ca="1" si="111"/>
        <v>1.3387486285910968</v>
      </c>
      <c r="AP55" s="83">
        <f t="shared" ca="1" si="112"/>
        <v>8.588960107265958</v>
      </c>
      <c r="AQ55" s="83">
        <f t="shared" ca="1" si="113"/>
        <v>0.76916534605068587</v>
      </c>
      <c r="AR55" s="83">
        <f t="shared" ca="1" si="114"/>
        <v>1.7335803568680843</v>
      </c>
      <c r="AS55" s="83">
        <f t="shared" ca="1" si="115"/>
        <v>0.38458267302534294</v>
      </c>
      <c r="AT55" s="83">
        <f t="shared" ca="1" si="116"/>
        <v>1.8742480800275354</v>
      </c>
      <c r="AU55" s="83">
        <f t="shared" ca="1" si="117"/>
        <v>3.9666626032328796</v>
      </c>
      <c r="AV55" s="83">
        <f t="shared" ca="1" si="118"/>
        <v>0.9371240400137677</v>
      </c>
      <c r="AW55" s="83">
        <f t="shared" ca="1" si="119"/>
        <v>9.0984746899003799</v>
      </c>
      <c r="AX55" s="83">
        <f t="shared" ca="1" si="120"/>
        <v>1.4969140965447965</v>
      </c>
      <c r="AY55" s="83">
        <f t="shared" ca="1" si="121"/>
        <v>3.2600777359532915</v>
      </c>
      <c r="AZ55" s="83">
        <f t="shared" ca="1" si="122"/>
        <v>0.74845704827239823</v>
      </c>
      <c r="BA55" s="83">
        <f t="shared" ca="1" si="123"/>
        <v>2.8857470438519197</v>
      </c>
      <c r="BB55" s="83">
        <f t="shared" ca="1" si="124"/>
        <v>3.4509964648126048</v>
      </c>
      <c r="BC55" s="83">
        <f t="shared" ca="1" si="125"/>
        <v>8.015756201802235</v>
      </c>
      <c r="BD55" s="83">
        <f t="shared" ca="1" si="126"/>
        <v>7.5559076356850738</v>
      </c>
      <c r="BE55" s="83">
        <f t="shared" ca="1" si="127"/>
        <v>1.42591421844781</v>
      </c>
      <c r="BF55" s="83">
        <f t="shared" ca="1" si="128"/>
        <v>4.8095784064198659</v>
      </c>
      <c r="BG55" s="83">
        <f t="shared" ca="1" si="129"/>
        <v>2.6179973181337006</v>
      </c>
      <c r="BH55" s="83">
        <f t="shared" ca="1" si="130"/>
        <v>3.4665188568520446</v>
      </c>
      <c r="BI55" s="83">
        <f t="shared" ca="1" si="131"/>
        <v>7.8631577880638419</v>
      </c>
      <c r="BJ55" s="83">
        <f t="shared" ca="1" si="132"/>
        <v>0.30766613842027435</v>
      </c>
      <c r="BK55" s="83">
        <f t="shared" ca="1" si="133"/>
        <v>1.7849981714547956</v>
      </c>
      <c r="BL55" s="83">
        <f t="shared" ca="1" si="134"/>
        <v>0.67433264254958958</v>
      </c>
      <c r="BM55" s="83">
        <f t="shared" ca="1" si="135"/>
        <v>2.7750347804196158</v>
      </c>
      <c r="BN55" s="83">
        <f t="shared" ca="1" si="136"/>
        <v>11.608820269393707</v>
      </c>
      <c r="BO55" s="83">
        <f t="shared" ca="1" si="137"/>
        <v>0.79874862859109697</v>
      </c>
      <c r="BP55" s="83">
        <f t="shared" ca="1" si="138"/>
        <v>2.8163304482953442</v>
      </c>
      <c r="BQ55" s="83">
        <f t="shared" ca="1" si="139"/>
        <v>2.4196641879720562</v>
      </c>
      <c r="BR55" s="83">
        <f t="shared" ca="1" si="140"/>
        <v>4.1398059839046732</v>
      </c>
      <c r="BS55" s="83">
        <f t="shared" ca="1" si="141"/>
        <v>10.011655410955075</v>
      </c>
      <c r="BT55" s="83">
        <f t="shared" ca="1" si="142"/>
        <v>0.71591543747794606</v>
      </c>
      <c r="BU55" s="83">
        <f t="shared" ca="1" si="143"/>
        <v>2.8163304482953442</v>
      </c>
      <c r="BV55" s="83">
        <f t="shared" ca="1" si="144"/>
        <v>2.4196641879720562</v>
      </c>
      <c r="BW55" s="83">
        <f t="shared" ca="1" si="145"/>
        <v>5.7411375293271396</v>
      </c>
      <c r="BX55" s="83">
        <f t="shared" ca="1" si="146"/>
        <v>8.1034075747335663</v>
      </c>
      <c r="BY55" s="83">
        <f t="shared" ca="1" si="147"/>
        <v>0.87566516319616539</v>
      </c>
      <c r="BZ55" s="83">
        <f t="shared" ca="1" si="148"/>
        <v>3.6939807240995544</v>
      </c>
      <c r="CA55" s="83">
        <f t="shared" ca="1" si="149"/>
        <v>3.6585780407108253</v>
      </c>
      <c r="CB55" s="83">
        <f t="shared" ca="1" si="150"/>
        <v>6.6621552281005556</v>
      </c>
      <c r="CC55" s="83">
        <f t="shared" ca="1" si="151"/>
        <v>3.6585780407108253</v>
      </c>
      <c r="CD55" s="83">
        <f t="shared" ca="1" si="152"/>
        <v>4.7887229101103959</v>
      </c>
      <c r="CE55" s="83">
        <f t="shared" ca="1" si="153"/>
        <v>8.0999027595645305</v>
      </c>
      <c r="CF55" s="83">
        <f t="shared" ca="1" si="154"/>
        <v>4.7887229101103959</v>
      </c>
      <c r="CG55" s="83">
        <f t="shared" ca="1" si="155"/>
        <v>2.274618672475095</v>
      </c>
    </row>
    <row r="56" spans="1:85" x14ac:dyDescent="0.25">
      <c r="A56" t="str">
        <f t="shared" ref="A56:E56" si="190">A22</f>
        <v>K. Helms</v>
      </c>
      <c r="B56">
        <f t="shared" si="190"/>
        <v>35</v>
      </c>
      <c r="C56">
        <f t="shared" ca="1" si="190"/>
        <v>63</v>
      </c>
      <c r="D56" t="str">
        <f t="shared" si="190"/>
        <v>TEC</v>
      </c>
      <c r="E56" s="265">
        <f t="shared" si="190"/>
        <v>36526</v>
      </c>
      <c r="F56" s="195">
        <f t="shared" si="77"/>
        <v>1.5</v>
      </c>
      <c r="G56" s="196">
        <f t="shared" ref="G56:H56" si="191">J22</f>
        <v>13.6</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196">
        <f t="shared" si="85"/>
        <v>3.7687878787878786</v>
      </c>
      <c r="P56" s="196">
        <f t="shared" si="86"/>
        <v>15.512161316664242</v>
      </c>
      <c r="Q56" s="196">
        <f t="shared" si="87"/>
        <v>0.73750000000000004</v>
      </c>
      <c r="R56" s="196">
        <f t="shared" si="88"/>
        <v>0.8300121212121212</v>
      </c>
      <c r="S56" s="196">
        <f t="shared" ca="1" si="89"/>
        <v>20.511385211160288</v>
      </c>
      <c r="T56" s="83">
        <f t="shared" si="90"/>
        <v>4.6300229257065695</v>
      </c>
      <c r="U56" s="83">
        <f t="shared" si="91"/>
        <v>6.9690770954867221</v>
      </c>
      <c r="V56" s="83">
        <f t="shared" si="92"/>
        <v>4.6300229257065695</v>
      </c>
      <c r="W56" s="83">
        <f t="shared" si="93"/>
        <v>5.2950311325950734</v>
      </c>
      <c r="X56" s="83">
        <f t="shared" si="94"/>
        <v>10.26168824146332</v>
      </c>
      <c r="Y56" s="83">
        <f t="shared" si="95"/>
        <v>2.6475155662975367</v>
      </c>
      <c r="Z56" s="83">
        <f t="shared" si="96"/>
        <v>3.23950968025615</v>
      </c>
      <c r="AA56" s="83">
        <f t="shared" si="97"/>
        <v>3.8789181552731349</v>
      </c>
      <c r="AB56" s="83">
        <f t="shared" si="98"/>
        <v>7.4192005985779801</v>
      </c>
      <c r="AC56" s="83">
        <f t="shared" si="99"/>
        <v>1.9394590776365674</v>
      </c>
      <c r="AD56" s="83">
        <f t="shared" si="100"/>
        <v>5.2403833062967138</v>
      </c>
      <c r="AE56" s="326">
        <f t="shared" si="101"/>
        <v>9.4407531821462545</v>
      </c>
      <c r="AF56" s="83">
        <f t="shared" si="102"/>
        <v>4.2483389319658142</v>
      </c>
      <c r="AG56" s="83">
        <f t="shared" si="103"/>
        <v>2.2731013302637693</v>
      </c>
      <c r="AH56" s="326">
        <f t="shared" si="104"/>
        <v>9.3852945041622498</v>
      </c>
      <c r="AI56" s="83">
        <f t="shared" si="105"/>
        <v>7.7373129340633433</v>
      </c>
      <c r="AJ56" s="83">
        <f t="shared" si="106"/>
        <v>7.2652752749560303</v>
      </c>
      <c r="AK56" s="83">
        <f t="shared" si="107"/>
        <v>3.5089013302637682</v>
      </c>
      <c r="AL56" s="83">
        <f t="shared" si="108"/>
        <v>1.9526898499050724</v>
      </c>
      <c r="AM56" s="83">
        <f t="shared" si="109"/>
        <v>2.7706558251950963</v>
      </c>
      <c r="AN56" s="83">
        <f t="shared" si="110"/>
        <v>6.0954428154292115</v>
      </c>
      <c r="AO56" s="83">
        <f t="shared" si="111"/>
        <v>1.3853279125975482</v>
      </c>
      <c r="AP56" s="83">
        <f t="shared" si="112"/>
        <v>12.849147639335317</v>
      </c>
      <c r="AQ56" s="83">
        <f t="shared" si="113"/>
        <v>1.6849800774508377</v>
      </c>
      <c r="AR56" s="83">
        <f t="shared" si="114"/>
        <v>2.7596858668699644</v>
      </c>
      <c r="AS56" s="83">
        <f t="shared" si="115"/>
        <v>0.84249003872541883</v>
      </c>
      <c r="AT56" s="83">
        <f t="shared" si="116"/>
        <v>1.9394590776365674</v>
      </c>
      <c r="AU56" s="83">
        <f t="shared" si="117"/>
        <v>4.1046752965853281</v>
      </c>
      <c r="AV56" s="83">
        <f t="shared" si="118"/>
        <v>0.96972953881828372</v>
      </c>
      <c r="AW56" s="83">
        <f t="shared" si="119"/>
        <v>13.611385211160295</v>
      </c>
      <c r="AX56" s="83">
        <f t="shared" si="120"/>
        <v>3.279230458423553</v>
      </c>
      <c r="AY56" s="83">
        <f t="shared" si="121"/>
        <v>5.8817232513493201</v>
      </c>
      <c r="AZ56" s="83">
        <f t="shared" si="122"/>
        <v>1.6396152292117765</v>
      </c>
      <c r="BA56" s="83">
        <f t="shared" si="123"/>
        <v>2.9861512782658259</v>
      </c>
      <c r="BB56" s="83">
        <f t="shared" si="124"/>
        <v>3.5710675080292349</v>
      </c>
      <c r="BC56" s="83">
        <f t="shared" si="125"/>
        <v>11.991630371032221</v>
      </c>
      <c r="BD56" s="83">
        <f t="shared" si="126"/>
        <v>13.244671452721498</v>
      </c>
      <c r="BE56" s="83">
        <f t="shared" si="127"/>
        <v>3.1236938358896298</v>
      </c>
      <c r="BF56" s="83">
        <f t="shared" si="128"/>
        <v>4.9769187971097102</v>
      </c>
      <c r="BG56" s="83">
        <f t="shared" si="129"/>
        <v>2.7090856957463165</v>
      </c>
      <c r="BH56" s="83">
        <f t="shared" si="130"/>
        <v>5.1859377654520724</v>
      </c>
      <c r="BI56" s="83">
        <f t="shared" si="131"/>
        <v>13.347250674554093</v>
      </c>
      <c r="BJ56" s="83">
        <f t="shared" si="132"/>
        <v>0.673992030980335</v>
      </c>
      <c r="BK56" s="83">
        <f t="shared" si="133"/>
        <v>1.8471038834633975</v>
      </c>
      <c r="BL56" s="83">
        <f t="shared" si="134"/>
        <v>0.69779480041950581</v>
      </c>
      <c r="BM56" s="83">
        <f t="shared" si="135"/>
        <v>4.1514724894038899</v>
      </c>
      <c r="BN56" s="83">
        <f t="shared" si="136"/>
        <v>19.668341381552132</v>
      </c>
      <c r="BO56" s="83">
        <f t="shared" si="137"/>
        <v>1.7497870035066392</v>
      </c>
      <c r="BP56" s="83">
        <f t="shared" si="138"/>
        <v>2.9143194605755824</v>
      </c>
      <c r="BQ56" s="83">
        <f t="shared" si="139"/>
        <v>2.5038519309170502</v>
      </c>
      <c r="BR56" s="83">
        <f t="shared" si="140"/>
        <v>6.1931802710779342</v>
      </c>
      <c r="BS56" s="83">
        <f t="shared" si="141"/>
        <v>16.953214813965602</v>
      </c>
      <c r="BT56" s="83">
        <f t="shared" si="142"/>
        <v>1.5683276105503949</v>
      </c>
      <c r="BU56" s="83">
        <f t="shared" si="143"/>
        <v>2.9143194605755824</v>
      </c>
      <c r="BV56" s="83">
        <f t="shared" si="144"/>
        <v>2.5038519309170502</v>
      </c>
      <c r="BW56" s="83">
        <f t="shared" si="145"/>
        <v>8.5887840682421466</v>
      </c>
      <c r="BX56" s="83">
        <f t="shared" si="146"/>
        <v>13.706439763988458</v>
      </c>
      <c r="BY56" s="83">
        <f t="shared" si="147"/>
        <v>1.9182850112517227</v>
      </c>
      <c r="BZ56" s="83">
        <f t="shared" si="148"/>
        <v>5.5262223957310797</v>
      </c>
      <c r="CA56" s="83">
        <f t="shared" si="149"/>
        <v>7.4777925119073343</v>
      </c>
      <c r="CB56" s="83">
        <f t="shared" si="150"/>
        <v>11.096519747766486</v>
      </c>
      <c r="CC56" s="83">
        <f t="shared" si="151"/>
        <v>7.4777925119073343</v>
      </c>
      <c r="CD56" s="83">
        <f t="shared" si="152"/>
        <v>7.0479429865528598</v>
      </c>
      <c r="CE56" s="83">
        <f t="shared" si="153"/>
        <v>11.744136354078437</v>
      </c>
      <c r="CF56" s="83">
        <f t="shared" si="154"/>
        <v>7.0479429865528598</v>
      </c>
      <c r="CG56" s="83">
        <f t="shared" si="155"/>
        <v>3.4028463027900737</v>
      </c>
    </row>
    <row r="57" spans="1:85" x14ac:dyDescent="0.25">
      <c r="A57" t="str">
        <f t="shared" ref="A57:E57" si="192">A23</f>
        <v>S. Zobbe</v>
      </c>
      <c r="B57">
        <f t="shared" si="192"/>
        <v>32</v>
      </c>
      <c r="C57">
        <f t="shared" ca="1" si="192"/>
        <v>78</v>
      </c>
      <c r="D57" t="str">
        <f t="shared" si="192"/>
        <v>CAB</v>
      </c>
      <c r="E57" s="265">
        <f t="shared" si="192"/>
        <v>36526</v>
      </c>
      <c r="F57" s="195">
        <f t="shared" si="77"/>
        <v>1.5</v>
      </c>
      <c r="G57" s="196">
        <f t="shared" ref="G57:H57" si="193">J23</f>
        <v>13.3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19.363616168716348</v>
      </c>
      <c r="Q57" s="196">
        <f t="shared" si="87"/>
        <v>0.82750000000000001</v>
      </c>
      <c r="R57" s="196">
        <f t="shared" si="88"/>
        <v>0.81439999999999979</v>
      </c>
      <c r="S57" s="196">
        <f t="shared" ca="1" si="89"/>
        <v>18.498468854622782</v>
      </c>
      <c r="T57" s="83">
        <f t="shared" si="90"/>
        <v>4.9250233100856873</v>
      </c>
      <c r="U57" s="83">
        <f t="shared" si="91"/>
        <v>7.4240232913180089</v>
      </c>
      <c r="V57" s="83">
        <f t="shared" si="92"/>
        <v>4.9250233100856873</v>
      </c>
      <c r="W57" s="83">
        <f t="shared" si="93"/>
        <v>5.8609699289853534</v>
      </c>
      <c r="X57" s="83">
        <f t="shared" si="94"/>
        <v>11.358468854622778</v>
      </c>
      <c r="Y57" s="83">
        <f t="shared" si="95"/>
        <v>2.9304849644926767</v>
      </c>
      <c r="Z57" s="83">
        <f t="shared" si="96"/>
        <v>3.6299478096224438</v>
      </c>
      <c r="AA57" s="83">
        <f t="shared" si="97"/>
        <v>4.2935012270474102</v>
      </c>
      <c r="AB57" s="83">
        <f t="shared" si="98"/>
        <v>8.2121729818922677</v>
      </c>
      <c r="AC57" s="83">
        <f t="shared" si="99"/>
        <v>2.1467506135237051</v>
      </c>
      <c r="AD57" s="83">
        <f t="shared" si="100"/>
        <v>5.8719743979186596</v>
      </c>
      <c r="AE57" s="326">
        <f t="shared" si="101"/>
        <v>10.449791346252956</v>
      </c>
      <c r="AF57" s="83">
        <f t="shared" si="102"/>
        <v>4.7024061058138296</v>
      </c>
      <c r="AG57" s="83">
        <f t="shared" si="103"/>
        <v>2.5470642193569253</v>
      </c>
      <c r="AH57" s="326">
        <f t="shared" si="104"/>
        <v>9.3776996865181932</v>
      </c>
      <c r="AI57" s="83">
        <f t="shared" si="105"/>
        <v>8.5642855163855742</v>
      </c>
      <c r="AJ57" s="83">
        <f t="shared" si="106"/>
        <v>8.0417959490729256</v>
      </c>
      <c r="AK57" s="83">
        <f t="shared" si="107"/>
        <v>3.1727442987220047</v>
      </c>
      <c r="AL57" s="83">
        <f t="shared" si="108"/>
        <v>2.0097990301313606</v>
      </c>
      <c r="AM57" s="83">
        <f t="shared" si="109"/>
        <v>3.0667865907481504</v>
      </c>
      <c r="AN57" s="83">
        <f t="shared" si="110"/>
        <v>6.7469304996459298</v>
      </c>
      <c r="AO57" s="83">
        <f t="shared" si="111"/>
        <v>1.5333932953740752</v>
      </c>
      <c r="AP57" s="83">
        <f t="shared" si="112"/>
        <v>14.397776186065492</v>
      </c>
      <c r="AQ57" s="83">
        <f t="shared" si="113"/>
        <v>1.7210009511009616</v>
      </c>
      <c r="AR57" s="83">
        <f t="shared" si="114"/>
        <v>3.3097013744044741</v>
      </c>
      <c r="AS57" s="83">
        <f t="shared" si="115"/>
        <v>0.86050047555048081</v>
      </c>
      <c r="AT57" s="83">
        <f t="shared" si="116"/>
        <v>2.1467506135237051</v>
      </c>
      <c r="AU57" s="83">
        <f t="shared" si="117"/>
        <v>4.5433875418491114</v>
      </c>
      <c r="AV57" s="83">
        <f t="shared" si="118"/>
        <v>1.0733753067618526</v>
      </c>
      <c r="AW57" s="83">
        <f t="shared" si="119"/>
        <v>15.25188155303548</v>
      </c>
      <c r="AX57" s="83">
        <f t="shared" si="120"/>
        <v>3.3493326202195637</v>
      </c>
      <c r="AY57" s="83">
        <f t="shared" si="121"/>
        <v>6.6034963388971519</v>
      </c>
      <c r="AZ57" s="83">
        <f t="shared" si="122"/>
        <v>1.6746663101097818</v>
      </c>
      <c r="BA57" s="83">
        <f t="shared" si="123"/>
        <v>3.3053144366952281</v>
      </c>
      <c r="BB57" s="83">
        <f t="shared" si="124"/>
        <v>3.9527471614087264</v>
      </c>
      <c r="BC57" s="83">
        <f t="shared" si="125"/>
        <v>13.436907648224258</v>
      </c>
      <c r="BD57" s="83">
        <f t="shared" si="126"/>
        <v>13.32453881175965</v>
      </c>
      <c r="BE57" s="83">
        <f t="shared" si="127"/>
        <v>3.1904709939640901</v>
      </c>
      <c r="BF57" s="83">
        <f t="shared" si="128"/>
        <v>5.5088573944920469</v>
      </c>
      <c r="BG57" s="83">
        <f t="shared" si="129"/>
        <v>2.9986357776204136</v>
      </c>
      <c r="BH57" s="83">
        <f t="shared" si="130"/>
        <v>5.8109668717065182</v>
      </c>
      <c r="BI57" s="83">
        <f t="shared" si="131"/>
        <v>13.39425177894031</v>
      </c>
      <c r="BJ57" s="83">
        <f t="shared" si="132"/>
        <v>0.68840038044038454</v>
      </c>
      <c r="BK57" s="83">
        <f t="shared" si="133"/>
        <v>2.0445243938320998</v>
      </c>
      <c r="BL57" s="83">
        <f t="shared" si="134"/>
        <v>0.77237588211434893</v>
      </c>
      <c r="BM57" s="83">
        <f t="shared" si="135"/>
        <v>4.6518238736758208</v>
      </c>
      <c r="BN57" s="83">
        <f t="shared" si="136"/>
        <v>19.734670947044894</v>
      </c>
      <c r="BO57" s="83">
        <f t="shared" si="137"/>
        <v>1.7871932953740755</v>
      </c>
      <c r="BP57" s="83">
        <f t="shared" si="138"/>
        <v>3.2258051547128685</v>
      </c>
      <c r="BQ57" s="83">
        <f t="shared" si="139"/>
        <v>2.7714664005279577</v>
      </c>
      <c r="BR57" s="83">
        <f t="shared" si="140"/>
        <v>6.9396061066311434</v>
      </c>
      <c r="BS57" s="83">
        <f t="shared" si="141"/>
        <v>17.009663490922041</v>
      </c>
      <c r="BT57" s="83">
        <f t="shared" si="142"/>
        <v>1.6018547314093565</v>
      </c>
      <c r="BU57" s="83">
        <f t="shared" si="143"/>
        <v>3.2258051547128685</v>
      </c>
      <c r="BV57" s="83">
        <f t="shared" si="144"/>
        <v>2.7714664005279577</v>
      </c>
      <c r="BW57" s="83">
        <f t="shared" si="145"/>
        <v>9.6239372599653876</v>
      </c>
      <c r="BX57" s="83">
        <f t="shared" si="146"/>
        <v>13.750849624887387</v>
      </c>
      <c r="BY57" s="83">
        <f t="shared" si="147"/>
        <v>1.9592933904841714</v>
      </c>
      <c r="BZ57" s="83">
        <f t="shared" si="148"/>
        <v>6.1922639105324055</v>
      </c>
      <c r="CA57" s="83">
        <f t="shared" si="149"/>
        <v>6.8696522732584686</v>
      </c>
      <c r="CB57" s="83">
        <f t="shared" si="150"/>
        <v>12.98844593030525</v>
      </c>
      <c r="CC57" s="83">
        <f t="shared" si="151"/>
        <v>6.8696522732584686</v>
      </c>
      <c r="CD57" s="83">
        <f t="shared" si="152"/>
        <v>7.8610760964299926</v>
      </c>
      <c r="CE57" s="83">
        <f t="shared" si="153"/>
        <v>14.833463861978586</v>
      </c>
      <c r="CF57" s="83">
        <f t="shared" si="154"/>
        <v>7.8610760964299926</v>
      </c>
      <c r="CG57" s="83">
        <f t="shared" si="155"/>
        <v>3.8129703882588699</v>
      </c>
    </row>
    <row r="58" spans="1:85" x14ac:dyDescent="0.25">
      <c r="A58" t="str">
        <f t="shared" ref="A58:E58" si="194">A24</f>
        <v>L. Bauman</v>
      </c>
      <c r="B58">
        <f t="shared" si="194"/>
        <v>35</v>
      </c>
      <c r="C58">
        <f t="shared" ca="1" si="194"/>
        <v>78</v>
      </c>
      <c r="D58">
        <f t="shared" si="194"/>
        <v>0</v>
      </c>
      <c r="E58" s="265">
        <f t="shared" si="194"/>
        <v>36526</v>
      </c>
      <c r="F58" s="195">
        <f t="shared" si="77"/>
        <v>1.5</v>
      </c>
      <c r="G58" s="196">
        <f t="shared" ref="G58:H58" si="195">J24</f>
        <v>12.2</v>
      </c>
      <c r="H58" s="49">
        <f t="shared" si="195"/>
        <v>0</v>
      </c>
      <c r="I58" s="49">
        <f t="shared" si="79"/>
        <v>5.95</v>
      </c>
      <c r="J58" s="49">
        <f t="shared" si="80"/>
        <v>13.95</v>
      </c>
      <c r="K58" s="49">
        <f t="shared" si="81"/>
        <v>2.95</v>
      </c>
      <c r="L58" s="49">
        <f t="shared" si="82"/>
        <v>8.9499999999999993</v>
      </c>
      <c r="M58" s="49">
        <f t="shared" si="83"/>
        <v>5.95</v>
      </c>
      <c r="N58" s="49">
        <f t="shared" si="84"/>
        <v>16.95</v>
      </c>
      <c r="O58" s="196">
        <f t="shared" si="85"/>
        <v>3.3562499999999997</v>
      </c>
      <c r="P58" s="196">
        <f t="shared" si="86"/>
        <v>18.115640301054924</v>
      </c>
      <c r="Q58" s="196">
        <f t="shared" si="87"/>
        <v>0.80600000000000005</v>
      </c>
      <c r="R58" s="196">
        <f t="shared" si="88"/>
        <v>0.74649999999999994</v>
      </c>
      <c r="S58" s="196">
        <f t="shared" ca="1" si="89"/>
        <v>19.398479774232996</v>
      </c>
      <c r="T58" s="83">
        <f t="shared" si="90"/>
        <v>4.2162228429054069</v>
      </c>
      <c r="U58" s="83">
        <f t="shared" si="91"/>
        <v>6.3352373885348001</v>
      </c>
      <c r="V58" s="83">
        <f t="shared" si="92"/>
        <v>4.2162228429054069</v>
      </c>
      <c r="W58" s="83">
        <f t="shared" si="93"/>
        <v>4.5916155635042273</v>
      </c>
      <c r="X58" s="83">
        <f t="shared" si="94"/>
        <v>8.8984797742329977</v>
      </c>
      <c r="Y58" s="83">
        <f t="shared" si="95"/>
        <v>2.2958077817521136</v>
      </c>
      <c r="Z58" s="83">
        <f t="shared" si="96"/>
        <v>4.0218381862674528</v>
      </c>
      <c r="AA58" s="83">
        <f t="shared" si="97"/>
        <v>3.3636253546600732</v>
      </c>
      <c r="AB58" s="83">
        <f t="shared" si="98"/>
        <v>6.4336008767704573</v>
      </c>
      <c r="AC58" s="83">
        <f t="shared" si="99"/>
        <v>1.6818126773300366</v>
      </c>
      <c r="AD58" s="83">
        <f t="shared" si="100"/>
        <v>6.5059147130797035</v>
      </c>
      <c r="AE58" s="326">
        <f t="shared" si="101"/>
        <v>8.1866013922943583</v>
      </c>
      <c r="AF58" s="83">
        <f t="shared" si="102"/>
        <v>3.683970626532461</v>
      </c>
      <c r="AG58" s="83">
        <f t="shared" si="103"/>
        <v>2.8220461222969107</v>
      </c>
      <c r="AH58" s="326">
        <f t="shared" si="104"/>
        <v>3.4683061072490027</v>
      </c>
      <c r="AI58" s="83">
        <f t="shared" si="105"/>
        <v>6.7094537497716802</v>
      </c>
      <c r="AJ58" s="83">
        <f t="shared" si="106"/>
        <v>6.300123680156962</v>
      </c>
      <c r="AK58" s="83">
        <f t="shared" si="107"/>
        <v>3.3230461222969105</v>
      </c>
      <c r="AL58" s="83">
        <f t="shared" si="108"/>
        <v>1.8157621749791029</v>
      </c>
      <c r="AM58" s="83">
        <f t="shared" si="109"/>
        <v>2.4025895390429097</v>
      </c>
      <c r="AN58" s="83">
        <f t="shared" si="110"/>
        <v>5.2856969858944005</v>
      </c>
      <c r="AO58" s="83">
        <f t="shared" si="111"/>
        <v>1.2012947695214549</v>
      </c>
      <c r="AP58" s="83">
        <f t="shared" si="112"/>
        <v>15.952164906875947</v>
      </c>
      <c r="AQ58" s="83">
        <f t="shared" si="113"/>
        <v>1.5468023706502896</v>
      </c>
      <c r="AR58" s="83">
        <f t="shared" si="114"/>
        <v>2.9672545738502678</v>
      </c>
      <c r="AS58" s="83">
        <f t="shared" si="115"/>
        <v>0.77340118532514479</v>
      </c>
      <c r="AT58" s="83">
        <f t="shared" si="116"/>
        <v>1.6818126773300366</v>
      </c>
      <c r="AU58" s="83">
        <f t="shared" si="117"/>
        <v>3.5593919096931992</v>
      </c>
      <c r="AV58" s="83">
        <f t="shared" si="118"/>
        <v>0.84090633866501829</v>
      </c>
      <c r="AW58" s="83">
        <f t="shared" si="119"/>
        <v>16.898479774232996</v>
      </c>
      <c r="AX58" s="83">
        <f t="shared" si="120"/>
        <v>3.0103153828809481</v>
      </c>
      <c r="AY58" s="83">
        <f t="shared" si="121"/>
        <v>5.9260623556023813</v>
      </c>
      <c r="AZ58" s="83">
        <f t="shared" si="122"/>
        <v>1.5051576914404741</v>
      </c>
      <c r="BA58" s="83">
        <f t="shared" si="123"/>
        <v>2.5894576143018022</v>
      </c>
      <c r="BB58" s="83">
        <f t="shared" si="124"/>
        <v>3.096670961433083</v>
      </c>
      <c r="BC58" s="83">
        <f t="shared" si="125"/>
        <v>14.88756068109927</v>
      </c>
      <c r="BD58" s="83">
        <f t="shared" si="126"/>
        <v>7.1337485192931336</v>
      </c>
      <c r="BE58" s="83">
        <f t="shared" si="127"/>
        <v>2.867533625590152</v>
      </c>
      <c r="BF58" s="83">
        <f t="shared" si="128"/>
        <v>4.3157626905030035</v>
      </c>
      <c r="BG58" s="83">
        <f t="shared" si="129"/>
        <v>2.3491986603975117</v>
      </c>
      <c r="BH58" s="83">
        <f t="shared" si="130"/>
        <v>6.4383207939827711</v>
      </c>
      <c r="BI58" s="83">
        <f t="shared" si="131"/>
        <v>6.3612713226796398</v>
      </c>
      <c r="BJ58" s="83">
        <f t="shared" si="132"/>
        <v>0.61872094826011581</v>
      </c>
      <c r="BK58" s="83">
        <f t="shared" si="133"/>
        <v>1.6017263593619395</v>
      </c>
      <c r="BL58" s="83">
        <f t="shared" si="134"/>
        <v>0.60509662464784386</v>
      </c>
      <c r="BM58" s="83">
        <f t="shared" si="135"/>
        <v>5.1540363311410635</v>
      </c>
      <c r="BN58" s="83">
        <f t="shared" si="136"/>
        <v>9.3014449896636346</v>
      </c>
      <c r="BO58" s="83">
        <f t="shared" si="137"/>
        <v>1.6062947695214547</v>
      </c>
      <c r="BP58" s="83">
        <f t="shared" si="138"/>
        <v>2.5271682558821711</v>
      </c>
      <c r="BQ58" s="83">
        <f t="shared" si="139"/>
        <v>2.1712290649128514</v>
      </c>
      <c r="BR58" s="83">
        <f t="shared" si="140"/>
        <v>7.6888082972760134</v>
      </c>
      <c r="BS58" s="83">
        <f t="shared" si="141"/>
        <v>7.9995155898501604</v>
      </c>
      <c r="BT58" s="83">
        <f t="shared" si="142"/>
        <v>1.4397160526821924</v>
      </c>
      <c r="BU58" s="83">
        <f t="shared" si="143"/>
        <v>2.5271682558821711</v>
      </c>
      <c r="BV58" s="83">
        <f t="shared" si="144"/>
        <v>2.1712290649128514</v>
      </c>
      <c r="BW58" s="83">
        <f t="shared" si="145"/>
        <v>10.662940737541021</v>
      </c>
      <c r="BX58" s="83">
        <f t="shared" si="146"/>
        <v>6.437139397938533</v>
      </c>
      <c r="BY58" s="83">
        <f t="shared" si="147"/>
        <v>1.7609750065864833</v>
      </c>
      <c r="BZ58" s="83">
        <f t="shared" si="148"/>
        <v>6.8607827883385966</v>
      </c>
      <c r="CA58" s="83">
        <f t="shared" si="149"/>
        <v>4.9541079623753914</v>
      </c>
      <c r="CB58" s="83">
        <f t="shared" si="150"/>
        <v>11.648688225786355</v>
      </c>
      <c r="CC58" s="83">
        <f t="shared" si="151"/>
        <v>4.9541079623753914</v>
      </c>
      <c r="CD58" s="83">
        <f t="shared" si="152"/>
        <v>5.1767528993471572</v>
      </c>
      <c r="CE58" s="83">
        <f t="shared" si="153"/>
        <v>13.289018810924972</v>
      </c>
      <c r="CF58" s="83">
        <f t="shared" si="154"/>
        <v>5.1767528993471572</v>
      </c>
      <c r="CG58" s="83">
        <f t="shared" si="155"/>
        <v>4.224619943558249</v>
      </c>
    </row>
    <row r="59" spans="1:85" x14ac:dyDescent="0.25">
      <c r="A59" t="str">
        <f t="shared" ref="A59:E59" si="196">A25</f>
        <v>J. Limon</v>
      </c>
      <c r="B59">
        <f t="shared" si="196"/>
        <v>35</v>
      </c>
      <c r="C59">
        <f t="shared" ca="1" si="196"/>
        <v>3</v>
      </c>
      <c r="D59" t="str">
        <f t="shared" si="196"/>
        <v>RAP</v>
      </c>
      <c r="E59" s="265">
        <f t="shared" si="196"/>
        <v>36526</v>
      </c>
      <c r="F59" s="195">
        <f t="shared" si="77"/>
        <v>1.5</v>
      </c>
      <c r="G59" s="196">
        <f t="shared" ref="G59:H59" si="197">J25</f>
        <v>14.4</v>
      </c>
      <c r="H59" s="49">
        <f t="shared" si="197"/>
        <v>0</v>
      </c>
      <c r="I59" s="49">
        <f t="shared" si="79"/>
        <v>6.8376190476190493</v>
      </c>
      <c r="J59" s="49">
        <f t="shared" si="80"/>
        <v>8.9499999999999993</v>
      </c>
      <c r="K59" s="49">
        <f t="shared" si="81"/>
        <v>7.95</v>
      </c>
      <c r="L59" s="49">
        <f t="shared" si="82"/>
        <v>9.9499999999999993</v>
      </c>
      <c r="M59" s="49">
        <f t="shared" si="83"/>
        <v>6.95</v>
      </c>
      <c r="N59" s="49">
        <f t="shared" si="84"/>
        <v>18.999999999999993</v>
      </c>
      <c r="O59" s="196">
        <f t="shared" si="85"/>
        <v>3.7172023809523811</v>
      </c>
      <c r="P59" s="196">
        <f t="shared" si="86"/>
        <v>21.115308143374001</v>
      </c>
      <c r="Q59" s="196">
        <f t="shared" si="87"/>
        <v>0.91749999999999976</v>
      </c>
      <c r="R59" s="196">
        <f t="shared" si="88"/>
        <v>0.84350476190476176</v>
      </c>
      <c r="S59" s="196">
        <f t="shared" ca="1" si="89"/>
        <v>21.54448332279366</v>
      </c>
      <c r="T59" s="83">
        <f t="shared" si="90"/>
        <v>4.5450167979417291</v>
      </c>
      <c r="U59" s="83">
        <f t="shared" si="91"/>
        <v>6.8364160649647197</v>
      </c>
      <c r="V59" s="83">
        <f t="shared" si="92"/>
        <v>4.5450167979417291</v>
      </c>
      <c r="W59" s="83">
        <f t="shared" si="93"/>
        <v>5.0991648231329618</v>
      </c>
      <c r="X59" s="83">
        <f t="shared" si="94"/>
        <v>9.8821023704127171</v>
      </c>
      <c r="Y59" s="83">
        <f t="shared" si="95"/>
        <v>2.5495824115664809</v>
      </c>
      <c r="Z59" s="83">
        <f t="shared" si="96"/>
        <v>2.8546870308248926</v>
      </c>
      <c r="AA59" s="83">
        <f t="shared" si="97"/>
        <v>3.7354346960160072</v>
      </c>
      <c r="AB59" s="83">
        <f t="shared" si="98"/>
        <v>7.1447600138083942</v>
      </c>
      <c r="AC59" s="83">
        <f t="shared" si="99"/>
        <v>1.8677173480080036</v>
      </c>
      <c r="AD59" s="83">
        <f t="shared" si="100"/>
        <v>4.617876079275562</v>
      </c>
      <c r="AE59" s="326">
        <f t="shared" si="101"/>
        <v>9.0915341807796999</v>
      </c>
      <c r="AF59" s="83">
        <f t="shared" si="102"/>
        <v>4.0911903813508648</v>
      </c>
      <c r="AG59" s="83">
        <f t="shared" si="103"/>
        <v>2.0030787149065423</v>
      </c>
      <c r="AH59" s="326">
        <f t="shared" si="104"/>
        <v>6.4647561938026756</v>
      </c>
      <c r="AI59" s="83">
        <f t="shared" si="105"/>
        <v>7.4511051872911889</v>
      </c>
      <c r="AJ59" s="83">
        <f t="shared" si="106"/>
        <v>6.9965284782522037</v>
      </c>
      <c r="AK59" s="83">
        <f t="shared" si="107"/>
        <v>3.6814287149065414</v>
      </c>
      <c r="AL59" s="83">
        <f t="shared" si="108"/>
        <v>1.9473654826788613</v>
      </c>
      <c r="AM59" s="83">
        <f t="shared" si="109"/>
        <v>2.6681676400114336</v>
      </c>
      <c r="AN59" s="83">
        <f t="shared" si="110"/>
        <v>5.8699688080251535</v>
      </c>
      <c r="AO59" s="83">
        <f t="shared" si="111"/>
        <v>1.3340838200057168</v>
      </c>
      <c r="AP59" s="83">
        <f t="shared" si="112"/>
        <v>11.32279225671722</v>
      </c>
      <c r="AQ59" s="83">
        <f t="shared" si="113"/>
        <v>1.6892828319631767</v>
      </c>
      <c r="AR59" s="83">
        <f t="shared" si="114"/>
        <v>3.288383613578544</v>
      </c>
      <c r="AS59" s="83">
        <f t="shared" si="115"/>
        <v>0.84464141598158837</v>
      </c>
      <c r="AT59" s="83">
        <f t="shared" si="116"/>
        <v>1.8677173480080036</v>
      </c>
      <c r="AU59" s="83">
        <f t="shared" si="117"/>
        <v>3.952840948165087</v>
      </c>
      <c r="AV59" s="83">
        <f t="shared" si="118"/>
        <v>0.9338586740040018</v>
      </c>
      <c r="AW59" s="83">
        <f t="shared" si="119"/>
        <v>11.994483322793666</v>
      </c>
      <c r="AX59" s="83">
        <f t="shared" si="120"/>
        <v>3.2876042806667978</v>
      </c>
      <c r="AY59" s="83">
        <f t="shared" si="121"/>
        <v>6.5299603108593107</v>
      </c>
      <c r="AZ59" s="83">
        <f t="shared" si="122"/>
        <v>1.6438021403333989</v>
      </c>
      <c r="BA59" s="83">
        <f t="shared" si="123"/>
        <v>2.8756917897901006</v>
      </c>
      <c r="BB59" s="83">
        <f t="shared" si="124"/>
        <v>3.4389716249036253</v>
      </c>
      <c r="BC59" s="83">
        <f t="shared" si="125"/>
        <v>10.567139807381221</v>
      </c>
      <c r="BD59" s="83">
        <f t="shared" si="126"/>
        <v>10.404095673963567</v>
      </c>
      <c r="BE59" s="83">
        <f t="shared" si="127"/>
        <v>3.1316704807932734</v>
      </c>
      <c r="BF59" s="83">
        <f t="shared" si="128"/>
        <v>4.792819649650168</v>
      </c>
      <c r="BG59" s="83">
        <f t="shared" si="129"/>
        <v>2.6088750257889575</v>
      </c>
      <c r="BH59" s="83">
        <f t="shared" si="130"/>
        <v>4.5698981459843866</v>
      </c>
      <c r="BI59" s="83">
        <f t="shared" si="131"/>
        <v>10.011178424121665</v>
      </c>
      <c r="BJ59" s="83">
        <f t="shared" si="132"/>
        <v>0.67571313278527056</v>
      </c>
      <c r="BK59" s="83">
        <f t="shared" si="133"/>
        <v>1.778778426674289</v>
      </c>
      <c r="BL59" s="83">
        <f t="shared" si="134"/>
        <v>0.67198296118806478</v>
      </c>
      <c r="BM59" s="83">
        <f t="shared" si="135"/>
        <v>3.658317413452068</v>
      </c>
      <c r="BN59" s="83">
        <f t="shared" si="136"/>
        <v>14.710905553112655</v>
      </c>
      <c r="BO59" s="83">
        <f t="shared" si="137"/>
        <v>1.754255248577145</v>
      </c>
      <c r="BP59" s="83">
        <f t="shared" si="138"/>
        <v>2.8065170731972113</v>
      </c>
      <c r="BQ59" s="83">
        <f t="shared" si="139"/>
        <v>2.4112329783807027</v>
      </c>
      <c r="BR59" s="83">
        <f t="shared" si="140"/>
        <v>5.457489911871118</v>
      </c>
      <c r="BS59" s="83">
        <f t="shared" si="141"/>
        <v>12.669887521655381</v>
      </c>
      <c r="BT59" s="83">
        <f t="shared" si="142"/>
        <v>1.5723324820580336</v>
      </c>
      <c r="BU59" s="83">
        <f t="shared" si="143"/>
        <v>2.8065170731972113</v>
      </c>
      <c r="BV59" s="83">
        <f t="shared" si="144"/>
        <v>2.4112329783807027</v>
      </c>
      <c r="BW59" s="83">
        <f t="shared" si="145"/>
        <v>7.5685189766828032</v>
      </c>
      <c r="BX59" s="83">
        <f t="shared" si="146"/>
        <v>10.226062573900331</v>
      </c>
      <c r="BY59" s="83">
        <f t="shared" si="147"/>
        <v>1.9231835317734625</v>
      </c>
      <c r="BZ59" s="83">
        <f t="shared" si="148"/>
        <v>4.8697602290542292</v>
      </c>
      <c r="CA59" s="83">
        <f t="shared" si="149"/>
        <v>6.1011258111754998</v>
      </c>
      <c r="CB59" s="83">
        <f t="shared" si="150"/>
        <v>12.882788221465669</v>
      </c>
      <c r="CC59" s="83">
        <f t="shared" si="151"/>
        <v>6.1011258111754998</v>
      </c>
      <c r="CD59" s="83">
        <f t="shared" si="152"/>
        <v>6.7435631101004549</v>
      </c>
      <c r="CE59" s="83">
        <f t="shared" si="153"/>
        <v>14.789447668904529</v>
      </c>
      <c r="CF59" s="83">
        <f t="shared" si="154"/>
        <v>6.7435631101004549</v>
      </c>
      <c r="CG59" s="83">
        <f t="shared" si="155"/>
        <v>2.9986208306984166</v>
      </c>
    </row>
    <row r="60" spans="1:85" x14ac:dyDescent="0.25">
      <c r="A60" t="str">
        <f t="shared" ref="A60:E60" si="198">A26</f>
        <v>P .Trivadi</v>
      </c>
      <c r="B60">
        <f t="shared" si="198"/>
        <v>32</v>
      </c>
      <c r="C60">
        <f t="shared" ca="1" si="198"/>
        <v>34</v>
      </c>
      <c r="D60">
        <f t="shared" si="198"/>
        <v>0</v>
      </c>
      <c r="E60" s="265">
        <f t="shared" si="198"/>
        <v>36526</v>
      </c>
      <c r="F60" s="195">
        <f t="shared" si="77"/>
        <v>1.5</v>
      </c>
      <c r="G60" s="196">
        <f t="shared" ref="G60:H60" si="199">J26</f>
        <v>6.3</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18.967390152389889</v>
      </c>
      <c r="Q60" s="196">
        <f t="shared" si="87"/>
        <v>0.81750000000000012</v>
      </c>
      <c r="R60" s="196">
        <f t="shared" si="88"/>
        <v>0.58079999999999998</v>
      </c>
      <c r="S60" s="196">
        <f t="shared" ca="1" si="89"/>
        <v>16.065787399271443</v>
      </c>
      <c r="T60" s="83">
        <f t="shared" si="90"/>
        <v>3.3494523995639689</v>
      </c>
      <c r="U60" s="83">
        <f t="shared" si="91"/>
        <v>5.0209315324594312</v>
      </c>
      <c r="V60" s="83">
        <f t="shared" si="92"/>
        <v>3.3494523995639689</v>
      </c>
      <c r="W60" s="83">
        <f t="shared" si="93"/>
        <v>3.3982662980240641</v>
      </c>
      <c r="X60" s="83">
        <f t="shared" si="94"/>
        <v>6.5857873992714415</v>
      </c>
      <c r="Y60" s="83">
        <f t="shared" si="95"/>
        <v>1.6991331490120321</v>
      </c>
      <c r="Z60" s="83">
        <f t="shared" si="96"/>
        <v>2.0386574010266032</v>
      </c>
      <c r="AA60" s="83">
        <f t="shared" si="97"/>
        <v>2.4894276369246051</v>
      </c>
      <c r="AB60" s="83">
        <f t="shared" si="98"/>
        <v>4.7615242896732521</v>
      </c>
      <c r="AC60" s="83">
        <f t="shared" si="99"/>
        <v>1.2447138184623026</v>
      </c>
      <c r="AD60" s="83">
        <f t="shared" si="100"/>
        <v>3.2978281487195056</v>
      </c>
      <c r="AE60" s="326">
        <f t="shared" si="101"/>
        <v>6.0589244073297266</v>
      </c>
      <c r="AF60" s="83">
        <f t="shared" si="102"/>
        <v>2.7265159832983765</v>
      </c>
      <c r="AG60" s="83">
        <f t="shared" si="103"/>
        <v>1.430486495678331</v>
      </c>
      <c r="AH60" s="326">
        <f t="shared" si="104"/>
        <v>4.7485629907716067</v>
      </c>
      <c r="AI60" s="83">
        <f t="shared" si="105"/>
        <v>4.9656836990506665</v>
      </c>
      <c r="AJ60" s="83">
        <f t="shared" si="106"/>
        <v>4.6627374786841802</v>
      </c>
      <c r="AK60" s="83">
        <f t="shared" si="107"/>
        <v>2.7664864956783313</v>
      </c>
      <c r="AL60" s="83">
        <f t="shared" si="108"/>
        <v>1.7800667709901752</v>
      </c>
      <c r="AM60" s="83">
        <f t="shared" si="109"/>
        <v>1.7781625978032893</v>
      </c>
      <c r="AN60" s="83">
        <f t="shared" si="110"/>
        <v>3.9119577151672362</v>
      </c>
      <c r="AO60" s="83">
        <f t="shared" si="111"/>
        <v>0.88908129890164467</v>
      </c>
      <c r="AP60" s="83">
        <f t="shared" si="112"/>
        <v>8.0861033049122408</v>
      </c>
      <c r="AQ60" s="83">
        <f t="shared" si="113"/>
        <v>1.7570523619052876</v>
      </c>
      <c r="AR60" s="83">
        <f t="shared" si="114"/>
        <v>3.4411257079865321</v>
      </c>
      <c r="AS60" s="83">
        <f t="shared" si="115"/>
        <v>0.87852618095264379</v>
      </c>
      <c r="AT60" s="83">
        <f t="shared" si="116"/>
        <v>1.2447138184623026</v>
      </c>
      <c r="AU60" s="83">
        <f t="shared" si="117"/>
        <v>2.6343149597085769</v>
      </c>
      <c r="AV60" s="83">
        <f t="shared" si="118"/>
        <v>0.62235690923115128</v>
      </c>
      <c r="AW60" s="83">
        <f t="shared" si="119"/>
        <v>8.5657873992714428</v>
      </c>
      <c r="AX60" s="83">
        <f t="shared" si="120"/>
        <v>3.419494212015675</v>
      </c>
      <c r="AY60" s="83">
        <f t="shared" si="121"/>
        <v>6.817198856998564</v>
      </c>
      <c r="AZ60" s="83">
        <f t="shared" si="122"/>
        <v>1.7097471060078375</v>
      </c>
      <c r="BA60" s="83">
        <f t="shared" si="123"/>
        <v>1.9164641331879892</v>
      </c>
      <c r="BB60" s="83">
        <f t="shared" si="124"/>
        <v>2.2918540149464617</v>
      </c>
      <c r="BC60" s="83">
        <f t="shared" si="125"/>
        <v>7.5464586987581415</v>
      </c>
      <c r="BD60" s="83">
        <f t="shared" si="126"/>
        <v>8.8929749979523116</v>
      </c>
      <c r="BE60" s="83">
        <f t="shared" si="127"/>
        <v>3.2573047632244174</v>
      </c>
      <c r="BF60" s="83">
        <f t="shared" si="128"/>
        <v>3.1941068886466493</v>
      </c>
      <c r="BG60" s="83">
        <f t="shared" si="129"/>
        <v>1.7386478734076607</v>
      </c>
      <c r="BH60" s="83">
        <f t="shared" si="130"/>
        <v>3.2635649991224196</v>
      </c>
      <c r="BI60" s="83">
        <f t="shared" si="131"/>
        <v>8.15167818696324</v>
      </c>
      <c r="BJ60" s="83">
        <f t="shared" si="132"/>
        <v>0.70282094476211499</v>
      </c>
      <c r="BK60" s="83">
        <f t="shared" si="133"/>
        <v>1.1854417318688595</v>
      </c>
      <c r="BL60" s="83">
        <f t="shared" si="134"/>
        <v>0.44783354315045804</v>
      </c>
      <c r="BM60" s="83">
        <f t="shared" si="135"/>
        <v>2.6125651567777899</v>
      </c>
      <c r="BN60" s="83">
        <f t="shared" si="136"/>
        <v>11.941302595463073</v>
      </c>
      <c r="BO60" s="83">
        <f t="shared" si="137"/>
        <v>1.8246312989016449</v>
      </c>
      <c r="BP60" s="83">
        <f t="shared" si="138"/>
        <v>1.8703636213930892</v>
      </c>
      <c r="BQ60" s="83">
        <f t="shared" si="139"/>
        <v>1.6069321254222317</v>
      </c>
      <c r="BR60" s="83">
        <f t="shared" si="140"/>
        <v>3.8974332666685068</v>
      </c>
      <c r="BS60" s="83">
        <f t="shared" si="141"/>
        <v>10.275332438392757</v>
      </c>
      <c r="BT60" s="83">
        <f t="shared" si="142"/>
        <v>1.6354102753118445</v>
      </c>
      <c r="BU60" s="83">
        <f t="shared" si="143"/>
        <v>1.8703636213930892</v>
      </c>
      <c r="BV60" s="83">
        <f t="shared" si="144"/>
        <v>1.6069321254222317</v>
      </c>
      <c r="BW60" s="83">
        <f t="shared" si="145"/>
        <v>5.4050118489402807</v>
      </c>
      <c r="BX60" s="83">
        <f t="shared" si="146"/>
        <v>8.2777497223479397</v>
      </c>
      <c r="BY60" s="83">
        <f t="shared" si="147"/>
        <v>2.0003365350921731</v>
      </c>
      <c r="BZ60" s="83">
        <f t="shared" si="148"/>
        <v>3.4777096841042061</v>
      </c>
      <c r="CA60" s="83">
        <f t="shared" si="149"/>
        <v>5.8773652350204211</v>
      </c>
      <c r="CB60" s="83">
        <f t="shared" si="150"/>
        <v>13.469776611579643</v>
      </c>
      <c r="CC60" s="83">
        <f t="shared" si="151"/>
        <v>5.8773652350204211</v>
      </c>
      <c r="CD60" s="83">
        <f t="shared" si="152"/>
        <v>6.308095549746108</v>
      </c>
      <c r="CE60" s="83">
        <f t="shared" si="153"/>
        <v>15.503112949602604</v>
      </c>
      <c r="CF60" s="83">
        <f t="shared" si="154"/>
        <v>6.308095549746108</v>
      </c>
      <c r="CG60" s="83">
        <f t="shared" si="155"/>
        <v>2.1414468498178607</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4" sqref="H4"/>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689" t="s">
        <v>444</v>
      </c>
      <c r="X1" s="689"/>
      <c r="Y1" s="689"/>
      <c r="Z1" s="689"/>
      <c r="AA1" s="689"/>
    </row>
    <row r="2" spans="1:27" x14ac:dyDescent="0.25">
      <c r="A2" t="str">
        <f>Plantilla!D4</f>
        <v>D. Gehmacher</v>
      </c>
      <c r="B2" s="83">
        <f ca="1">Plantilla!Y4++Plantilla!J4+Plantilla!P4</f>
        <v>14.811599129460982</v>
      </c>
      <c r="C2" s="83">
        <f ca="1">Plantilla!AB4+Plantilla!J4+Plantilla!P4</f>
        <v>3.8115991294609817</v>
      </c>
      <c r="D2" s="126">
        <f ca="1">(C2*2+B2)/8</f>
        <v>2.8043496735478683</v>
      </c>
      <c r="E2" s="83">
        <f ca="1">D2*Plantilla!R4</f>
        <v>2.5963232945612096</v>
      </c>
      <c r="F2" s="83">
        <f ca="1">D2*Plantilla!S4</f>
        <v>2.8023458507314132</v>
      </c>
      <c r="M2" t="str">
        <f>Plantilla!D4</f>
        <v>D. Gehmacher</v>
      </c>
      <c r="N2" s="48">
        <f>Plantilla!J4</f>
        <v>1.8615991294609817</v>
      </c>
      <c r="O2" s="83">
        <f>Plantilla!AC4</f>
        <v>0</v>
      </c>
      <c r="P2" s="83">
        <f>Plantilla!AD4</f>
        <v>18.2</v>
      </c>
      <c r="Q2" s="48">
        <f ca="1">Plantilla!AI4</f>
        <v>8.0862368817698602</v>
      </c>
      <c r="R2" s="48">
        <f ca="1">Plantilla!AJ4</f>
        <v>14.444274062648915</v>
      </c>
      <c r="S2" s="48">
        <f ca="1">Plantilla!AK4</f>
        <v>0.77492793035687835</v>
      </c>
      <c r="T2" s="48">
        <f ca="1">Plantilla!AL4</f>
        <v>1.2243119390622685</v>
      </c>
      <c r="W2" t="str">
        <f>M4</f>
        <v>E. Toney</v>
      </c>
      <c r="X2" s="141">
        <f t="shared" ref="X2:Z9" si="0">N2</f>
        <v>1.8615991294609817</v>
      </c>
      <c r="Y2" s="141">
        <f t="shared" si="0"/>
        <v>0</v>
      </c>
      <c r="Z2" s="141">
        <f t="shared" si="0"/>
        <v>18.2</v>
      </c>
      <c r="AA2" s="141"/>
    </row>
    <row r="3" spans="1:27" x14ac:dyDescent="0.25">
      <c r="A3" t="str">
        <f>Plantilla!D5</f>
        <v>T. Hammond</v>
      </c>
      <c r="B3" s="83">
        <f>Plantilla!Y5++Plantilla!J5+Plantilla!P5</f>
        <v>9.7475038047995977</v>
      </c>
      <c r="C3" s="83">
        <f>Plantilla!AB5+Plantilla!J5+Plantilla!P5</f>
        <v>4.7475038047995977</v>
      </c>
      <c r="D3" s="126">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13.95</v>
      </c>
      <c r="Q3" s="48">
        <f>Plantilla!AI5</f>
        <v>4.7283230154312932</v>
      </c>
      <c r="R3" s="48">
        <f>Plantilla!AJ5</f>
        <v>9.4963602605149848</v>
      </c>
      <c r="S3" s="48">
        <f>Plantilla!AK5</f>
        <v>0.64230030438396779</v>
      </c>
      <c r="T3" s="48">
        <f>Plantilla!AL5</f>
        <v>0.89232526633597187</v>
      </c>
      <c r="W3" t="str">
        <f>M5</f>
        <v>B. Bartolache</v>
      </c>
      <c r="X3" s="141">
        <f t="shared" si="0"/>
        <v>1.2975038047995981</v>
      </c>
      <c r="Y3" s="141">
        <f t="shared" si="0"/>
        <v>0</v>
      </c>
      <c r="Z3" s="141">
        <f t="shared" si="0"/>
        <v>13.95</v>
      </c>
      <c r="AA3" s="141"/>
    </row>
    <row r="4" spans="1:27" x14ac:dyDescent="0.25">
      <c r="A4" t="str">
        <f>Plantilla!D6</f>
        <v>E. Toney</v>
      </c>
      <c r="B4" s="83">
        <f>Plantilla!Y6++Plantilla!J6+Plantilla!P6</f>
        <v>15.164076412010365</v>
      </c>
      <c r="C4" s="83">
        <f>Plantilla!AB6+Plantilla!J6+Plantilla!P6</f>
        <v>11.164076412010365</v>
      </c>
      <c r="D4" s="126">
        <f t="shared" si="1"/>
        <v>4.6865286545038867</v>
      </c>
      <c r="E4" s="83">
        <f>D4*Plantilla!R6</f>
        <v>4.6865286545038867</v>
      </c>
      <c r="F4" s="83">
        <f>D4*Plantilla!S6</f>
        <v>4.6865286545038867</v>
      </c>
      <c r="M4" t="str">
        <f>Plantilla!D6</f>
        <v>E. Toney</v>
      </c>
      <c r="N4" s="48">
        <f>Plantilla!J6</f>
        <v>1.7140764120103651</v>
      </c>
      <c r="O4" s="83">
        <f>Plantilla!AC6</f>
        <v>0.95</v>
      </c>
      <c r="P4" s="83">
        <f>Plantilla!AD6</f>
        <v>17.177777777777774</v>
      </c>
      <c r="Q4" s="48">
        <f>Plantilla!AI6</f>
        <v>10.527886648320683</v>
      </c>
      <c r="R4" s="48">
        <f>Plantilla!AJ6</f>
        <v>15.523520856454805</v>
      </c>
      <c r="S4" s="48">
        <f>Plantilla!AK6</f>
        <v>0.8199594462941624</v>
      </c>
      <c r="T4" s="48">
        <f>Plantilla!AL6</f>
        <v>1.2183186821740588</v>
      </c>
      <c r="W4" t="str">
        <f>M6</f>
        <v>F. Lasprilla</v>
      </c>
      <c r="X4" s="141">
        <f t="shared" si="0"/>
        <v>1.7140764120103651</v>
      </c>
      <c r="Y4" s="141">
        <f t="shared" si="0"/>
        <v>0.95</v>
      </c>
      <c r="Z4" s="141">
        <f t="shared" si="0"/>
        <v>17.177777777777774</v>
      </c>
      <c r="AA4" s="141"/>
    </row>
    <row r="5" spans="1:27" x14ac:dyDescent="0.25">
      <c r="A5" t="str">
        <f>Plantilla!D7</f>
        <v>B. Bartolache</v>
      </c>
      <c r="B5" s="83">
        <f>Plantilla!Y7++Plantilla!J7+Plantilla!P7</f>
        <v>14.92627995953049</v>
      </c>
      <c r="C5" s="83">
        <f>Plantilla!AB7+Plantilla!J7+Plantilla!P7</f>
        <v>10.926279959530492</v>
      </c>
      <c r="D5" s="126">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1">
        <f t="shared" si="0"/>
        <v>1.4762799595304912</v>
      </c>
      <c r="Y5" s="141">
        <f t="shared" si="0"/>
        <v>1.95</v>
      </c>
      <c r="Z5" s="141">
        <f t="shared" si="0"/>
        <v>16</v>
      </c>
      <c r="AA5" s="141"/>
    </row>
    <row r="6" spans="1:27" x14ac:dyDescent="0.25">
      <c r="A6" t="str">
        <f>Plantilla!D8</f>
        <v>F. Lasprilla</v>
      </c>
      <c r="B6" s="83">
        <f>Plantilla!Y8++Plantilla!J8+Plantilla!P8</f>
        <v>12.263642292974636</v>
      </c>
      <c r="C6" s="83">
        <f>Plantilla!AB8+Plantilla!J8+Plantilla!P8</f>
        <v>11.5223089596413</v>
      </c>
      <c r="D6" s="126">
        <f t="shared" si="1"/>
        <v>4.4135325265321548</v>
      </c>
      <c r="E6" s="83">
        <f>D6*Plantilla!R8</f>
        <v>3.73011579318135</v>
      </c>
      <c r="F6" s="83">
        <f>D6*Plantilla!S8</f>
        <v>4.0827305898121713</v>
      </c>
      <c r="M6" t="str">
        <f>Plantilla!D8</f>
        <v>F. Lasprilla</v>
      </c>
      <c r="N6" s="48">
        <f>Plantilla!J8</f>
        <v>1.1589756263079682</v>
      </c>
      <c r="O6" s="83">
        <f>Plantilla!AC8</f>
        <v>2.95</v>
      </c>
      <c r="P6" s="83">
        <f>Plantilla!AD8</f>
        <v>13.33611111111111</v>
      </c>
      <c r="Q6" s="48">
        <f>Plantilla!AI8</f>
        <v>8.8810476113509687</v>
      </c>
      <c r="R6" s="48">
        <f>Plantilla!AJ8</f>
        <v>10.884955812189798</v>
      </c>
      <c r="S6" s="48">
        <f>Plantilla!AK8</f>
        <v>0.76030138343797071</v>
      </c>
      <c r="T6" s="48">
        <f>Plantilla!AL8</f>
        <v>0.97039829384155785</v>
      </c>
      <c r="W6" t="str">
        <f>M17</f>
        <v>M. Grupinski</v>
      </c>
      <c r="X6" s="141">
        <f t="shared" si="0"/>
        <v>1.1589756263079682</v>
      </c>
      <c r="Y6" s="141">
        <f t="shared" si="0"/>
        <v>2.95</v>
      </c>
      <c r="Z6" s="141">
        <f t="shared" si="0"/>
        <v>13.33611111111111</v>
      </c>
      <c r="AA6" s="141"/>
    </row>
    <row r="7" spans="1:27" x14ac:dyDescent="0.25">
      <c r="A7" t="str">
        <f>Plantilla!D9</f>
        <v>E. Romweber</v>
      </c>
      <c r="B7" s="83">
        <f>Plantilla!Y9++Plantilla!J9+Plantilla!P9</f>
        <v>15.136423764012715</v>
      </c>
      <c r="C7" s="83">
        <f>Plantilla!AB9+Plantilla!J9+Plantilla!P9</f>
        <v>13.136423764012715</v>
      </c>
      <c r="D7" s="126">
        <f t="shared" si="1"/>
        <v>5.1761589115047677</v>
      </c>
      <c r="E7" s="83">
        <f>D7*Plantilla!R9</f>
        <v>4.7921919598879255</v>
      </c>
      <c r="F7" s="83">
        <f>D7*Plantilla!S9</f>
        <v>5.1724603337466846</v>
      </c>
      <c r="M7" t="str">
        <f>Plantilla!D9</f>
        <v>E. Romweber</v>
      </c>
      <c r="N7" s="48">
        <f>Plantilla!J9</f>
        <v>1.6864237640127151</v>
      </c>
      <c r="O7" s="83">
        <f>Plantilla!AC9</f>
        <v>5.95</v>
      </c>
      <c r="P7" s="83">
        <f>Plantilla!AD9</f>
        <v>17.529999999999998</v>
      </c>
      <c r="Q7" s="48">
        <f>Plantilla!AI9</f>
        <v>17.554008778465249</v>
      </c>
      <c r="R7" s="48">
        <f>Plantilla!AJ9</f>
        <v>15.963382489518862</v>
      </c>
      <c r="S7" s="48">
        <f>Plantilla!AK9</f>
        <v>1.078313901121017</v>
      </c>
      <c r="T7" s="48">
        <f>Plantilla!AL9</f>
        <v>1.2269496634808901</v>
      </c>
      <c r="W7" t="str">
        <f>M12</f>
        <v>I. Stone</v>
      </c>
      <c r="X7" s="141">
        <f t="shared" si="0"/>
        <v>1.6864237640127151</v>
      </c>
      <c r="Y7" s="141">
        <f t="shared" si="0"/>
        <v>5.95</v>
      </c>
      <c r="Z7" s="141">
        <f t="shared" si="0"/>
        <v>17.529999999999998</v>
      </c>
      <c r="AA7" s="141"/>
    </row>
    <row r="8" spans="1:27" x14ac:dyDescent="0.25">
      <c r="A8" t="str">
        <f>Plantilla!D10</f>
        <v>S. Buschelman</v>
      </c>
      <c r="B8" s="83">
        <f>Plantilla!Y10++Plantilla!J10+Plantilla!P10</f>
        <v>12.405529499093934</v>
      </c>
      <c r="C8" s="83">
        <f>Plantilla!AB10+Plantilla!J10+Plantilla!P10</f>
        <v>13.051862832427268</v>
      </c>
      <c r="D8" s="126">
        <f t="shared" si="1"/>
        <v>4.8136568954935584</v>
      </c>
      <c r="E8" s="83">
        <f>D8*Plantilla!R10</f>
        <v>4.0682826060296433</v>
      </c>
      <c r="F8" s="83">
        <f>D8*Plantilla!S10</f>
        <v>4.4528649416193797</v>
      </c>
      <c r="M8" t="str">
        <f>Plantilla!D10</f>
        <v>S. Buschelman</v>
      </c>
      <c r="N8" s="48">
        <f>Plantilla!J10</f>
        <v>1.6018628324272688</v>
      </c>
      <c r="O8" s="83">
        <f>Plantilla!AC10</f>
        <v>3.95</v>
      </c>
      <c r="P8" s="83">
        <f>Plantilla!AD10</f>
        <v>16</v>
      </c>
      <c r="Q8" s="48">
        <f>Plantilla!AI10</f>
        <v>12.349492734535543</v>
      </c>
      <c r="R8" s="48">
        <f>Plantilla!AJ10</f>
        <v>13.088788015222832</v>
      </c>
      <c r="S8" s="48">
        <f>Plantilla!AK10</f>
        <v>0.92564902659418158</v>
      </c>
      <c r="T8" s="48">
        <f>Plantilla!AL10</f>
        <v>1.0692770649365755</v>
      </c>
      <c r="W8" t="str">
        <f>M13</f>
        <v>G. Piscaer</v>
      </c>
      <c r="X8" s="141">
        <f t="shared" si="0"/>
        <v>1.6018628324272688</v>
      </c>
      <c r="Y8" s="141">
        <f t="shared" si="0"/>
        <v>3.95</v>
      </c>
      <c r="Z8" s="141">
        <f t="shared" si="0"/>
        <v>16</v>
      </c>
      <c r="AA8" s="141"/>
    </row>
    <row r="9" spans="1:27" x14ac:dyDescent="0.25">
      <c r="A9" t="str">
        <f>Plantilla!D11</f>
        <v>E. Gross</v>
      </c>
      <c r="B9" s="83">
        <f>Plantilla!Y11++Plantilla!J11+Plantilla!P11</f>
        <v>13.586384459177404</v>
      </c>
      <c r="C9" s="83">
        <f>Plantilla!AB11+Plantilla!J11+Plantilla!P11</f>
        <v>11.986384459177408</v>
      </c>
      <c r="D9" s="126">
        <f t="shared" si="1"/>
        <v>4.6948941721915274</v>
      </c>
      <c r="E9" s="83">
        <f>D9*Plantilla!R11</f>
        <v>4.34662739091993</v>
      </c>
      <c r="F9" s="83">
        <f>D9*Plantilla!S11</f>
        <v>4.691539477820915</v>
      </c>
      <c r="H9" s="48"/>
      <c r="M9" t="str">
        <f>Plantilla!D11</f>
        <v>E. Gross</v>
      </c>
      <c r="N9" s="48">
        <f>Plantilla!J11</f>
        <v>1.5363844591774087</v>
      </c>
      <c r="O9" s="83">
        <f>Plantilla!AC11</f>
        <v>0.95</v>
      </c>
      <c r="P9" s="83">
        <f>Plantilla!AD11</f>
        <v>17.3</v>
      </c>
      <c r="Q9" s="48">
        <f>Plantilla!AI11</f>
        <v>9.4455959245107834</v>
      </c>
      <c r="R9" s="48">
        <f>Plantilla!AJ11</f>
        <v>14.286685899624228</v>
      </c>
      <c r="S9" s="48">
        <f>Plantilla!AK11</f>
        <v>0.80941075673419272</v>
      </c>
      <c r="T9" s="48">
        <f>Plantilla!AL11</f>
        <v>1.1535469121424184</v>
      </c>
      <c r="W9" t="str">
        <f>M14</f>
        <v>M. Bondarewski</v>
      </c>
      <c r="X9" s="141">
        <f t="shared" si="0"/>
        <v>1.5363844591774087</v>
      </c>
      <c r="Y9" s="141">
        <f t="shared" si="0"/>
        <v>0.95</v>
      </c>
      <c r="Z9" s="141">
        <f t="shared" si="0"/>
        <v>17.3</v>
      </c>
      <c r="AA9" s="141"/>
    </row>
    <row r="10" spans="1:27" x14ac:dyDescent="0.25">
      <c r="A10" t="str">
        <f>Plantilla!D12</f>
        <v>W. Gelifini</v>
      </c>
      <c r="B10" s="83">
        <f>Plantilla!Y12++Plantilla!J12+Plantilla!P12</f>
        <v>8.138705808214544</v>
      </c>
      <c r="C10" s="83">
        <f>Plantilla!AB12+Plantilla!J12+Plantilla!P12</f>
        <v>11.437150252658991</v>
      </c>
      <c r="D10" s="126">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1">
        <f t="shared" ref="X10:Z11" si="2">N9</f>
        <v>1.5363844591774087</v>
      </c>
      <c r="Y10" s="141">
        <f t="shared" si="2"/>
        <v>0.95</v>
      </c>
      <c r="Z10" s="141">
        <f t="shared" si="2"/>
        <v>17.3</v>
      </c>
      <c r="AA10" s="141"/>
    </row>
    <row r="11" spans="1:27" x14ac:dyDescent="0.25">
      <c r="A11" t="str">
        <f>Plantilla!D13</f>
        <v>I. Vanags</v>
      </c>
      <c r="B11" s="83">
        <f ca="1">Plantilla!Y13++Plantilla!J13+Plantilla!P13</f>
        <v>4.5030525171983848</v>
      </c>
      <c r="C11" s="83">
        <f ca="1">Plantilla!AB13+Plantilla!J13+Plantilla!P13</f>
        <v>4.5030525171983848</v>
      </c>
      <c r="D11" s="126">
        <f t="shared" ca="1" si="1"/>
        <v>1.6886446939493944</v>
      </c>
      <c r="E11" s="83">
        <f ca="1">D11*Plantilla!R13</f>
        <v>1.2764954036968212</v>
      </c>
      <c r="F11" s="83">
        <f ca="1">D11*Plantilla!S13</f>
        <v>1.4257373682711487</v>
      </c>
      <c r="M11" t="str">
        <f>Plantilla!D13</f>
        <v>I. Vanags</v>
      </c>
      <c r="N11" s="48">
        <f>Plantilla!J13</f>
        <v>0.23478834540757498</v>
      </c>
      <c r="O11" s="83">
        <f>Plantilla!AC13</f>
        <v>7</v>
      </c>
      <c r="P11" s="83">
        <f>Plantilla!AD13</f>
        <v>6</v>
      </c>
      <c r="Q11" s="48">
        <f ca="1">Plantilla!AI13</f>
        <v>6.3738009145052157</v>
      </c>
      <c r="R11" s="48">
        <f ca="1">Plantilla!AJ13</f>
        <v>5.1426243190339678</v>
      </c>
      <c r="S11" s="48">
        <f ca="1">Plantilla!AK13</f>
        <v>0.57024420137587084</v>
      </c>
      <c r="T11" s="48">
        <f ca="1">Plantilla!AL13</f>
        <v>0.37521367620388701</v>
      </c>
      <c r="W11" t="str">
        <f>M11</f>
        <v>I. Vanags</v>
      </c>
      <c r="X11" s="141">
        <f t="shared" si="2"/>
        <v>0.98715025265899181</v>
      </c>
      <c r="Y11" s="141">
        <f t="shared" si="2"/>
        <v>2.95</v>
      </c>
      <c r="Z11" s="141">
        <f t="shared" si="2"/>
        <v>12.847222222222223</v>
      </c>
      <c r="AA11" s="141"/>
    </row>
    <row r="12" spans="1:27" x14ac:dyDescent="0.25">
      <c r="A12" t="str">
        <f>Plantilla!D14</f>
        <v>I. Stone</v>
      </c>
      <c r="B12" s="83">
        <f ca="1">Plantilla!Y14++Plantilla!J14+Plantilla!P14</f>
        <v>3.7463771631232867</v>
      </c>
      <c r="C12" s="83">
        <f ca="1">Plantilla!AB14+Plantilla!J14+Plantilla!P14</f>
        <v>6.7463771631232872</v>
      </c>
      <c r="D12" s="126">
        <f t="shared" ca="1" si="1"/>
        <v>2.1548914361712326</v>
      </c>
      <c r="E12" s="83">
        <f ca="1">D12*Plantilla!R14</f>
        <v>1.6289448121291132</v>
      </c>
      <c r="F12" s="83">
        <f ca="1">D12*Plantilla!S14</f>
        <v>1.8193935385728222</v>
      </c>
      <c r="M12" t="str">
        <f>Plantilla!D14</f>
        <v>I. Stone</v>
      </c>
      <c r="N12" s="48">
        <f>Plantilla!J14</f>
        <v>0.50694832228214137</v>
      </c>
      <c r="O12" s="83">
        <f>Plantilla!AC14</f>
        <v>9</v>
      </c>
      <c r="P12" s="83">
        <f>Plantilla!AD14</f>
        <v>2</v>
      </c>
      <c r="Q12" s="48">
        <f ca="1">Plantilla!AI14</f>
        <v>7.6269402103727444</v>
      </c>
      <c r="R12" s="48">
        <f ca="1">Plantilla!AJ14</f>
        <v>3.6635167809276932</v>
      </c>
      <c r="S12" s="48">
        <f ca="1">Plantilla!AK14</f>
        <v>0.56971017304986304</v>
      </c>
      <c r="T12" s="48">
        <f ca="1">Plantilla!AL14</f>
        <v>0.23224640141863007</v>
      </c>
      <c r="Y12" s="239">
        <f>AVERAGE(Y2:Y11)</f>
        <v>2.0599999999999996</v>
      </c>
      <c r="Z12" s="239">
        <f>AVERAGE(Z2:Z11)</f>
        <v>15.964111111111112</v>
      </c>
      <c r="AA12" s="240">
        <f>1.66*(Y12+1.5)+0.55*(Z12+1.5)-7.6</f>
        <v>7.9148611111111116</v>
      </c>
    </row>
    <row r="13" spans="1:27" x14ac:dyDescent="0.25">
      <c r="A13" t="str">
        <f>Plantilla!D15</f>
        <v>G. Piscaer</v>
      </c>
      <c r="B13" s="83">
        <f ca="1">Plantilla!Y15++Plantilla!J15+Plantilla!P15</f>
        <v>4.8685443988991128</v>
      </c>
      <c r="C13" s="83">
        <f ca="1">Plantilla!AB15+Plantilla!J15+Plantilla!P15</f>
        <v>2.8685443988991128</v>
      </c>
      <c r="D13" s="126">
        <f t="shared" ca="1" si="1"/>
        <v>1.3257041495871673</v>
      </c>
      <c r="E13" s="83">
        <f ca="1">D13*Plantilla!R15</f>
        <v>1.1204245025348443</v>
      </c>
      <c r="F13" s="83">
        <f ca="1">D13*Plantilla!S15</f>
        <v>1.226340318559568</v>
      </c>
      <c r="M13" t="str">
        <f>Plantilla!D15</f>
        <v>G. Piscaer</v>
      </c>
      <c r="N13" s="48">
        <f>Plantilla!J15</f>
        <v>0.61653066386527478</v>
      </c>
      <c r="O13" s="83">
        <f>Plantilla!AC15</f>
        <v>8</v>
      </c>
      <c r="P13" s="83">
        <f>Plantilla!AD15</f>
        <v>0</v>
      </c>
      <c r="Q13" s="48">
        <f ca="1">Plantilla!AI15</f>
        <v>6.422735493929931</v>
      </c>
      <c r="R13" s="48">
        <f ca="1">Plantilla!AJ15</f>
        <v>2.7624242054986463</v>
      </c>
      <c r="S13" s="48">
        <f ca="1">Plantilla!AK15</f>
        <v>0.46948355191192903</v>
      </c>
      <c r="T13" s="48">
        <f ca="1">Plantilla!AL15</f>
        <v>0.22079810792293789</v>
      </c>
    </row>
    <row r="14" spans="1:27" x14ac:dyDescent="0.25">
      <c r="A14" t="str">
        <f>Plantilla!D16</f>
        <v>M. Bondarewski</v>
      </c>
      <c r="B14" s="83">
        <f ca="1">Plantilla!Y16++Plantilla!J16+Plantilla!P16</f>
        <v>2.8604652185966377</v>
      </c>
      <c r="C14" s="83">
        <f ca="1">Plantilla!AB16+Plantilla!J16+Plantilla!P16</f>
        <v>4.8604652185966373</v>
      </c>
      <c r="D14" s="126">
        <f t="shared" ca="1" si="1"/>
        <v>1.572674456973739</v>
      </c>
      <c r="E14" s="83">
        <f ca="1">D14*Plantilla!R16</f>
        <v>1.572674456973739</v>
      </c>
      <c r="F14" s="83">
        <f ca="1">D14*Plantilla!S16</f>
        <v>1.572674456973739</v>
      </c>
      <c r="M14" t="str">
        <f>Plantilla!D16</f>
        <v>M. Bondarewski</v>
      </c>
      <c r="N14" s="48">
        <f>Plantilla!J16</f>
        <v>0.59621070845629232</v>
      </c>
      <c r="O14" s="83">
        <f>Plantilla!AC16</f>
        <v>8</v>
      </c>
      <c r="P14" s="83">
        <f>Plantilla!AD16</f>
        <v>6</v>
      </c>
      <c r="Q14" s="48">
        <f ca="1">Plantilla!AI16</f>
        <v>10.881628133098568</v>
      </c>
      <c r="R14" s="48">
        <f ca="1">Plantilla!AJ16</f>
        <v>7.4604652185966369</v>
      </c>
      <c r="S14" s="48">
        <f ca="1">Plantilla!AK16</f>
        <v>0.64883721748773093</v>
      </c>
      <c r="T14" s="48">
        <f ca="1">Plantilla!AL16</f>
        <v>0.32023256530176464</v>
      </c>
    </row>
    <row r="15" spans="1:27" x14ac:dyDescent="0.25">
      <c r="A15" t="str">
        <f>Plantilla!D21</f>
        <v>J. Vartiainen</v>
      </c>
      <c r="B15" s="83">
        <f ca="1">Plantilla!Y21++Plantilla!J21+Plantilla!P21</f>
        <v>7.4550477092846332</v>
      </c>
      <c r="C15" s="83">
        <f ca="1">Plantilla!AB21+Plantilla!J21+Plantilla!P21</f>
        <v>1.4550477092846328</v>
      </c>
      <c r="D15" s="126">
        <f t="shared" ca="1" si="1"/>
        <v>1.2956428909817372</v>
      </c>
      <c r="E15" s="83">
        <f ca="1">D15*Plantilla!R21</f>
        <v>1.0950181019219707</v>
      </c>
      <c r="F15" s="83">
        <f ca="1">D15*Plantilla!S21</f>
        <v>1.1985322035544481</v>
      </c>
      <c r="M15" t="str">
        <f>Plantilla!D21</f>
        <v>J. Vartiainen</v>
      </c>
      <c r="N15" s="48">
        <f>Plantilla!J21</f>
        <v>0.19483738090431735</v>
      </c>
      <c r="O15" s="83">
        <f>Plantilla!AC21</f>
        <v>6</v>
      </c>
      <c r="P15" s="83">
        <f>Plantilla!AD21</f>
        <v>1</v>
      </c>
      <c r="Q15" s="48">
        <f ca="1">Plantilla!AI21</f>
        <v>3.309332853070067</v>
      </c>
      <c r="R15" s="48">
        <f ca="1">Plantilla!AJ21</f>
        <v>2.497471144427664</v>
      </c>
      <c r="S15" s="48">
        <f ca="1">Plantilla!AK21</f>
        <v>0.36640381674277067</v>
      </c>
      <c r="T15" s="48">
        <f ca="1">Plantilla!AL21</f>
        <v>0.34185333964992431</v>
      </c>
    </row>
    <row r="16" spans="1:27" x14ac:dyDescent="0.25">
      <c r="A16" t="str">
        <f>Plantilla!D18</f>
        <v>R. Forsyth</v>
      </c>
      <c r="B16" s="83">
        <f ca="1">Plantilla!Y18++Plantilla!J18+Plantilla!P18</f>
        <v>7.9234130969031735</v>
      </c>
      <c r="C16" s="83">
        <f ca="1">Plantilla!AB18+Plantilla!J18+Plantilla!P18</f>
        <v>4.9234130969031735</v>
      </c>
      <c r="D16" s="126">
        <f t="shared" ca="1" si="1"/>
        <v>2.2212799113386898</v>
      </c>
      <c r="E16" s="83">
        <f ca="1">D16*Plantilla!R18</f>
        <v>2.0565055891383501</v>
      </c>
      <c r="F16" s="83">
        <f ca="1">D16*Plantilla!S18</f>
        <v>2.219692715772438</v>
      </c>
      <c r="M16" t="str">
        <f>Plantilla!D18</f>
        <v>R. Forsyth</v>
      </c>
      <c r="N16" s="48">
        <f>Plantilla!J18</f>
        <v>0.65514892511236356</v>
      </c>
      <c r="O16" s="83">
        <f>Plantilla!AC18</f>
        <v>6</v>
      </c>
      <c r="P16" s="83">
        <f>Plantilla!AD18</f>
        <v>2</v>
      </c>
      <c r="Q16" s="48">
        <f ca="1">Plantilla!AI18</f>
        <v>5.0926983813816795</v>
      </c>
      <c r="R16" s="48">
        <f ca="1">Plantilla!AJ18</f>
        <v>3.8175387247783408</v>
      </c>
      <c r="S16" s="48">
        <f ca="1">Plantilla!AK18</f>
        <v>0.43387304775225388</v>
      </c>
      <c r="T16" s="48">
        <f ca="1">Plantilla!AL18</f>
        <v>0.40463891678322217</v>
      </c>
    </row>
    <row r="17" spans="1:20" x14ac:dyDescent="0.25">
      <c r="A17" t="str">
        <f>Plantilla!D19</f>
        <v>M. Grupinski</v>
      </c>
      <c r="B17" s="83">
        <f ca="1">Plantilla!Y19++Plantilla!J19+Plantilla!P19</f>
        <v>3.7552649177824979</v>
      </c>
      <c r="C17" s="83">
        <f ca="1">Plantilla!AB19+Plantilla!J19+Plantilla!P19</f>
        <v>6.7552649177824975</v>
      </c>
      <c r="D17" s="126">
        <f t="shared" ca="1" si="1"/>
        <v>2.1582243441684366</v>
      </c>
      <c r="E17" s="83">
        <f ca="1">D17*Plantilla!R19</f>
        <v>1.9981274776495712</v>
      </c>
      <c r="F17" s="83">
        <f ca="1">D17*Plantilla!S19</f>
        <v>2.1566822043901248</v>
      </c>
      <c r="M17" t="str">
        <f>Plantilla!D19</f>
        <v>M. Grupinski</v>
      </c>
      <c r="N17" s="48">
        <f>Plantilla!J19</f>
        <v>0.59621070845629232</v>
      </c>
      <c r="O17" s="83">
        <f>Plantilla!AC19</f>
        <v>3</v>
      </c>
      <c r="P17" s="83">
        <f>Plantilla!AD19</f>
        <v>3</v>
      </c>
      <c r="Q17" s="48">
        <f ca="1">Plantilla!AI19</f>
        <v>0.64727366901540695</v>
      </c>
      <c r="R17" s="48">
        <f ca="1">Plantilla!AJ19</f>
        <v>3.4766997408537543</v>
      </c>
      <c r="S17" s="48">
        <f ca="1">Plantilla!AK19</f>
        <v>0.30042119342259987</v>
      </c>
      <c r="T17" s="48">
        <f ca="1">Plantilla!AL19</f>
        <v>0.26286854424477485</v>
      </c>
    </row>
    <row r="18" spans="1:20" x14ac:dyDescent="0.25">
      <c r="A18" t="str">
        <f>Plantilla!D20</f>
        <v>V. Godoi</v>
      </c>
      <c r="B18" s="83">
        <f ca="1">Plantilla!Y20++Plantilla!J20+Plantilla!P20</f>
        <v>4.2106433211263541</v>
      </c>
      <c r="C18" s="83">
        <f ca="1">Plantilla!AB20+Plantilla!J20+Plantilla!P20</f>
        <v>6.2106433211263541</v>
      </c>
      <c r="D18" s="126">
        <f t="shared" ca="1" si="1"/>
        <v>2.0789912454223827</v>
      </c>
      <c r="E18" s="83">
        <f ca="1">D18*Plantilla!R20</f>
        <v>1.9247718822632112</v>
      </c>
      <c r="F18" s="83">
        <f ca="1">D18*Plantilla!S20</f>
        <v>2.0775057209415793</v>
      </c>
      <c r="M18" t="str">
        <f>Plantilla!D20</f>
        <v>V. Godoi</v>
      </c>
      <c r="N18" s="48">
        <f>Plantilla!J20</f>
        <v>0.99758403600826717</v>
      </c>
      <c r="O18" s="83">
        <f>Plantilla!AC20</f>
        <v>5</v>
      </c>
      <c r="P18" s="83">
        <f>Plantilla!AD20</f>
        <v>1</v>
      </c>
      <c r="Q18" s="48">
        <f ca="1">Plantilla!AI20</f>
        <v>3.6343269286984148</v>
      </c>
      <c r="R18" s="48">
        <f ca="1">Plantilla!AJ20</f>
        <v>3.1576421398537868</v>
      </c>
      <c r="S18" s="48">
        <f ca="1">Plantilla!AK20</f>
        <v>0.37685146569010836</v>
      </c>
      <c r="T18" s="48">
        <f ca="1">Plantilla!AL20</f>
        <v>0.23474503247884479</v>
      </c>
    </row>
    <row r="19" spans="1:20" x14ac:dyDescent="0.25">
      <c r="A19" t="str">
        <f>Plantilla!D17</f>
        <v>P. Tuderek</v>
      </c>
      <c r="B19" s="83">
        <f ca="1">Plantilla!Y17++Plantilla!J17+Plantilla!P17</f>
        <v>6.7248277462204191</v>
      </c>
      <c r="C19" s="83">
        <f ca="1">Plantilla!AB17+Plantilla!J17+Plantilla!P17</f>
        <v>3.7248277462204187</v>
      </c>
      <c r="D19" s="126">
        <f t="shared" ca="1" si="1"/>
        <v>1.7718104048326571</v>
      </c>
      <c r="E19" s="83">
        <f ca="1">D19*Plantilla!R17</f>
        <v>1.6403776857802153</v>
      </c>
      <c r="F19" s="83">
        <f ca="1">D19*Plantilla!S17</f>
        <v>1.7705443736564717</v>
      </c>
      <c r="M19" t="str">
        <f>Plantilla!D17</f>
        <v>P. Tuderek</v>
      </c>
      <c r="N19" s="48">
        <f>Plantilla!J17</f>
        <v>0.45656357442960838</v>
      </c>
      <c r="O19" s="83">
        <f>Plantilla!AC17</f>
        <v>6</v>
      </c>
      <c r="P19" s="83">
        <f>Plantilla!AD17</f>
        <v>8</v>
      </c>
      <c r="Q19" s="48">
        <f ca="1">Plantilla!AI17</f>
        <v>7.7415866873378301</v>
      </c>
      <c r="R19" s="48">
        <f ca="1">Plantilla!AJ17</f>
        <v>7.5221288346405819</v>
      </c>
      <c r="S19" s="48">
        <f ca="1">Plantilla!AK17</f>
        <v>0.59798621969763344</v>
      </c>
      <c r="T19" s="48">
        <f ca="1">Plantilla!AL17</f>
        <v>0.53073794223542925</v>
      </c>
    </row>
    <row r="20" spans="1:20" x14ac:dyDescent="0.25">
      <c r="A20" t="str">
        <f>Plantilla!D22</f>
        <v>G. Stoychev</v>
      </c>
      <c r="B20" s="83">
        <f ca="1">Plantilla!Y22++Plantilla!J22+Plantilla!P22</f>
        <v>10.055184686573829</v>
      </c>
      <c r="C20" s="83">
        <f ca="1">Plantilla!AB22+Plantilla!J22+Plantilla!P22</f>
        <v>6.0551846865738286</v>
      </c>
      <c r="D20" s="126">
        <f t="shared" ca="1" si="1"/>
        <v>2.7706942574651858</v>
      </c>
      <c r="E20" s="83">
        <f ca="1">D20*Plantilla!R22</f>
        <v>2.3416640402485696</v>
      </c>
      <c r="F20" s="83">
        <f ca="1">D20*Plantilla!S22</f>
        <v>2.5630259054323115</v>
      </c>
      <c r="M20" t="str">
        <f>Plantilla!D22</f>
        <v>G. Stoychev</v>
      </c>
      <c r="N20" s="48">
        <f>Plantilla!J22</f>
        <v>0.8961304772476234</v>
      </c>
      <c r="O20" s="83">
        <f>Plantilla!AC22</f>
        <v>5</v>
      </c>
      <c r="P20" s="83">
        <f>Plantilla!AD22</f>
        <v>3</v>
      </c>
      <c r="Q20" s="48">
        <f ca="1">Plantilla!AI22</f>
        <v>3.9569768571267807</v>
      </c>
      <c r="R20" s="48">
        <f ca="1">Plantilla!AJ22</f>
        <v>3.9343491444049068</v>
      </c>
      <c r="S20" s="48">
        <f ca="1">Plantilla!AK22</f>
        <v>0.42441477492590629</v>
      </c>
      <c r="T20" s="48">
        <f ca="1">Plantilla!AL22</f>
        <v>0.5238629280601681</v>
      </c>
    </row>
    <row r="21" spans="1:20" x14ac:dyDescent="0.25">
      <c r="A21" t="str">
        <f>Plantilla!D23</f>
        <v>K. Helms</v>
      </c>
      <c r="B21" s="83">
        <f>Plantilla!Y23++Plantilla!J23+Plantilla!P23</f>
        <v>10.30277350468228</v>
      </c>
      <c r="C21" s="83">
        <f>Plantilla!AB23+Plantilla!J23+Plantilla!P23</f>
        <v>13.002470474379249</v>
      </c>
      <c r="D21" s="126">
        <f t="shared" si="1"/>
        <v>4.5384643066800976</v>
      </c>
      <c r="E21" s="83">
        <f>D21*Plantilla!R23</f>
        <v>4.2018014772247314</v>
      </c>
      <c r="F21" s="83">
        <f>D21*Plantilla!S23</f>
        <v>4.5352213878618146</v>
      </c>
      <c r="M21" t="str">
        <f>Plantilla!D23</f>
        <v>K. Helms</v>
      </c>
      <c r="N21" s="48">
        <f>Plantilla!J23</f>
        <v>1.5524704743792495</v>
      </c>
      <c r="O21" s="83">
        <f>Plantilla!AC23</f>
        <v>3.95</v>
      </c>
      <c r="P21" s="83">
        <f>Plantilla!AD23</f>
        <v>18</v>
      </c>
      <c r="Q21" s="48">
        <f>Plantilla!AI23</f>
        <v>14.445533750990554</v>
      </c>
      <c r="R21" s="48">
        <f>Plantilla!AJ23</f>
        <v>15.588468594507184</v>
      </c>
      <c r="S21" s="48">
        <f>Plantilla!AK23</f>
        <v>0.98169763795033982</v>
      </c>
      <c r="T21" s="48">
        <f>Plantilla!AL23</f>
        <v>1.0436850544186687</v>
      </c>
    </row>
    <row r="22" spans="1:20" x14ac:dyDescent="0.25">
      <c r="A22" t="str">
        <f>Plantilla!D24</f>
        <v>S. Zobbe</v>
      </c>
      <c r="B22" s="83">
        <f>Plantilla!Y24++Plantilla!J24+Plantilla!P24</f>
        <v>11.400448049953413</v>
      </c>
      <c r="C22" s="83">
        <f>Plantilla!AB24+Plantilla!J24+Plantilla!P24</f>
        <v>13.280448049953415</v>
      </c>
      <c r="D22" s="126">
        <f t="shared" si="1"/>
        <v>4.7451680187325307</v>
      </c>
      <c r="E22" s="83">
        <f>D22*Plantilla!R24</f>
        <v>4.3931719285404718</v>
      </c>
      <c r="F22" s="83">
        <f>D22*Plantilla!S24</f>
        <v>4.7417774016374015</v>
      </c>
      <c r="M22" t="str">
        <f>Plantilla!D24</f>
        <v>S. Zobbe</v>
      </c>
      <c r="N22" s="48">
        <f>Plantilla!J24</f>
        <v>1.5404480499534159</v>
      </c>
      <c r="O22" s="83">
        <f>Plantilla!AC24</f>
        <v>6.95</v>
      </c>
      <c r="P22" s="83">
        <f>Plantilla!AD24</f>
        <v>16</v>
      </c>
      <c r="Q22" s="48">
        <f>Plantilla!AI24</f>
        <v>18.013117107287091</v>
      </c>
      <c r="R22" s="48">
        <f>Plantilla!AJ24</f>
        <v>15.114427942439477</v>
      </c>
      <c r="S22" s="48">
        <f>Plantilla!AK24</f>
        <v>1.0707358439962733</v>
      </c>
      <c r="T22" s="48">
        <f>Plantilla!AL24</f>
        <v>1.0272313634967389</v>
      </c>
    </row>
    <row r="23" spans="1:20" x14ac:dyDescent="0.25">
      <c r="A23" t="str">
        <f>Plantilla!D25</f>
        <v>L. Bauman</v>
      </c>
      <c r="B23" s="83">
        <f>Plantilla!Y25++Plantilla!J25+Plantilla!P25</f>
        <v>8.9440985749411333</v>
      </c>
      <c r="C23" s="83">
        <f>Plantilla!AB25+Plantilla!J25+Plantilla!P25</f>
        <v>11.944098574941133</v>
      </c>
      <c r="D23" s="126">
        <f t="shared" si="1"/>
        <v>4.1040369656029245</v>
      </c>
      <c r="E23" s="83">
        <f>D23*Plantilla!R25</f>
        <v>3.7995999129647386</v>
      </c>
      <c r="F23" s="83">
        <f>D23*Plantilla!S25</f>
        <v>4.1011044629307998</v>
      </c>
      <c r="M23" t="str">
        <f>Plantilla!D25</f>
        <v>L. Bauman</v>
      </c>
      <c r="N23" s="48">
        <f>Plantilla!J25</f>
        <v>1.4940985749411331</v>
      </c>
      <c r="O23" s="83">
        <f>Plantilla!AC25</f>
        <v>5.95</v>
      </c>
      <c r="P23" s="83">
        <f>Plantilla!AD25</f>
        <v>16.95</v>
      </c>
      <c r="Q23" s="48">
        <f>Plantilla!AI25</f>
        <v>16.865162824763395</v>
      </c>
      <c r="R23" s="48">
        <f>Plantilla!AJ25</f>
        <v>15.40944100327618</v>
      </c>
      <c r="S23" s="48">
        <f>Plantilla!AK25</f>
        <v>1.0455278859952906</v>
      </c>
      <c r="T23" s="48">
        <f>Plantilla!AL25</f>
        <v>0.95608690024587928</v>
      </c>
    </row>
    <row r="24" spans="1:20" x14ac:dyDescent="0.25">
      <c r="A24" t="str">
        <f>Plantilla!D26</f>
        <v>J. Limon</v>
      </c>
      <c r="B24" s="83">
        <f>Plantilla!Y26++Plantilla!J26+Plantilla!P26</f>
        <v>9.9209800087343325</v>
      </c>
      <c r="C24" s="83">
        <f>Plantilla!AB26+Plantilla!J26+Plantilla!P26</f>
        <v>13.033360961115283</v>
      </c>
      <c r="D24" s="126">
        <f t="shared" si="1"/>
        <v>4.4984627413706129</v>
      </c>
      <c r="E24" s="83">
        <f>D24*Plantilla!R26</f>
        <v>4.1647672240388456</v>
      </c>
      <c r="F24" s="83">
        <f>D24*Plantilla!S26</f>
        <v>4.4952484053107558</v>
      </c>
      <c r="M24" t="str">
        <f>Plantilla!D26</f>
        <v>J. Limon</v>
      </c>
      <c r="N24" s="48">
        <f>Plantilla!J26</f>
        <v>1.5833609611152841</v>
      </c>
      <c r="O24" s="83">
        <f>Plantilla!AC26</f>
        <v>6.95</v>
      </c>
      <c r="P24" s="83">
        <f>Plantilla!AD26</f>
        <v>18.999999999999993</v>
      </c>
      <c r="Q24" s="48">
        <f>Plantilla!AI26</f>
        <v>19.628522766794237</v>
      </c>
      <c r="R24" s="48">
        <f>Plantilla!AJ26</f>
        <v>17.09837978765524</v>
      </c>
      <c r="S24" s="48">
        <f>Plantilla!AK26</f>
        <v>1.1641688768892222</v>
      </c>
      <c r="T24" s="48">
        <f>Plantilla!AL26</f>
        <v>1.0593400291828317</v>
      </c>
    </row>
    <row r="25" spans="1:20" x14ac:dyDescent="0.25">
      <c r="A25" t="str">
        <f>Plantilla!D27</f>
        <v>P .Trivadi</v>
      </c>
      <c r="B25" s="83">
        <f>Plantilla!Y27++Plantilla!J27+Plantilla!P27</f>
        <v>6.6710971468272744</v>
      </c>
      <c r="C25" s="83">
        <f>Plantilla!AB27+Plantilla!J27+Plantilla!P27</f>
        <v>13.601097146827273</v>
      </c>
      <c r="D25" s="126">
        <f t="shared" si="1"/>
        <v>4.2341614300602277</v>
      </c>
      <c r="E25" s="83">
        <f>D25*Plantilla!R27</f>
        <v>2.7719093225590656</v>
      </c>
      <c r="F25" s="83">
        <f>D25*Plantilla!S27</f>
        <v>3.1967217769163954</v>
      </c>
      <c r="M25" t="str">
        <f>Plantilla!D27</f>
        <v>P .Trivadi</v>
      </c>
      <c r="N25" s="48">
        <f>Plantilla!J27</f>
        <v>1.1510971468272746</v>
      </c>
      <c r="O25" s="83">
        <f>Plantilla!AC27</f>
        <v>7.95</v>
      </c>
      <c r="P25" s="83">
        <f>Plantilla!AD27</f>
        <v>14</v>
      </c>
      <c r="Q25" s="48">
        <f>Plantilla!AI27</f>
        <v>12.540496417052335</v>
      </c>
      <c r="R25" s="48">
        <f>Plantilla!AJ27</f>
        <v>9.7125054561506214</v>
      </c>
      <c r="S25" s="48">
        <f>Plantilla!AK27</f>
        <v>1.0295877717461819</v>
      </c>
      <c r="T25" s="48">
        <f>Plantilla!AL27</f>
        <v>0.76637680027790922</v>
      </c>
    </row>
    <row r="26" spans="1:20" x14ac:dyDescent="0.25">
      <c r="B26" s="83"/>
      <c r="C26" s="83"/>
      <c r="D26" s="126"/>
      <c r="E26" s="83"/>
      <c r="F26" s="83"/>
    </row>
    <row r="27" spans="1:20" ht="18.75" x14ac:dyDescent="0.3">
      <c r="A27" s="689" t="s">
        <v>443</v>
      </c>
      <c r="B27" s="689"/>
      <c r="C27" s="689"/>
      <c r="D27" s="689"/>
      <c r="E27" s="689"/>
      <c r="F27" s="689"/>
      <c r="G27" s="689"/>
      <c r="H27" s="689"/>
      <c r="I27" s="689"/>
      <c r="J27" s="689"/>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5.1761589115047677</v>
      </c>
      <c r="C29" s="48">
        <f>E7</f>
        <v>4.7921919598879255</v>
      </c>
      <c r="D29" s="48">
        <f>F7</f>
        <v>5.1724603337466846</v>
      </c>
      <c r="G29" s="48" t="str">
        <f>A29</f>
        <v>E. Romweber</v>
      </c>
      <c r="H29" s="48">
        <f>B29</f>
        <v>5.1761589115047677</v>
      </c>
      <c r="I29" s="48">
        <f t="shared" ref="I29:J32" si="3">C29</f>
        <v>4.7921919598879255</v>
      </c>
      <c r="J29" s="48">
        <f t="shared" si="3"/>
        <v>5.1724603337466846</v>
      </c>
    </row>
    <row r="30" spans="1:20" x14ac:dyDescent="0.25">
      <c r="A30" s="48" t="str">
        <f>A4</f>
        <v>E. Toney</v>
      </c>
      <c r="B30" s="48">
        <f>D4</f>
        <v>4.6865286545038867</v>
      </c>
      <c r="C30" s="48">
        <f>E4</f>
        <v>4.6865286545038867</v>
      </c>
      <c r="D30" s="48">
        <f>F4</f>
        <v>4.6865286545038867</v>
      </c>
      <c r="G30" s="48" t="str">
        <f>A30</f>
        <v>E. Toney</v>
      </c>
      <c r="H30" s="48">
        <f>B30</f>
        <v>4.6865286545038867</v>
      </c>
      <c r="I30" s="48">
        <f t="shared" si="3"/>
        <v>4.6865286545038867</v>
      </c>
      <c r="J30" s="48">
        <f t="shared" si="3"/>
        <v>4.6865286545038867</v>
      </c>
    </row>
    <row r="31" spans="1:20" x14ac:dyDescent="0.25">
      <c r="A31" t="str">
        <f>A8</f>
        <v>S. Buschelman</v>
      </c>
      <c r="B31" s="48">
        <f t="shared" ref="B31:D32" si="4">D8</f>
        <v>4.8136568954935584</v>
      </c>
      <c r="C31" s="48">
        <f t="shared" si="4"/>
        <v>4.0682826060296433</v>
      </c>
      <c r="D31" s="48">
        <f t="shared" si="4"/>
        <v>4.4528649416193797</v>
      </c>
      <c r="G31" s="48" t="str">
        <f>A31</f>
        <v>S. Buschelman</v>
      </c>
      <c r="H31" s="48">
        <f>B31</f>
        <v>4.8136568954935584</v>
      </c>
      <c r="I31" s="48">
        <f t="shared" si="3"/>
        <v>4.0682826060296433</v>
      </c>
      <c r="J31" s="48">
        <f t="shared" si="3"/>
        <v>4.4528649416193797</v>
      </c>
    </row>
    <row r="32" spans="1:20" x14ac:dyDescent="0.25">
      <c r="A32" s="48" t="str">
        <f>A9</f>
        <v>E. Gross</v>
      </c>
      <c r="B32" s="48">
        <f t="shared" si="4"/>
        <v>4.6948941721915274</v>
      </c>
      <c r="C32" s="48">
        <f t="shared" si="4"/>
        <v>4.34662739091993</v>
      </c>
      <c r="D32" s="48">
        <f t="shared" si="4"/>
        <v>4.691539477820915</v>
      </c>
      <c r="G32" s="48" t="str">
        <f>A32</f>
        <v>E. Gross</v>
      </c>
      <c r="H32" s="48">
        <f>B32</f>
        <v>4.6948941721915274</v>
      </c>
      <c r="I32" s="48">
        <f t="shared" si="3"/>
        <v>4.34662739091993</v>
      </c>
      <c r="J32" s="48">
        <f t="shared" si="3"/>
        <v>4.691539477820915</v>
      </c>
    </row>
    <row r="33" spans="1:10" x14ac:dyDescent="0.25">
      <c r="A33" t="str">
        <f>A5</f>
        <v>B. Bartolache</v>
      </c>
      <c r="B33" s="48">
        <f>D5</f>
        <v>4.5973549848239337</v>
      </c>
      <c r="C33" s="48">
        <f>E5</f>
        <v>4.5973549848239337</v>
      </c>
      <c r="D33" s="48">
        <f>F5</f>
        <v>4.5973549848239337</v>
      </c>
      <c r="H33" s="48"/>
      <c r="I33" s="83"/>
      <c r="J33" s="83"/>
    </row>
    <row r="34" spans="1:10" x14ac:dyDescent="0.25">
      <c r="B34" s="155">
        <f>SUM(B29:B33)</f>
        <v>23.968593618517673</v>
      </c>
      <c r="C34" s="311">
        <f t="shared" ref="C34:D34" si="5">SUM(C29:C33)</f>
        <v>22.49098559616532</v>
      </c>
      <c r="D34" s="311">
        <f t="shared" si="5"/>
        <v>23.600748392514799</v>
      </c>
      <c r="E34" s="155"/>
      <c r="G34" s="155"/>
      <c r="H34" s="155">
        <f>SUM(H29:H33)</f>
        <v>19.371238633693739</v>
      </c>
      <c r="I34" s="311">
        <f t="shared" ref="I34:J34" si="6">SUM(I29:I33)</f>
        <v>17.893630611341386</v>
      </c>
      <c r="J34" s="311">
        <f t="shared" si="6"/>
        <v>19.003393407690865</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23.9</v>
      </c>
      <c r="E3" s="123">
        <f>D3</f>
        <v>23.9</v>
      </c>
      <c r="F3" s="123">
        <f>E3+0.1</f>
        <v>24</v>
      </c>
      <c r="G3" s="123">
        <f>C3</f>
        <v>6</v>
      </c>
      <c r="H3" s="123">
        <f t="shared" ref="H3" si="0">G3+0.99</f>
        <v>6.99</v>
      </c>
      <c r="I3" s="127">
        <f t="shared" ref="I3:J3" si="1">G3*G3*E3</f>
        <v>860.4</v>
      </c>
      <c r="J3" s="127">
        <f t="shared" si="1"/>
        <v>1172.6424000000002</v>
      </c>
      <c r="K3" s="124"/>
      <c r="N3" s="2" t="s">
        <v>235</v>
      </c>
      <c r="O3" t="str">
        <f>A3</f>
        <v>D. Gehmacher</v>
      </c>
      <c r="P3" s="125">
        <f>E3</f>
        <v>23.9</v>
      </c>
      <c r="Q3" s="125">
        <f t="shared" ref="Q3:S3" si="2">F3</f>
        <v>24</v>
      </c>
      <c r="R3" s="125">
        <f t="shared" si="2"/>
        <v>6</v>
      </c>
      <c r="S3" s="125">
        <f t="shared" si="2"/>
        <v>6.99</v>
      </c>
      <c r="U3" s="2" t="s">
        <v>235</v>
      </c>
      <c r="V3" s="55" t="str">
        <f>O3</f>
        <v>D. Gehmacher</v>
      </c>
      <c r="W3" s="125">
        <f>P3</f>
        <v>23.9</v>
      </c>
      <c r="X3" s="125">
        <f t="shared" ref="X3:Z3" si="3">Q3</f>
        <v>24</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6.4</v>
      </c>
      <c r="Q4" s="125">
        <f t="shared" ref="Q4:S4" si="10">F7</f>
        <v>6.5</v>
      </c>
      <c r="R4" s="125">
        <f t="shared" si="10"/>
        <v>4</v>
      </c>
      <c r="S4" s="125">
        <f t="shared" si="10"/>
        <v>4.99</v>
      </c>
      <c r="V4" s="55" t="str">
        <f t="shared" ref="V4:V13" si="11">O4</f>
        <v>F. Lasprilla</v>
      </c>
      <c r="W4" s="125">
        <f t="shared" ref="W4:W13" si="12">P4</f>
        <v>6.4</v>
      </c>
      <c r="X4" s="125">
        <f t="shared" ref="X4:X13" si="13">Q4</f>
        <v>6.5</v>
      </c>
      <c r="Y4" s="125">
        <f t="shared" ref="Y4:Y13" si="14">R4</f>
        <v>4</v>
      </c>
      <c r="Z4" s="125">
        <f t="shared" ref="Z4:Z13" si="15">S4</f>
        <v>4.99</v>
      </c>
    </row>
    <row r="5" spans="1:26" x14ac:dyDescent="0.25">
      <c r="A5" s="128" t="str">
        <f>Plantilla!D6</f>
        <v>E. Toney</v>
      </c>
      <c r="B5" s="50">
        <f>Plantilla!E6</f>
        <v>36</v>
      </c>
      <c r="C5" s="50">
        <f>Plantilla!H6</f>
        <v>4</v>
      </c>
      <c r="D5" s="129">
        <f>Plantilla!I6</f>
        <v>18.3</v>
      </c>
      <c r="E5" s="123">
        <f t="shared" si="4"/>
        <v>18.3</v>
      </c>
      <c r="F5" s="123">
        <f t="shared" si="5"/>
        <v>18.400000000000002</v>
      </c>
      <c r="G5" s="123">
        <f t="shared" si="6"/>
        <v>4</v>
      </c>
      <c r="H5" s="123">
        <f t="shared" si="7"/>
        <v>4.99</v>
      </c>
      <c r="I5" s="127">
        <f t="shared" si="8"/>
        <v>292.8</v>
      </c>
      <c r="J5" s="127">
        <f t="shared" si="9"/>
        <v>458.1618400000001</v>
      </c>
      <c r="K5" s="124"/>
      <c r="L5" s="54"/>
      <c r="O5" t="str">
        <f>A14</f>
        <v>G. Piscaer</v>
      </c>
      <c r="P5" s="125">
        <f>E14</f>
        <v>1.9</v>
      </c>
      <c r="Q5" s="125">
        <f t="shared" ref="Q5:S5" si="16">F14</f>
        <v>2</v>
      </c>
      <c r="R5" s="125">
        <f t="shared" si="16"/>
        <v>1</v>
      </c>
      <c r="S5" s="125">
        <f t="shared" si="16"/>
        <v>1.99</v>
      </c>
      <c r="V5" s="55" t="str">
        <f t="shared" si="11"/>
        <v>G. Piscaer</v>
      </c>
      <c r="W5" s="125">
        <f t="shared" si="12"/>
        <v>1.9</v>
      </c>
      <c r="X5" s="125">
        <f t="shared" si="13"/>
        <v>2</v>
      </c>
      <c r="Y5" s="125">
        <f t="shared" si="14"/>
        <v>1</v>
      </c>
      <c r="Z5" s="125">
        <f t="shared" si="15"/>
        <v>1.99</v>
      </c>
    </row>
    <row r="6" spans="1:26" x14ac:dyDescent="0.25">
      <c r="A6" s="128" t="str">
        <f>Plantilla!D7</f>
        <v>B. Bartolache</v>
      </c>
      <c r="B6" s="50">
        <f>Plantilla!E7</f>
        <v>36</v>
      </c>
      <c r="C6" s="50">
        <f>Plantilla!H7</f>
        <v>3</v>
      </c>
      <c r="D6" s="129">
        <f>Plantilla!I7</f>
        <v>11.8</v>
      </c>
      <c r="E6" s="123">
        <f t="shared" si="4"/>
        <v>11.8</v>
      </c>
      <c r="F6" s="123">
        <f t="shared" si="5"/>
        <v>11.9</v>
      </c>
      <c r="G6" s="123">
        <f t="shared" si="6"/>
        <v>3</v>
      </c>
      <c r="H6" s="123">
        <f t="shared" si="7"/>
        <v>3.99</v>
      </c>
      <c r="I6" s="127">
        <f t="shared" si="8"/>
        <v>106.2</v>
      </c>
      <c r="J6" s="127">
        <f t="shared" si="9"/>
        <v>189.44919000000002</v>
      </c>
      <c r="K6" s="124"/>
      <c r="O6" t="str">
        <f>A5</f>
        <v>E. Toney</v>
      </c>
      <c r="P6" s="125">
        <f>E5</f>
        <v>18.3</v>
      </c>
      <c r="Q6" s="125">
        <f t="shared" ref="Q6:S6" si="17">F5</f>
        <v>18.400000000000002</v>
      </c>
      <c r="R6" s="125">
        <f t="shared" si="17"/>
        <v>4</v>
      </c>
      <c r="S6" s="125">
        <f t="shared" si="17"/>
        <v>4.99</v>
      </c>
      <c r="V6" s="55" t="str">
        <f t="shared" si="11"/>
        <v>E. Toney</v>
      </c>
      <c r="W6" s="125">
        <f t="shared" si="12"/>
        <v>18.3</v>
      </c>
      <c r="X6" s="125">
        <f t="shared" si="13"/>
        <v>18.400000000000002</v>
      </c>
      <c r="Y6" s="125">
        <f t="shared" si="14"/>
        <v>4</v>
      </c>
      <c r="Z6" s="125">
        <f t="shared" si="15"/>
        <v>4.99</v>
      </c>
    </row>
    <row r="7" spans="1:26" x14ac:dyDescent="0.25">
      <c r="A7" s="128" t="str">
        <f>Plantilla!D8</f>
        <v>F. Lasprilla</v>
      </c>
      <c r="B7" s="50">
        <f>Plantilla!E8</f>
        <v>32</v>
      </c>
      <c r="C7" s="50">
        <f>Plantilla!H8</f>
        <v>4</v>
      </c>
      <c r="D7" s="129">
        <f>Plantilla!I8</f>
        <v>6.4</v>
      </c>
      <c r="E7" s="123">
        <f t="shared" si="4"/>
        <v>6.4</v>
      </c>
      <c r="F7" s="123">
        <f t="shared" si="5"/>
        <v>6.5</v>
      </c>
      <c r="G7" s="123">
        <f t="shared" si="6"/>
        <v>4</v>
      </c>
      <c r="H7" s="123">
        <f t="shared" si="7"/>
        <v>4.99</v>
      </c>
      <c r="I7" s="127">
        <f t="shared" si="8"/>
        <v>102.4</v>
      </c>
      <c r="J7" s="127">
        <f t="shared" si="9"/>
        <v>161.85065</v>
      </c>
      <c r="K7" s="124"/>
      <c r="O7" t="str">
        <f>A6</f>
        <v>B. Bartolache</v>
      </c>
      <c r="P7" s="125">
        <f>E6</f>
        <v>11.8</v>
      </c>
      <c r="Q7" s="125">
        <f t="shared" ref="Q7" si="18">F6</f>
        <v>11.9</v>
      </c>
      <c r="R7" s="125">
        <f t="shared" ref="R7" si="19">G6</f>
        <v>3</v>
      </c>
      <c r="S7" s="125">
        <f t="shared" ref="S7" si="20">H6</f>
        <v>3.99</v>
      </c>
      <c r="V7" s="55" t="str">
        <f t="shared" si="11"/>
        <v>B. Bartolache</v>
      </c>
      <c r="W7" s="125">
        <f t="shared" si="12"/>
        <v>11.8</v>
      </c>
      <c r="X7" s="125">
        <f t="shared" si="13"/>
        <v>11.9</v>
      </c>
      <c r="Y7" s="125">
        <f t="shared" si="14"/>
        <v>3</v>
      </c>
      <c r="Z7" s="125">
        <f t="shared" si="15"/>
        <v>3.99</v>
      </c>
    </row>
    <row r="8" spans="1:26" x14ac:dyDescent="0.25">
      <c r="A8" s="128" t="str">
        <f>Plantilla!D9</f>
        <v>E. Romweber</v>
      </c>
      <c r="B8" s="50">
        <f>Plantilla!E9</f>
        <v>36</v>
      </c>
      <c r="C8" s="50">
        <f>Plantilla!H9</f>
        <v>0</v>
      </c>
      <c r="D8" s="129">
        <f>Plantilla!I9</f>
        <v>17.399999999999999</v>
      </c>
      <c r="E8" s="123">
        <f t="shared" si="4"/>
        <v>17.399999999999999</v>
      </c>
      <c r="F8" s="123">
        <f t="shared" si="5"/>
        <v>17.5</v>
      </c>
      <c r="G8" s="123">
        <f t="shared" si="6"/>
        <v>0</v>
      </c>
      <c r="H8" s="123">
        <f t="shared" si="7"/>
        <v>0.99</v>
      </c>
      <c r="I8" s="127">
        <f t="shared" si="8"/>
        <v>0</v>
      </c>
      <c r="J8" s="127">
        <f t="shared" si="9"/>
        <v>17.15175</v>
      </c>
      <c r="K8" s="124"/>
      <c r="O8" t="str">
        <f>A12</f>
        <v>I. Vanags</v>
      </c>
      <c r="P8" s="125">
        <f>E12</f>
        <v>0.5</v>
      </c>
      <c r="Q8" s="125">
        <f t="shared" ref="Q8:S8" si="21">F12</f>
        <v>0.6</v>
      </c>
      <c r="R8" s="125">
        <f t="shared" si="21"/>
        <v>4</v>
      </c>
      <c r="S8" s="125">
        <f t="shared" si="21"/>
        <v>4.99</v>
      </c>
      <c r="V8" s="55" t="str">
        <f t="shared" si="11"/>
        <v>I. Vanags</v>
      </c>
      <c r="W8" s="125">
        <f t="shared" si="12"/>
        <v>0.5</v>
      </c>
      <c r="X8" s="125">
        <f t="shared" si="13"/>
        <v>0.6</v>
      </c>
      <c r="Y8" s="125">
        <f t="shared" si="14"/>
        <v>4</v>
      </c>
      <c r="Z8" s="125">
        <f t="shared" si="15"/>
        <v>4.99</v>
      </c>
    </row>
    <row r="9" spans="1:26" x14ac:dyDescent="0.25">
      <c r="A9" s="128" t="str">
        <f>Plantilla!D10</f>
        <v>S. Buschelman</v>
      </c>
      <c r="B9" s="50">
        <f>Plantilla!E10</f>
        <v>34</v>
      </c>
      <c r="C9" s="50">
        <f>Plantilla!H10</f>
        <v>3</v>
      </c>
      <c r="D9" s="129">
        <f>Plantilla!I10</f>
        <v>14.9</v>
      </c>
      <c r="E9" s="123">
        <f t="shared" si="4"/>
        <v>14.9</v>
      </c>
      <c r="F9" s="123">
        <f t="shared" si="5"/>
        <v>15</v>
      </c>
      <c r="G9" s="123">
        <f t="shared" si="6"/>
        <v>3</v>
      </c>
      <c r="H9" s="123">
        <f t="shared" si="7"/>
        <v>3.99</v>
      </c>
      <c r="I9" s="127">
        <f t="shared" si="8"/>
        <v>134.1</v>
      </c>
      <c r="J9" s="127">
        <f t="shared" si="9"/>
        <v>238.80150000000003</v>
      </c>
      <c r="K9" s="124"/>
      <c r="O9" t="str">
        <f>A15</f>
        <v>M. Bondarewski</v>
      </c>
      <c r="P9" s="125">
        <f>E15</f>
        <v>1.8</v>
      </c>
      <c r="Q9" s="125">
        <f t="shared" ref="Q9:S9" si="22">F15</f>
        <v>1.9000000000000001</v>
      </c>
      <c r="R9" s="125">
        <f t="shared" si="22"/>
        <v>1</v>
      </c>
      <c r="S9" s="125">
        <f t="shared" si="22"/>
        <v>1.99</v>
      </c>
      <c r="V9" s="55" t="str">
        <f t="shared" si="11"/>
        <v>M. Bondarewski</v>
      </c>
      <c r="W9" s="125">
        <f t="shared" si="12"/>
        <v>1.8</v>
      </c>
      <c r="X9" s="125">
        <f t="shared" si="13"/>
        <v>1.9000000000000001</v>
      </c>
      <c r="Y9" s="125">
        <f t="shared" si="14"/>
        <v>1</v>
      </c>
      <c r="Z9" s="125">
        <f t="shared" si="15"/>
        <v>1.99</v>
      </c>
    </row>
    <row r="10" spans="1:26" x14ac:dyDescent="0.25">
      <c r="A10" s="128" t="str">
        <f>Plantilla!D11</f>
        <v>E. Gross</v>
      </c>
      <c r="B10" s="50">
        <f>Plantilla!E11</f>
        <v>35</v>
      </c>
      <c r="C10" s="50">
        <f>Plantilla!H11</f>
        <v>3</v>
      </c>
      <c r="D10" s="129">
        <f>Plantilla!I11</f>
        <v>13.2</v>
      </c>
      <c r="E10" s="123">
        <f t="shared" si="4"/>
        <v>13.2</v>
      </c>
      <c r="F10" s="123">
        <f t="shared" si="5"/>
        <v>13.299999999999999</v>
      </c>
      <c r="G10" s="123">
        <f t="shared" si="6"/>
        <v>3</v>
      </c>
      <c r="H10" s="123">
        <f t="shared" si="7"/>
        <v>3.99</v>
      </c>
      <c r="I10" s="127">
        <f t="shared" si="8"/>
        <v>118.8</v>
      </c>
      <c r="J10" s="127">
        <f t="shared" si="9"/>
        <v>211.73733000000001</v>
      </c>
      <c r="K10" s="124"/>
      <c r="O10" t="str">
        <f>A13</f>
        <v>I. Stone</v>
      </c>
      <c r="P10" s="125">
        <f>E13</f>
        <v>1.4</v>
      </c>
      <c r="Q10" s="125">
        <f t="shared" ref="Q10:S10" si="23">F13</f>
        <v>1.5</v>
      </c>
      <c r="R10" s="125">
        <f t="shared" si="23"/>
        <v>6</v>
      </c>
      <c r="S10" s="125">
        <f t="shared" si="23"/>
        <v>6.99</v>
      </c>
      <c r="V10" s="55" t="str">
        <f t="shared" si="11"/>
        <v>I. Stone</v>
      </c>
      <c r="W10" s="125">
        <f t="shared" si="12"/>
        <v>1.4</v>
      </c>
      <c r="X10" s="125">
        <f t="shared" si="13"/>
        <v>1.5</v>
      </c>
      <c r="Y10" s="125">
        <f t="shared" si="14"/>
        <v>6</v>
      </c>
      <c r="Z10" s="125">
        <f t="shared" si="15"/>
        <v>6.99</v>
      </c>
    </row>
    <row r="11" spans="1:26" x14ac:dyDescent="0.25">
      <c r="A11" s="128" t="str">
        <f>Plantilla!D12</f>
        <v>W. Gelifini</v>
      </c>
      <c r="B11" s="50">
        <f>Plantilla!E12</f>
        <v>34</v>
      </c>
      <c r="C11" s="50">
        <f>Plantilla!H12</f>
        <v>2</v>
      </c>
      <c r="D11" s="129">
        <f>Plantilla!I12</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13.2</v>
      </c>
      <c r="Q11" s="125">
        <f t="shared" ref="Q11:S11" si="24">F10</f>
        <v>13.299999999999999</v>
      </c>
      <c r="R11" s="125">
        <f t="shared" si="24"/>
        <v>3</v>
      </c>
      <c r="S11" s="125">
        <f t="shared" si="24"/>
        <v>3.99</v>
      </c>
      <c r="V11" s="55" t="str">
        <f t="shared" si="11"/>
        <v>E. Gross</v>
      </c>
      <c r="W11" s="125">
        <f t="shared" si="12"/>
        <v>13.2</v>
      </c>
      <c r="X11" s="125">
        <f t="shared" si="13"/>
        <v>13.299999999999999</v>
      </c>
      <c r="Y11" s="125">
        <f t="shared" si="14"/>
        <v>3</v>
      </c>
      <c r="Z11" s="125">
        <f t="shared" si="15"/>
        <v>3.99</v>
      </c>
    </row>
    <row r="12" spans="1:26" x14ac:dyDescent="0.25">
      <c r="A12" s="128" t="str">
        <f>Plantilla!D13</f>
        <v>I. Vanags</v>
      </c>
      <c r="B12" s="50">
        <f>Plantilla!E13</f>
        <v>18</v>
      </c>
      <c r="C12" s="50">
        <f>Plantilla!H13</f>
        <v>4</v>
      </c>
      <c r="D12" s="129">
        <f>Plantilla!I13</f>
        <v>0.5</v>
      </c>
      <c r="E12" s="123">
        <f t="shared" si="4"/>
        <v>0.5</v>
      </c>
      <c r="F12" s="123">
        <f t="shared" si="5"/>
        <v>0.6</v>
      </c>
      <c r="G12" s="123">
        <f t="shared" si="6"/>
        <v>4</v>
      </c>
      <c r="H12" s="123">
        <f t="shared" si="7"/>
        <v>4.99</v>
      </c>
      <c r="I12" s="127">
        <f t="shared" si="8"/>
        <v>8</v>
      </c>
      <c r="J12" s="127">
        <f t="shared" si="9"/>
        <v>14.940060000000001</v>
      </c>
      <c r="K12" s="124"/>
      <c r="O12" t="str">
        <f>A20</f>
        <v>P. Tuderek</v>
      </c>
      <c r="P12" s="125">
        <f>E20</f>
        <v>1.2</v>
      </c>
      <c r="Q12" s="125">
        <f t="shared" ref="Q12:S12" si="25">F20</f>
        <v>1.3</v>
      </c>
      <c r="R12" s="125">
        <f t="shared" si="25"/>
        <v>4</v>
      </c>
      <c r="S12" s="125">
        <f t="shared" si="25"/>
        <v>4.99</v>
      </c>
      <c r="V12" s="55" t="str">
        <f t="shared" si="11"/>
        <v>P. Tuderek</v>
      </c>
      <c r="W12" s="125">
        <f t="shared" si="12"/>
        <v>1.2</v>
      </c>
      <c r="X12" s="125">
        <f t="shared" si="13"/>
        <v>1.3</v>
      </c>
      <c r="Y12" s="125">
        <f t="shared" si="14"/>
        <v>4</v>
      </c>
      <c r="Z12" s="125">
        <f t="shared" si="15"/>
        <v>4.99</v>
      </c>
    </row>
    <row r="13" spans="1:26" x14ac:dyDescent="0.25">
      <c r="A13" s="321" t="str">
        <f>Plantilla!D14</f>
        <v>I. Stone</v>
      </c>
      <c r="B13" s="322">
        <f>Plantilla!E14</f>
        <v>18</v>
      </c>
      <c r="C13" s="322">
        <f>Plantilla!H14</f>
        <v>6</v>
      </c>
      <c r="D13" s="323">
        <f>Plantilla!I14</f>
        <v>1.4</v>
      </c>
      <c r="E13" s="324">
        <f t="shared" si="4"/>
        <v>1.4</v>
      </c>
      <c r="F13" s="324">
        <f t="shared" si="5"/>
        <v>1.5</v>
      </c>
      <c r="G13" s="324">
        <f t="shared" si="6"/>
        <v>6</v>
      </c>
      <c r="H13" s="324">
        <f t="shared" si="7"/>
        <v>6.99</v>
      </c>
      <c r="I13" s="325">
        <f t="shared" si="8"/>
        <v>50.4</v>
      </c>
      <c r="J13" s="325">
        <f t="shared" si="9"/>
        <v>73.290150000000011</v>
      </c>
      <c r="K13" s="124"/>
      <c r="O13" t="str">
        <f>A19</f>
        <v>V. Godoi</v>
      </c>
      <c r="P13" s="125">
        <f>E19</f>
        <v>4.5999999999999996</v>
      </c>
      <c r="Q13" s="125">
        <f t="shared" ref="Q13:S13" si="26">F19</f>
        <v>4.6999999999999993</v>
      </c>
      <c r="R13" s="125">
        <f t="shared" si="26"/>
        <v>5</v>
      </c>
      <c r="S13" s="125">
        <f t="shared" si="26"/>
        <v>5.99</v>
      </c>
      <c r="V13" s="55" t="str">
        <f t="shared" si="11"/>
        <v>V. Godoi</v>
      </c>
      <c r="W13" s="125">
        <f t="shared" si="12"/>
        <v>4.5999999999999996</v>
      </c>
      <c r="X13" s="125">
        <f t="shared" si="13"/>
        <v>4.6999999999999993</v>
      </c>
      <c r="Y13" s="125">
        <f t="shared" si="14"/>
        <v>5</v>
      </c>
      <c r="Z13" s="125">
        <f t="shared" si="15"/>
        <v>5.99</v>
      </c>
    </row>
    <row r="14" spans="1:26" x14ac:dyDescent="0.25">
      <c r="A14" s="128" t="str">
        <f>Plantilla!D15</f>
        <v>G. Piscaer</v>
      </c>
      <c r="B14" s="50">
        <f>Plantilla!E15</f>
        <v>19</v>
      </c>
      <c r="C14" s="50">
        <f>Plantilla!H15</f>
        <v>1</v>
      </c>
      <c r="D14" s="129">
        <f>Plantilla!I15</f>
        <v>1.9</v>
      </c>
      <c r="E14" s="123">
        <f t="shared" si="4"/>
        <v>1.9</v>
      </c>
      <c r="F14" s="123">
        <f t="shared" si="5"/>
        <v>2</v>
      </c>
      <c r="G14" s="123">
        <f t="shared" si="6"/>
        <v>1</v>
      </c>
      <c r="H14" s="123">
        <f t="shared" si="7"/>
        <v>1.99</v>
      </c>
      <c r="I14" s="127">
        <f t="shared" si="8"/>
        <v>1.9</v>
      </c>
      <c r="J14" s="127">
        <f t="shared" si="9"/>
        <v>7.9202000000000004</v>
      </c>
      <c r="K14" s="124"/>
      <c r="P14" s="48">
        <f>SUM(P4:P13)/10</f>
        <v>6.11</v>
      </c>
      <c r="Q14" s="48">
        <f>SUM(Q4:Q13)/10</f>
        <v>6.2099999999999991</v>
      </c>
      <c r="R14" s="48"/>
      <c r="S14" s="48"/>
      <c r="W14" s="48">
        <f>SUM(W4:W13)/10</f>
        <v>6.11</v>
      </c>
      <c r="X14" s="48">
        <f>SUM(X4:X13)/10</f>
        <v>6.2099999999999991</v>
      </c>
      <c r="Y14" s="48"/>
      <c r="Z14" s="48"/>
    </row>
    <row r="15" spans="1:26" x14ac:dyDescent="0.25">
      <c r="A15" s="128" t="str">
        <f>Plantilla!D16</f>
        <v>M. Bondarewski</v>
      </c>
      <c r="B15" s="50">
        <f>Plantilla!E16</f>
        <v>19</v>
      </c>
      <c r="C15" s="50">
        <f>Plantilla!H16</f>
        <v>1</v>
      </c>
      <c r="D15" s="129">
        <f>Plantilla!I16</f>
        <v>1.8</v>
      </c>
      <c r="E15" s="123">
        <f t="shared" si="4"/>
        <v>1.8</v>
      </c>
      <c r="F15" s="123">
        <f t="shared" si="5"/>
        <v>1.9000000000000001</v>
      </c>
      <c r="G15" s="123">
        <f t="shared" si="6"/>
        <v>1</v>
      </c>
      <c r="H15" s="123">
        <f t="shared" si="7"/>
        <v>1.99</v>
      </c>
      <c r="I15" s="127">
        <f t="shared" si="8"/>
        <v>1.8</v>
      </c>
      <c r="J15" s="127">
        <f t="shared" si="9"/>
        <v>7.5241900000000008</v>
      </c>
      <c r="K15" s="124"/>
    </row>
    <row r="16" spans="1:26" x14ac:dyDescent="0.25">
      <c r="A16" s="128" t="str">
        <f>Plantilla!D21</f>
        <v>J. Vartiainen</v>
      </c>
      <c r="B16" s="50">
        <f>Plantilla!E21</f>
        <v>19</v>
      </c>
      <c r="C16" s="50">
        <f>Plantilla!H21</f>
        <v>4</v>
      </c>
      <c r="D16" s="129">
        <f>Plantilla!I21</f>
        <v>0.4</v>
      </c>
      <c r="E16" s="123">
        <f t="shared" si="4"/>
        <v>0.4</v>
      </c>
      <c r="F16" s="123">
        <f t="shared" si="5"/>
        <v>0.5</v>
      </c>
      <c r="G16" s="123">
        <f t="shared" si="6"/>
        <v>4</v>
      </c>
      <c r="H16" s="123">
        <f t="shared" si="7"/>
        <v>4.99</v>
      </c>
      <c r="I16" s="127">
        <f t="shared" si="8"/>
        <v>6.4</v>
      </c>
      <c r="J16" s="127">
        <f t="shared" si="9"/>
        <v>12.450050000000001</v>
      </c>
      <c r="K16" s="124"/>
      <c r="L16" s="56" t="s">
        <v>236</v>
      </c>
      <c r="O16" t="s">
        <v>237</v>
      </c>
      <c r="P16" s="83">
        <f>SUM(P3:P13)</f>
        <v>85</v>
      </c>
      <c r="Q16" s="83">
        <f>SUM(Q3:Q13)</f>
        <v>86.100000000000009</v>
      </c>
      <c r="R16" s="83"/>
      <c r="V16" s="55" t="s">
        <v>237</v>
      </c>
      <c r="W16" s="83">
        <f>SUM(W3:W13)</f>
        <v>85</v>
      </c>
      <c r="X16" s="83">
        <f>SUM(X3:X13)</f>
        <v>86.100000000000009</v>
      </c>
      <c r="Y16" s="83"/>
    </row>
    <row r="17" spans="1:25" x14ac:dyDescent="0.25">
      <c r="A17" s="128" t="str">
        <f>Plantilla!D18</f>
        <v>R. Forsyth</v>
      </c>
      <c r="B17" s="50">
        <f>Plantilla!E18</f>
        <v>19</v>
      </c>
      <c r="C17" s="50">
        <f>Plantilla!H18</f>
        <v>4</v>
      </c>
      <c r="D17" s="129">
        <f>Plantilla!I18</f>
        <v>2.1</v>
      </c>
      <c r="E17" s="123">
        <f t="shared" si="4"/>
        <v>2.1</v>
      </c>
      <c r="F17" s="123">
        <f t="shared" si="5"/>
        <v>2.2000000000000002</v>
      </c>
      <c r="G17" s="123">
        <f t="shared" si="6"/>
        <v>4</v>
      </c>
      <c r="H17" s="123">
        <f t="shared" si="7"/>
        <v>4.99</v>
      </c>
      <c r="I17" s="127">
        <f t="shared" si="8"/>
        <v>33.6</v>
      </c>
      <c r="J17" s="127">
        <f t="shared" si="9"/>
        <v>54.780220000000007</v>
      </c>
      <c r="K17" s="124"/>
      <c r="O17" s="110" t="s">
        <v>393</v>
      </c>
      <c r="P17" s="48">
        <f>P16/16.5</f>
        <v>5.1515151515151514</v>
      </c>
      <c r="Q17" s="48">
        <f>Q16/16.5</f>
        <v>5.2181818181818187</v>
      </c>
      <c r="R17" s="48"/>
      <c r="V17" s="55" t="s">
        <v>238</v>
      </c>
      <c r="W17" s="48">
        <f>W16/17</f>
        <v>5</v>
      </c>
      <c r="X17" s="48">
        <f>X16/17</f>
        <v>5.0647058823529418</v>
      </c>
      <c r="Y17" s="48"/>
    </row>
    <row r="18" spans="1:25" x14ac:dyDescent="0.25">
      <c r="A18" s="128" t="str">
        <f>Plantilla!D19</f>
        <v>M. Grupinski</v>
      </c>
      <c r="B18" s="50">
        <f>Plantilla!E19</f>
        <v>23</v>
      </c>
      <c r="C18" s="50">
        <f>Plantilla!H19</f>
        <v>5</v>
      </c>
      <c r="D18" s="129">
        <f>Plantilla!I19</f>
        <v>1.8</v>
      </c>
      <c r="E18" s="123">
        <f t="shared" si="4"/>
        <v>1.8</v>
      </c>
      <c r="F18" s="123">
        <f t="shared" si="5"/>
        <v>1.9000000000000001</v>
      </c>
      <c r="G18" s="123">
        <f t="shared" si="6"/>
        <v>5</v>
      </c>
      <c r="H18" s="123">
        <f t="shared" si="7"/>
        <v>5.99</v>
      </c>
      <c r="I18" s="127">
        <f t="shared" si="8"/>
        <v>45</v>
      </c>
      <c r="J18" s="127">
        <f t="shared" si="9"/>
        <v>68.172190000000015</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Plantilla!D20</f>
        <v>V. Godoi</v>
      </c>
      <c r="B19" s="50">
        <f>Plantilla!E20</f>
        <v>26</v>
      </c>
      <c r="C19" s="50">
        <f>Plantilla!H20</f>
        <v>5</v>
      </c>
      <c r="D19" s="129">
        <f>Plantilla!I20</f>
        <v>4.5999999999999996</v>
      </c>
      <c r="E19" s="123">
        <f t="shared" si="4"/>
        <v>4.5999999999999996</v>
      </c>
      <c r="F19" s="123">
        <f t="shared" si="5"/>
        <v>4.6999999999999993</v>
      </c>
      <c r="G19" s="123">
        <f t="shared" si="6"/>
        <v>5</v>
      </c>
      <c r="H19" s="123">
        <f t="shared" si="7"/>
        <v>5.99</v>
      </c>
      <c r="I19" s="127">
        <f t="shared" si="8"/>
        <v>114.99999999999999</v>
      </c>
      <c r="J19" s="127">
        <f t="shared" si="9"/>
        <v>168.63647</v>
      </c>
      <c r="K19" s="124"/>
      <c r="L19" s="56" t="s">
        <v>241</v>
      </c>
      <c r="O19" s="69" t="s">
        <v>242</v>
      </c>
      <c r="P19" s="83">
        <f>P18*P3</f>
        <v>860.4</v>
      </c>
      <c r="Q19" s="83">
        <f>Q18*Q3</f>
        <v>1172.6424000000002</v>
      </c>
      <c r="R19" s="83"/>
      <c r="V19" s="55" t="s">
        <v>242</v>
      </c>
      <c r="W19" s="83">
        <f>W18*W3</f>
        <v>860.4</v>
      </c>
      <c r="X19" s="83">
        <f>X18*X3</f>
        <v>1172.6424000000002</v>
      </c>
      <c r="Y19" s="83"/>
    </row>
    <row r="20" spans="1:25" x14ac:dyDescent="0.25">
      <c r="A20" s="128" t="str">
        <f>Plantilla!D17</f>
        <v>P. Tuderek</v>
      </c>
      <c r="B20" s="50">
        <f>Plantilla!E17</f>
        <v>18</v>
      </c>
      <c r="C20" s="50">
        <f>Plantilla!H17</f>
        <v>4</v>
      </c>
      <c r="D20" s="129">
        <f>Plantilla!I17</f>
        <v>1.2</v>
      </c>
      <c r="E20" s="123">
        <f t="shared" si="4"/>
        <v>1.2</v>
      </c>
      <c r="F20" s="123">
        <f t="shared" si="5"/>
        <v>1.3</v>
      </c>
      <c r="G20" s="123">
        <f t="shared" si="6"/>
        <v>4</v>
      </c>
      <c r="H20" s="123">
        <f t="shared" si="7"/>
        <v>4.99</v>
      </c>
      <c r="I20" s="127">
        <f t="shared" si="8"/>
        <v>19.2</v>
      </c>
      <c r="J20" s="127">
        <f t="shared" si="9"/>
        <v>32.370130000000003</v>
      </c>
      <c r="K20" s="124"/>
      <c r="L20" s="56" t="s">
        <v>243</v>
      </c>
      <c r="O20" s="110" t="s">
        <v>394</v>
      </c>
      <c r="P20" s="48">
        <f>(P19^(2/3))/27</f>
        <v>3.3504502247619832</v>
      </c>
      <c r="Q20" s="48">
        <f>(Q19^(2/3))/27</f>
        <v>4.1185717029792031</v>
      </c>
      <c r="R20" s="48"/>
      <c r="V20" s="55" t="s">
        <v>244</v>
      </c>
      <c r="W20" s="48">
        <f>(W19^(2/3))/30</f>
        <v>3.0154052022857849</v>
      </c>
      <c r="X20" s="48">
        <f>(X19^(2/3))/30</f>
        <v>3.7067145326812825</v>
      </c>
      <c r="Y20" s="48"/>
    </row>
    <row r="21" spans="1:25" x14ac:dyDescent="0.25">
      <c r="A21" s="128" t="str">
        <f>Plantilla!D22</f>
        <v>G. Stoychev</v>
      </c>
      <c r="B21" s="50">
        <f>Plantilla!E22</f>
        <v>24</v>
      </c>
      <c r="C21" s="50">
        <f>Plantilla!H22</f>
        <v>3</v>
      </c>
      <c r="D21" s="129">
        <f>Plantilla!I22</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8.5019653762771341</v>
      </c>
      <c r="Q21" s="300">
        <f>Q17+Q20</f>
        <v>9.3367535211610218</v>
      </c>
      <c r="V21" s="55" t="s">
        <v>246</v>
      </c>
      <c r="W21" s="300">
        <f>W17+W20</f>
        <v>8.015405202285784</v>
      </c>
      <c r="X21" s="300">
        <f>X17+X20</f>
        <v>8.7714204150342248</v>
      </c>
    </row>
    <row r="22" spans="1:25" x14ac:dyDescent="0.25">
      <c r="A22" s="128" t="str">
        <f>Plantilla!D23</f>
        <v>K. Helms</v>
      </c>
      <c r="B22" s="50">
        <f>Plantilla!E23</f>
        <v>35</v>
      </c>
      <c r="C22" s="50">
        <f>Plantilla!H23</f>
        <v>2</v>
      </c>
      <c r="D22" s="129">
        <f>Plantilla!I23</f>
        <v>13.6</v>
      </c>
      <c r="E22" s="123">
        <f t="shared" si="4"/>
        <v>13.6</v>
      </c>
      <c r="F22" s="123">
        <f t="shared" si="5"/>
        <v>13.7</v>
      </c>
      <c r="G22" s="123">
        <f t="shared" si="6"/>
        <v>2</v>
      </c>
      <c r="H22" s="123">
        <f t="shared" si="7"/>
        <v>2.99</v>
      </c>
      <c r="I22" s="127">
        <f t="shared" si="8"/>
        <v>54.4</v>
      </c>
      <c r="J22" s="127">
        <f t="shared" si="9"/>
        <v>122.47937</v>
      </c>
      <c r="K22" s="124"/>
      <c r="L22" t="s">
        <v>247</v>
      </c>
    </row>
    <row r="23" spans="1:25" x14ac:dyDescent="0.25">
      <c r="A23" s="128" t="str">
        <f>Plantilla!D24</f>
        <v>S. Zobbe</v>
      </c>
      <c r="B23" s="50">
        <f>Plantilla!E24</f>
        <v>32</v>
      </c>
      <c r="C23" s="50">
        <f>Plantilla!H24</f>
        <v>2</v>
      </c>
      <c r="D23" s="129">
        <f>Plantilla!I24</f>
        <v>13.3</v>
      </c>
      <c r="E23" s="123">
        <f t="shared" si="4"/>
        <v>13.3</v>
      </c>
      <c r="F23" s="123">
        <f t="shared" si="5"/>
        <v>13.4</v>
      </c>
      <c r="G23" s="123">
        <f t="shared" si="6"/>
        <v>2</v>
      </c>
      <c r="H23" s="123">
        <f t="shared" si="7"/>
        <v>2.99</v>
      </c>
      <c r="I23" s="127">
        <f t="shared" si="8"/>
        <v>53.2</v>
      </c>
      <c r="J23" s="127">
        <f t="shared" si="9"/>
        <v>119.79734000000002</v>
      </c>
      <c r="K23" s="124"/>
      <c r="O23" s="87">
        <v>42576</v>
      </c>
      <c r="P23">
        <v>6.76</v>
      </c>
      <c r="Q23">
        <v>6.99</v>
      </c>
      <c r="R23" t="s">
        <v>368</v>
      </c>
      <c r="W23" s="48"/>
    </row>
    <row r="24" spans="1:25" x14ac:dyDescent="0.25">
      <c r="A24" s="128" t="str">
        <f>Plantilla!D25</f>
        <v>L. Bauman</v>
      </c>
      <c r="B24" s="50">
        <f>Plantilla!E25</f>
        <v>35</v>
      </c>
      <c r="C24" s="50">
        <f>Plantilla!H25</f>
        <v>0</v>
      </c>
      <c r="D24" s="129">
        <f>Plantilla!I25</f>
        <v>12.2</v>
      </c>
      <c r="E24" s="123">
        <f t="shared" si="4"/>
        <v>12.2</v>
      </c>
      <c r="F24" s="123">
        <f t="shared" si="5"/>
        <v>12.299999999999999</v>
      </c>
      <c r="G24" s="123">
        <f t="shared" si="6"/>
        <v>0</v>
      </c>
      <c r="H24" s="123">
        <f t="shared" si="7"/>
        <v>0.99</v>
      </c>
      <c r="I24" s="127">
        <f t="shared" si="8"/>
        <v>0</v>
      </c>
      <c r="J24" s="127">
        <f t="shared" si="9"/>
        <v>12.055229999999998</v>
      </c>
    </row>
    <row r="25" spans="1:25" x14ac:dyDescent="0.25">
      <c r="A25" s="128" t="str">
        <f>Plantilla!D26</f>
        <v>J. Limon</v>
      </c>
      <c r="B25" s="50">
        <f>Plantilla!E26</f>
        <v>35</v>
      </c>
      <c r="C25" s="50">
        <f>Plantilla!H26</f>
        <v>3</v>
      </c>
      <c r="D25" s="129">
        <f>Plantilla!I26</f>
        <v>14.4</v>
      </c>
      <c r="E25" s="123">
        <f t="shared" si="4"/>
        <v>14.4</v>
      </c>
      <c r="F25" s="123">
        <f t="shared" si="5"/>
        <v>14.5</v>
      </c>
      <c r="G25" s="123">
        <f t="shared" si="6"/>
        <v>3</v>
      </c>
      <c r="H25" s="123">
        <f t="shared" si="7"/>
        <v>3.99</v>
      </c>
      <c r="I25" s="127">
        <f t="shared" si="8"/>
        <v>129.6</v>
      </c>
      <c r="J25" s="127">
        <f t="shared" si="9"/>
        <v>230.84145000000001</v>
      </c>
      <c r="V25"/>
    </row>
    <row r="26" spans="1:25" x14ac:dyDescent="0.25">
      <c r="A26" s="128" t="str">
        <f>Plantilla!D27</f>
        <v>P .Trivadi</v>
      </c>
      <c r="B26" s="50">
        <f>Plantilla!E27</f>
        <v>32</v>
      </c>
      <c r="C26" s="50">
        <f>Plantilla!H27</f>
        <v>5</v>
      </c>
      <c r="D26" s="129">
        <f>Plantilla!I27</f>
        <v>6.3</v>
      </c>
      <c r="E26" s="123">
        <f t="shared" si="4"/>
        <v>6.3</v>
      </c>
      <c r="F26" s="123">
        <f t="shared" si="5"/>
        <v>6.3999999999999995</v>
      </c>
      <c r="G26" s="123">
        <f t="shared" si="6"/>
        <v>5</v>
      </c>
      <c r="H26" s="123">
        <f t="shared" si="7"/>
        <v>5.99</v>
      </c>
      <c r="I26" s="127">
        <f t="shared" si="8"/>
        <v>157.5</v>
      </c>
      <c r="J26" s="127">
        <f t="shared" si="9"/>
        <v>229.63264000000001</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83057.142857142855</v>
      </c>
      <c r="S2" s="63">
        <v>2068800</v>
      </c>
      <c r="T2" s="63">
        <f ca="1">S2+Q2+P2+R2</f>
        <v>2930500</v>
      </c>
      <c r="U2" s="67">
        <f ca="1">T2/((O2-N2)/112)</f>
        <v>571804.87804878049</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58457.142857142855</v>
      </c>
      <c r="S4" s="63">
        <v>2059800</v>
      </c>
      <c r="T4" s="63">
        <f>S4+Q4+P4</f>
        <v>3126540</v>
      </c>
      <c r="U4" s="67">
        <f>T4/((O4-N4)/112)</f>
        <v>580717.21393034828</v>
      </c>
      <c r="V4" s="49">
        <f ca="1">(A7-N4)/112</f>
        <v>12.178571428571429</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43669</v>
      </c>
    </row>
    <row r="8" spans="1:22" x14ac:dyDescent="0.25">
      <c r="A8" s="53">
        <v>41757</v>
      </c>
    </row>
    <row r="9" spans="1:22" x14ac:dyDescent="0.25">
      <c r="A9" s="55">
        <f ca="1">A7-A8</f>
        <v>1912</v>
      </c>
    </row>
    <row r="10" spans="1:22" x14ac:dyDescent="0.25">
      <c r="A10" s="149">
        <f ca="1">A9/112</f>
        <v>17.071428571428573</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43669</v>
      </c>
      <c r="P13" s="267">
        <v>1800000</v>
      </c>
      <c r="Q13" s="63">
        <v>372</v>
      </c>
      <c r="R13" s="63">
        <f t="shared" ref="R13" ca="1" si="4">((TODAY()-N13)/7)*L13</f>
        <v>93929.142857142855</v>
      </c>
      <c r="S13" s="267">
        <v>2553000</v>
      </c>
      <c r="T13" s="63">
        <f t="shared" ref="T13" si="5">S13+Q13+P13</f>
        <v>4353372</v>
      </c>
      <c r="U13" s="67">
        <f t="shared" ref="U13" ca="1" si="6">T13/((O13-N13)/112)</f>
        <v>640706.52299605787</v>
      </c>
      <c r="V13" s="49">
        <v>7</v>
      </c>
    </row>
    <row r="16" spans="1:22" x14ac:dyDescent="0.25">
      <c r="N16" s="305"/>
    </row>
    <row r="17" spans="1:22" ht="18" x14ac:dyDescent="0.25">
      <c r="A17" s="253">
        <v>42908</v>
      </c>
      <c r="B17" s="87"/>
      <c r="C17">
        <v>112</v>
      </c>
      <c r="D17">
        <v>0</v>
      </c>
    </row>
    <row r="18" spans="1:22" x14ac:dyDescent="0.25">
      <c r="A18" s="87">
        <f ca="1">TODAY()</f>
        <v>43669</v>
      </c>
      <c r="B18" s="87"/>
      <c r="C18">
        <v>400</v>
      </c>
      <c r="D18">
        <v>1</v>
      </c>
    </row>
    <row r="19" spans="1:22" x14ac:dyDescent="0.25">
      <c r="A19">
        <f ca="1">A18-A17</f>
        <v>761</v>
      </c>
      <c r="C19">
        <f>C18-C17</f>
        <v>288</v>
      </c>
      <c r="D19" s="254">
        <f ca="1">(A19-C17)/C19</f>
        <v>2.2534722222222223</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690" t="s">
        <v>108</v>
      </c>
      <c r="B28" s="690"/>
      <c r="C28" s="690"/>
      <c r="D28" s="690"/>
    </row>
    <row r="29" spans="1:22" x14ac:dyDescent="0.25">
      <c r="A29" s="691" t="s">
        <v>92</v>
      </c>
      <c r="B29" s="692" t="s">
        <v>109</v>
      </c>
      <c r="C29" s="692" t="s">
        <v>110</v>
      </c>
      <c r="D29" s="692" t="s">
        <v>111</v>
      </c>
    </row>
    <row r="30" spans="1:22" x14ac:dyDescent="0.25">
      <c r="A30" s="691"/>
      <c r="B30" s="692"/>
      <c r="C30" s="692"/>
      <c r="D30" s="692"/>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U14" sqref="U1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19"/>
      <c r="N2" s="51">
        <f>SUM(N4:N17)</f>
        <v>9032</v>
      </c>
      <c r="O2" s="51">
        <f>SUM(O4:O17)</f>
        <v>10887.6</v>
      </c>
      <c r="R2" s="319"/>
      <c r="AC2" s="51">
        <f>SUM(AC4:AC17)</f>
        <v>135443.92000000001</v>
      </c>
      <c r="AD2" s="51">
        <f>SUM(AD4:AD17)</f>
        <v>154644.09599999999</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8" t="s">
        <v>304</v>
      </c>
      <c r="AG3">
        <v>0</v>
      </c>
      <c r="AI3" s="2" t="s">
        <v>430</v>
      </c>
    </row>
    <row r="4" spans="1:35" x14ac:dyDescent="0.25">
      <c r="A4" s="329" t="s">
        <v>170</v>
      </c>
      <c r="B4" s="330" t="s">
        <v>1</v>
      </c>
      <c r="C4" s="134"/>
      <c r="D4" s="134"/>
      <c r="E4" s="134"/>
      <c r="F4" s="134"/>
      <c r="G4" s="331">
        <v>2</v>
      </c>
      <c r="H4" s="135">
        <v>2</v>
      </c>
      <c r="I4" s="331">
        <v>2</v>
      </c>
      <c r="J4" s="135">
        <v>0</v>
      </c>
      <c r="K4" s="331">
        <v>0</v>
      </c>
      <c r="L4" s="135">
        <v>0</v>
      </c>
      <c r="M4" s="331">
        <v>2</v>
      </c>
      <c r="N4" s="115"/>
      <c r="O4" s="51"/>
      <c r="Q4" s="329" t="s">
        <v>170</v>
      </c>
      <c r="R4" s="330" t="str">
        <f t="shared" ref="R4:R17" si="0">B4</f>
        <v>POR</v>
      </c>
      <c r="S4" s="134"/>
      <c r="T4" s="134"/>
      <c r="U4" s="134"/>
      <c r="V4" s="331">
        <f t="shared" ref="V4:AC4" si="1">G4</f>
        <v>2</v>
      </c>
      <c r="W4" s="331">
        <f t="shared" si="1"/>
        <v>2</v>
      </c>
      <c r="X4" s="331">
        <f t="shared" si="1"/>
        <v>2</v>
      </c>
      <c r="Y4" s="331">
        <f t="shared" si="1"/>
        <v>0</v>
      </c>
      <c r="Z4" s="331">
        <f t="shared" si="1"/>
        <v>0</v>
      </c>
      <c r="AA4" s="331">
        <f t="shared" si="1"/>
        <v>0</v>
      </c>
      <c r="AB4" s="331">
        <f t="shared" si="1"/>
        <v>2</v>
      </c>
      <c r="AC4" s="115">
        <f t="shared" si="1"/>
        <v>0</v>
      </c>
      <c r="AD4" s="51">
        <f>AC4*1.2</f>
        <v>0</v>
      </c>
      <c r="AF4" s="328" t="s">
        <v>303</v>
      </c>
      <c r="AG4">
        <v>40</v>
      </c>
      <c r="AI4" t="s">
        <v>431</v>
      </c>
    </row>
    <row r="5" spans="1:35" x14ac:dyDescent="0.25">
      <c r="A5" s="329" t="s">
        <v>222</v>
      </c>
      <c r="B5" s="330" t="s">
        <v>2</v>
      </c>
      <c r="C5" s="80"/>
      <c r="D5" s="80" t="s">
        <v>438</v>
      </c>
      <c r="E5" s="80"/>
      <c r="F5" s="80"/>
      <c r="G5" s="101">
        <v>0</v>
      </c>
      <c r="H5" s="92">
        <v>2</v>
      </c>
      <c r="I5" s="92">
        <v>2</v>
      </c>
      <c r="J5" s="135">
        <v>2</v>
      </c>
      <c r="K5" s="101">
        <v>2</v>
      </c>
      <c r="L5" s="92">
        <v>2</v>
      </c>
      <c r="M5" s="101">
        <v>2</v>
      </c>
      <c r="N5" s="115"/>
      <c r="O5" s="51"/>
      <c r="Q5" s="329" t="s">
        <v>222</v>
      </c>
      <c r="R5" s="330" t="str">
        <f t="shared" si="0"/>
        <v>DEF</v>
      </c>
      <c r="S5" s="134" t="str">
        <f t="shared" ref="S5:S17" si="2">D5</f>
        <v>IMP/CAB</v>
      </c>
      <c r="T5" s="134"/>
      <c r="U5" s="134"/>
      <c r="V5" s="331">
        <f t="shared" ref="V5:V17" si="3">G5</f>
        <v>0</v>
      </c>
      <c r="W5" s="331">
        <f t="shared" ref="W5:W17" si="4">H5</f>
        <v>2</v>
      </c>
      <c r="X5" s="331">
        <f t="shared" ref="X5:X17" si="5">I5</f>
        <v>2</v>
      </c>
      <c r="Y5" s="331">
        <f t="shared" ref="Y5:Y17" si="6">J5</f>
        <v>2</v>
      </c>
      <c r="Z5" s="331">
        <f t="shared" ref="Z5:Z17" si="7">K5</f>
        <v>2</v>
      </c>
      <c r="AA5" s="331">
        <f t="shared" ref="AA5:AA17" si="8">L5</f>
        <v>2</v>
      </c>
      <c r="AB5" s="331">
        <f t="shared" ref="AB5:AB17" si="9">M5</f>
        <v>2</v>
      </c>
      <c r="AC5" s="115">
        <f>N5</f>
        <v>0</v>
      </c>
      <c r="AD5" s="51">
        <f t="shared" ref="AD5:AD17" si="10">AC5*1.2</f>
        <v>0</v>
      </c>
      <c r="AF5" s="328" t="s">
        <v>0</v>
      </c>
      <c r="AG5">
        <v>0</v>
      </c>
      <c r="AI5" t="s">
        <v>432</v>
      </c>
    </row>
    <row r="6" spans="1:35" x14ac:dyDescent="0.25">
      <c r="A6" s="329" t="s">
        <v>172</v>
      </c>
      <c r="B6" s="330" t="s">
        <v>2</v>
      </c>
      <c r="C6" s="80"/>
      <c r="D6" s="80" t="s">
        <v>438</v>
      </c>
      <c r="E6" s="80"/>
      <c r="F6" s="80"/>
      <c r="G6" s="101">
        <v>0</v>
      </c>
      <c r="H6" s="92">
        <v>2</v>
      </c>
      <c r="I6" s="92">
        <v>2</v>
      </c>
      <c r="J6" s="135">
        <v>2</v>
      </c>
      <c r="K6" s="101">
        <v>2</v>
      </c>
      <c r="L6" s="92">
        <v>2</v>
      </c>
      <c r="M6" s="101">
        <v>2</v>
      </c>
      <c r="N6" s="115"/>
      <c r="O6" s="51"/>
      <c r="Q6" s="329" t="s">
        <v>172</v>
      </c>
      <c r="R6" s="330" t="str">
        <f t="shared" si="0"/>
        <v>DEF</v>
      </c>
      <c r="S6" s="134" t="str">
        <f t="shared" si="2"/>
        <v>IMP/CAB</v>
      </c>
      <c r="T6" s="134"/>
      <c r="U6" s="134"/>
      <c r="V6" s="331">
        <f t="shared" si="3"/>
        <v>0</v>
      </c>
      <c r="W6" s="331">
        <f t="shared" si="4"/>
        <v>2</v>
      </c>
      <c r="X6" s="331">
        <f t="shared" si="5"/>
        <v>2</v>
      </c>
      <c r="Y6" s="331">
        <f t="shared" si="6"/>
        <v>2</v>
      </c>
      <c r="Z6" s="331">
        <f t="shared" si="7"/>
        <v>2</v>
      </c>
      <c r="AA6" s="331">
        <f t="shared" si="8"/>
        <v>2</v>
      </c>
      <c r="AB6" s="331">
        <f t="shared" si="9"/>
        <v>2</v>
      </c>
      <c r="AC6" s="115">
        <f>N6</f>
        <v>0</v>
      </c>
      <c r="AD6" s="51">
        <f t="shared" si="10"/>
        <v>0</v>
      </c>
      <c r="AF6" s="328" t="s">
        <v>322</v>
      </c>
      <c r="AG6">
        <v>17</v>
      </c>
      <c r="AI6" t="s">
        <v>433</v>
      </c>
    </row>
    <row r="7" spans="1:35" x14ac:dyDescent="0.25">
      <c r="A7" s="329" t="s">
        <v>174</v>
      </c>
      <c r="B7" s="330" t="s">
        <v>2</v>
      </c>
      <c r="C7" s="80"/>
      <c r="D7" s="80" t="s">
        <v>438</v>
      </c>
      <c r="E7" s="80"/>
      <c r="F7" s="80"/>
      <c r="G7" s="101">
        <v>0</v>
      </c>
      <c r="H7" s="92">
        <v>2</v>
      </c>
      <c r="I7" s="92">
        <v>2</v>
      </c>
      <c r="J7" s="135">
        <v>2</v>
      </c>
      <c r="K7" s="101">
        <v>2</v>
      </c>
      <c r="L7" s="92">
        <v>2</v>
      </c>
      <c r="M7" s="101">
        <v>2</v>
      </c>
      <c r="N7" s="115"/>
      <c r="O7" s="51"/>
      <c r="Q7" s="329" t="s">
        <v>174</v>
      </c>
      <c r="R7" s="330" t="str">
        <f t="shared" si="0"/>
        <v>DEF</v>
      </c>
      <c r="S7" s="134" t="str">
        <f t="shared" si="2"/>
        <v>IMP/CAB</v>
      </c>
      <c r="T7" s="134"/>
      <c r="U7" s="134"/>
      <c r="V7" s="331">
        <f t="shared" si="3"/>
        <v>0</v>
      </c>
      <c r="W7" s="331">
        <f t="shared" si="4"/>
        <v>2</v>
      </c>
      <c r="X7" s="331">
        <f t="shared" si="5"/>
        <v>2</v>
      </c>
      <c r="Y7" s="331">
        <f t="shared" si="6"/>
        <v>2</v>
      </c>
      <c r="Z7" s="331">
        <f t="shared" si="7"/>
        <v>2</v>
      </c>
      <c r="AA7" s="331">
        <f t="shared" si="8"/>
        <v>2</v>
      </c>
      <c r="AB7" s="331">
        <f t="shared" si="9"/>
        <v>2</v>
      </c>
      <c r="AC7" s="115">
        <f>N7</f>
        <v>0</v>
      </c>
      <c r="AD7" s="51">
        <f t="shared" si="10"/>
        <v>0</v>
      </c>
      <c r="AF7" s="328" t="s">
        <v>246</v>
      </c>
      <c r="AG7">
        <f>AG5+AG4+AG3+AG6</f>
        <v>57</v>
      </c>
      <c r="AI7" t="s">
        <v>434</v>
      </c>
    </row>
    <row r="8" spans="1:35" x14ac:dyDescent="0.25">
      <c r="A8" s="329" t="s">
        <v>178</v>
      </c>
      <c r="B8" s="330" t="s">
        <v>2</v>
      </c>
      <c r="C8" s="80"/>
      <c r="D8" s="80" t="s">
        <v>438</v>
      </c>
      <c r="E8" s="80"/>
      <c r="F8" s="80"/>
      <c r="G8" s="101">
        <v>0</v>
      </c>
      <c r="H8" s="92">
        <v>2</v>
      </c>
      <c r="I8" s="92">
        <v>2</v>
      </c>
      <c r="J8" s="135">
        <v>2</v>
      </c>
      <c r="K8" s="101">
        <v>2</v>
      </c>
      <c r="L8" s="92">
        <v>2</v>
      </c>
      <c r="M8" s="101">
        <v>2</v>
      </c>
      <c r="N8" s="115"/>
      <c r="O8" s="51"/>
      <c r="Q8" s="329" t="s">
        <v>178</v>
      </c>
      <c r="R8" s="330" t="str">
        <f t="shared" si="0"/>
        <v>DEF</v>
      </c>
      <c r="S8" s="134" t="str">
        <f t="shared" si="2"/>
        <v>IMP/CAB</v>
      </c>
      <c r="T8" s="134"/>
      <c r="U8" s="134"/>
      <c r="V8" s="331">
        <f t="shared" si="3"/>
        <v>0</v>
      </c>
      <c r="W8" s="331">
        <f t="shared" si="4"/>
        <v>2</v>
      </c>
      <c r="X8" s="331">
        <f t="shared" si="5"/>
        <v>2</v>
      </c>
      <c r="Y8" s="331">
        <f t="shared" si="6"/>
        <v>2</v>
      </c>
      <c r="Z8" s="331">
        <f t="shared" si="7"/>
        <v>2</v>
      </c>
      <c r="AA8" s="331">
        <f t="shared" si="8"/>
        <v>2</v>
      </c>
      <c r="AB8" s="331">
        <f t="shared" si="9"/>
        <v>2</v>
      </c>
      <c r="AC8" s="115">
        <f>N8</f>
        <v>0</v>
      </c>
      <c r="AD8" s="51">
        <f t="shared" si="10"/>
        <v>0</v>
      </c>
      <c r="AF8" s="328" t="s">
        <v>60</v>
      </c>
      <c r="AG8" s="83">
        <f>AG7/16</f>
        <v>3.5625</v>
      </c>
    </row>
    <row r="9" spans="1:35" x14ac:dyDescent="0.25">
      <c r="A9" s="329" t="s">
        <v>173</v>
      </c>
      <c r="B9" s="330" t="s">
        <v>2</v>
      </c>
      <c r="C9" s="80"/>
      <c r="D9" s="80" t="s">
        <v>438</v>
      </c>
      <c r="E9" s="80"/>
      <c r="F9" s="80"/>
      <c r="G9" s="101">
        <v>0</v>
      </c>
      <c r="H9" s="92">
        <v>2</v>
      </c>
      <c r="I9" s="92">
        <v>2</v>
      </c>
      <c r="J9" s="135">
        <v>2</v>
      </c>
      <c r="K9" s="101">
        <v>2</v>
      </c>
      <c r="L9" s="92">
        <v>2</v>
      </c>
      <c r="M9" s="101">
        <v>2</v>
      </c>
      <c r="N9" s="115"/>
      <c r="O9" s="51"/>
      <c r="Q9" s="329" t="s">
        <v>173</v>
      </c>
      <c r="R9" s="330" t="str">
        <f t="shared" si="0"/>
        <v>DEF</v>
      </c>
      <c r="S9" s="134" t="str">
        <f t="shared" si="2"/>
        <v>IMP/CAB</v>
      </c>
      <c r="T9" s="134"/>
      <c r="U9" s="134"/>
      <c r="V9" s="331">
        <f t="shared" si="3"/>
        <v>0</v>
      </c>
      <c r="W9" s="331">
        <f t="shared" si="4"/>
        <v>2</v>
      </c>
      <c r="X9" s="331">
        <f t="shared" si="5"/>
        <v>2</v>
      </c>
      <c r="Y9" s="331">
        <f t="shared" si="6"/>
        <v>2</v>
      </c>
      <c r="Z9" s="331">
        <f t="shared" si="7"/>
        <v>2</v>
      </c>
      <c r="AA9" s="331">
        <f t="shared" si="8"/>
        <v>2</v>
      </c>
      <c r="AB9" s="331">
        <f t="shared" si="9"/>
        <v>2</v>
      </c>
      <c r="AC9" s="115">
        <f>N9</f>
        <v>0</v>
      </c>
      <c r="AD9" s="51">
        <f t="shared" si="10"/>
        <v>0</v>
      </c>
    </row>
    <row r="10" spans="1:35" x14ac:dyDescent="0.25">
      <c r="A10" s="329" t="s">
        <v>175</v>
      </c>
      <c r="B10" s="330" t="s">
        <v>439</v>
      </c>
      <c r="C10" s="294" t="str">
        <f>Plantilla!D13</f>
        <v>I. Vanags</v>
      </c>
      <c r="D10" s="80" t="str">
        <f>Plantilla!G13</f>
        <v>CAB</v>
      </c>
      <c r="E10" s="80">
        <v>18</v>
      </c>
      <c r="F10" s="80">
        <v>64</v>
      </c>
      <c r="G10" s="101">
        <f>Plantilla!X13</f>
        <v>0</v>
      </c>
      <c r="H10" s="101">
        <f>Plantilla!Y13</f>
        <v>4</v>
      </c>
      <c r="I10" s="101">
        <f>Plantilla!Z13</f>
        <v>8.1999999999999993</v>
      </c>
      <c r="J10" s="101">
        <f>Plantilla!AA13</f>
        <v>3</v>
      </c>
      <c r="K10" s="101">
        <f>Plantilla!AB13</f>
        <v>4</v>
      </c>
      <c r="L10" s="101">
        <f>Plantilla!AC13</f>
        <v>7</v>
      </c>
      <c r="M10" s="101">
        <f>Plantilla!AD13</f>
        <v>6</v>
      </c>
      <c r="N10" s="115">
        <f>Plantilla!V13</f>
        <v>684</v>
      </c>
      <c r="O10" s="51">
        <v>870</v>
      </c>
      <c r="Q10" s="329" t="s">
        <v>175</v>
      </c>
      <c r="R10" s="330" t="str">
        <f t="shared" si="0"/>
        <v>Inners</v>
      </c>
      <c r="S10" s="134" t="str">
        <f t="shared" si="2"/>
        <v>CAB</v>
      </c>
      <c r="T10" s="134">
        <f>E10+3+1</f>
        <v>22</v>
      </c>
      <c r="U10" s="134">
        <f>F10+13*7-122</f>
        <v>33</v>
      </c>
      <c r="V10" s="331">
        <f t="shared" si="3"/>
        <v>0</v>
      </c>
      <c r="W10" s="331">
        <f t="shared" si="4"/>
        <v>4</v>
      </c>
      <c r="X10" s="331">
        <f>13+5/10</f>
        <v>13.5</v>
      </c>
      <c r="Y10" s="331">
        <f t="shared" si="6"/>
        <v>3</v>
      </c>
      <c r="Z10" s="331">
        <f t="shared" si="7"/>
        <v>4</v>
      </c>
      <c r="AA10" s="331">
        <f>10+1/6</f>
        <v>10.166666666666666</v>
      </c>
      <c r="AB10" s="331">
        <f t="shared" si="9"/>
        <v>6</v>
      </c>
      <c r="AC10" s="115">
        <f>(20000+1500+125+125)*1.02</f>
        <v>22185</v>
      </c>
      <c r="AD10" s="51">
        <f t="shared" si="10"/>
        <v>26622</v>
      </c>
    </row>
    <row r="11" spans="1:35" x14ac:dyDescent="0.25">
      <c r="A11" s="329" t="s">
        <v>179</v>
      </c>
      <c r="B11" s="330" t="s">
        <v>439</v>
      </c>
      <c r="C11" s="294" t="str">
        <f>Plantilla!D14</f>
        <v>I. Stone</v>
      </c>
      <c r="D11" s="80" t="str">
        <f>Plantilla!G14</f>
        <v>RAP</v>
      </c>
      <c r="E11" s="80">
        <v>18</v>
      </c>
      <c r="F11" s="80">
        <v>7</v>
      </c>
      <c r="G11" s="101">
        <f>Plantilla!X14</f>
        <v>0</v>
      </c>
      <c r="H11" s="101">
        <f>Plantilla!Y14</f>
        <v>3</v>
      </c>
      <c r="I11" s="101">
        <f>Plantilla!Z14</f>
        <v>6.75</v>
      </c>
      <c r="J11" s="101">
        <f>Plantilla!AA14</f>
        <v>2</v>
      </c>
      <c r="K11" s="101">
        <f>Plantilla!AB14</f>
        <v>6</v>
      </c>
      <c r="L11" s="101">
        <f>Plantilla!AC14</f>
        <v>9</v>
      </c>
      <c r="M11" s="101">
        <f>Plantilla!AD14</f>
        <v>2</v>
      </c>
      <c r="N11" s="115">
        <f>Plantilla!V14</f>
        <v>1490</v>
      </c>
      <c r="O11" s="51">
        <f t="shared" ref="O11:O15" si="11">N11*1.2</f>
        <v>1788</v>
      </c>
      <c r="Q11" s="329" t="s">
        <v>179</v>
      </c>
      <c r="R11" s="330" t="str">
        <f t="shared" si="0"/>
        <v>Inners</v>
      </c>
      <c r="S11" s="134" t="str">
        <f t="shared" si="2"/>
        <v>RAP</v>
      </c>
      <c r="T11" s="134">
        <f>E11+3</f>
        <v>21</v>
      </c>
      <c r="U11" s="134">
        <f>F11+13*7</f>
        <v>98</v>
      </c>
      <c r="V11" s="331">
        <f t="shared" si="3"/>
        <v>0</v>
      </c>
      <c r="W11" s="331">
        <f t="shared" si="4"/>
        <v>3</v>
      </c>
      <c r="X11" s="331">
        <v>13</v>
      </c>
      <c r="Y11" s="331">
        <f t="shared" si="6"/>
        <v>2</v>
      </c>
      <c r="Z11" s="331">
        <f t="shared" si="7"/>
        <v>6</v>
      </c>
      <c r="AA11" s="331">
        <f>11+4/7</f>
        <v>11.571428571428571</v>
      </c>
      <c r="AB11" s="331">
        <f t="shared" si="9"/>
        <v>2</v>
      </c>
      <c r="AC11" s="115">
        <f>(14490+3125+145)*1.008</f>
        <v>17902.080000000002</v>
      </c>
      <c r="AD11" s="51">
        <f>AC11</f>
        <v>17902.080000000002</v>
      </c>
    </row>
    <row r="12" spans="1:35" x14ac:dyDescent="0.25">
      <c r="A12" s="329" t="s">
        <v>224</v>
      </c>
      <c r="B12" s="330" t="s">
        <v>439</v>
      </c>
      <c r="C12" s="294" t="str">
        <f>Plantilla!D15</f>
        <v>G. Piscaer</v>
      </c>
      <c r="D12" s="80" t="str">
        <f>Plantilla!G15</f>
        <v>IMP</v>
      </c>
      <c r="E12" s="80">
        <v>18</v>
      </c>
      <c r="F12" s="80">
        <v>80</v>
      </c>
      <c r="G12" s="101">
        <f>Plantilla!X15</f>
        <v>0</v>
      </c>
      <c r="H12" s="101">
        <f>Plantilla!Y15</f>
        <v>4</v>
      </c>
      <c r="I12" s="101">
        <f>Plantilla!Z15</f>
        <v>9</v>
      </c>
      <c r="J12" s="101">
        <f>Plantilla!AA15</f>
        <v>3</v>
      </c>
      <c r="K12" s="101">
        <f>Plantilla!AB15</f>
        <v>2</v>
      </c>
      <c r="L12" s="101">
        <f>Plantilla!AC15</f>
        <v>8</v>
      </c>
      <c r="M12" s="101">
        <f>Plantilla!AD15</f>
        <v>0</v>
      </c>
      <c r="N12" s="115">
        <f>Plantilla!V15</f>
        <v>2436</v>
      </c>
      <c r="O12" s="51">
        <f t="shared" si="11"/>
        <v>2923.2</v>
      </c>
      <c r="Q12" s="329" t="s">
        <v>224</v>
      </c>
      <c r="R12" s="330" t="str">
        <f t="shared" si="0"/>
        <v>Inners</v>
      </c>
      <c r="S12" s="134" t="str">
        <f t="shared" si="2"/>
        <v>IMP</v>
      </c>
      <c r="T12" s="134">
        <f t="shared" ref="T12:T13" si="12">E12+3+1</f>
        <v>22</v>
      </c>
      <c r="U12" s="134">
        <f t="shared" ref="U12:U13" si="13">F12+13*7-122</f>
        <v>49</v>
      </c>
      <c r="V12" s="331">
        <f t="shared" si="3"/>
        <v>0</v>
      </c>
      <c r="W12" s="331">
        <f t="shared" si="4"/>
        <v>4</v>
      </c>
      <c r="X12" s="331">
        <f>14</f>
        <v>14</v>
      </c>
      <c r="Y12" s="331">
        <f t="shared" si="6"/>
        <v>3</v>
      </c>
      <c r="Z12" s="331">
        <f t="shared" si="7"/>
        <v>2</v>
      </c>
      <c r="AA12" s="331">
        <f>10+6/7</f>
        <v>10.857142857142858</v>
      </c>
      <c r="AB12" s="331">
        <f t="shared" si="9"/>
        <v>0</v>
      </c>
      <c r="AC12" s="115">
        <f>(23500+2295+125)*1</f>
        <v>25920</v>
      </c>
      <c r="AD12" s="51">
        <f t="shared" si="10"/>
        <v>31104</v>
      </c>
    </row>
    <row r="13" spans="1:35" x14ac:dyDescent="0.25">
      <c r="A13" s="329" t="s">
        <v>176</v>
      </c>
      <c r="B13" s="330" t="s">
        <v>439</v>
      </c>
      <c r="C13" s="294" t="str">
        <f>Plantilla!D16</f>
        <v>M. Bondarewski</v>
      </c>
      <c r="D13" s="80" t="str">
        <f>Plantilla!G16</f>
        <v>RAP</v>
      </c>
      <c r="E13" s="80">
        <v>18</v>
      </c>
      <c r="F13" s="80">
        <v>80</v>
      </c>
      <c r="G13" s="101">
        <f>Plantilla!X16</f>
        <v>0</v>
      </c>
      <c r="H13" s="101">
        <f>Plantilla!Y16</f>
        <v>2</v>
      </c>
      <c r="I13" s="101">
        <f>Plantilla!Z16</f>
        <v>9.1666666666666661</v>
      </c>
      <c r="J13" s="101">
        <f>Plantilla!AA16</f>
        <v>5</v>
      </c>
      <c r="K13" s="101">
        <f>Plantilla!AB16</f>
        <v>4</v>
      </c>
      <c r="L13" s="101">
        <f>Plantilla!AC16</f>
        <v>8</v>
      </c>
      <c r="M13" s="101">
        <f>Plantilla!AD16</f>
        <v>6</v>
      </c>
      <c r="N13" s="115">
        <f>Plantilla!V16</f>
        <v>2604</v>
      </c>
      <c r="O13" s="51">
        <f t="shared" si="11"/>
        <v>3124.7999999999997</v>
      </c>
      <c r="Q13" s="329" t="s">
        <v>176</v>
      </c>
      <c r="R13" s="330" t="str">
        <f t="shared" si="0"/>
        <v>Inners</v>
      </c>
      <c r="S13" s="134" t="str">
        <f t="shared" si="2"/>
        <v>RAP</v>
      </c>
      <c r="T13" s="134">
        <f t="shared" si="12"/>
        <v>22</v>
      </c>
      <c r="U13" s="134">
        <f t="shared" si="13"/>
        <v>49</v>
      </c>
      <c r="V13" s="331">
        <f t="shared" si="3"/>
        <v>0</v>
      </c>
      <c r="W13" s="331">
        <f t="shared" si="4"/>
        <v>2</v>
      </c>
      <c r="X13" s="331">
        <f>14</f>
        <v>14</v>
      </c>
      <c r="Y13" s="331">
        <f t="shared" si="6"/>
        <v>5</v>
      </c>
      <c r="Z13" s="331">
        <f t="shared" si="7"/>
        <v>4</v>
      </c>
      <c r="AA13" s="331">
        <f>10+6/7</f>
        <v>10.857142857142858</v>
      </c>
      <c r="AB13" s="331">
        <f t="shared" si="9"/>
        <v>6</v>
      </c>
      <c r="AC13" s="115">
        <f>(23500+2295+125+125)*1.02</f>
        <v>26565.9</v>
      </c>
      <c r="AD13" s="51">
        <f t="shared" si="10"/>
        <v>31879.08</v>
      </c>
    </row>
    <row r="14" spans="1:35" x14ac:dyDescent="0.25">
      <c r="A14" s="329" t="s">
        <v>177</v>
      </c>
      <c r="B14" s="330" t="s">
        <v>439</v>
      </c>
      <c r="C14" s="294" t="str">
        <f>Plantilla!D21</f>
        <v>J. Vartiainen</v>
      </c>
      <c r="D14" s="80" t="str">
        <f>Plantilla!G21</f>
        <v>CAB</v>
      </c>
      <c r="E14" s="80">
        <v>19</v>
      </c>
      <c r="F14" s="80">
        <v>14</v>
      </c>
      <c r="G14" s="101">
        <f>Plantilla!X21</f>
        <v>0</v>
      </c>
      <c r="H14" s="101">
        <f>Plantilla!Y21</f>
        <v>7</v>
      </c>
      <c r="I14" s="101">
        <f>Plantilla!Z21</f>
        <v>8.1999999999999993</v>
      </c>
      <c r="J14" s="101">
        <f>Plantilla!AA21</f>
        <v>1</v>
      </c>
      <c r="K14" s="101">
        <f>Plantilla!AB21</f>
        <v>1</v>
      </c>
      <c r="L14" s="101">
        <f>Plantilla!AC21</f>
        <v>6</v>
      </c>
      <c r="M14" s="101">
        <f>Plantilla!AD21</f>
        <v>1</v>
      </c>
      <c r="N14" s="115">
        <f>Plantilla!V21</f>
        <v>948</v>
      </c>
      <c r="O14" s="51">
        <f t="shared" si="11"/>
        <v>1137.5999999999999</v>
      </c>
      <c r="Q14" s="329" t="s">
        <v>177</v>
      </c>
      <c r="R14" s="330" t="str">
        <f t="shared" si="0"/>
        <v>Inners</v>
      </c>
      <c r="S14" s="134" t="str">
        <f t="shared" si="2"/>
        <v>CAB</v>
      </c>
      <c r="T14" s="134">
        <f>E14+3</f>
        <v>22</v>
      </c>
      <c r="U14" s="134">
        <f>F14+13*7</f>
        <v>105</v>
      </c>
      <c r="V14" s="331">
        <f t="shared" si="3"/>
        <v>0</v>
      </c>
      <c r="W14" s="331">
        <f t="shared" si="4"/>
        <v>7</v>
      </c>
      <c r="X14" s="331">
        <f>13+4/9</f>
        <v>13.444444444444445</v>
      </c>
      <c r="Y14" s="331">
        <f t="shared" si="6"/>
        <v>1</v>
      </c>
      <c r="Z14" s="331">
        <f t="shared" si="7"/>
        <v>1</v>
      </c>
      <c r="AA14" s="331">
        <f>9+3/6</f>
        <v>9.5</v>
      </c>
      <c r="AB14" s="331">
        <f t="shared" si="9"/>
        <v>1</v>
      </c>
      <c r="AC14" s="115">
        <f>(20000+1020+225)*1.004</f>
        <v>21329.98</v>
      </c>
      <c r="AD14" s="51">
        <f t="shared" si="10"/>
        <v>25595.975999999999</v>
      </c>
    </row>
    <row r="15" spans="1:35" x14ac:dyDescent="0.25">
      <c r="A15" s="329" t="s">
        <v>171</v>
      </c>
      <c r="B15" s="330" t="s">
        <v>439</v>
      </c>
      <c r="C15" s="294" t="str">
        <f>Plantilla!D18</f>
        <v>R. Forsyth</v>
      </c>
      <c r="D15" s="80" t="str">
        <f>Plantilla!G18</f>
        <v>POT</v>
      </c>
      <c r="E15" s="80">
        <v>19</v>
      </c>
      <c r="F15" s="80">
        <v>9</v>
      </c>
      <c r="G15" s="101">
        <f>Plantilla!X18</f>
        <v>0</v>
      </c>
      <c r="H15" s="101">
        <f>Plantilla!Y18</f>
        <v>7</v>
      </c>
      <c r="I15" s="101">
        <f>Plantilla!Z18</f>
        <v>8.4</v>
      </c>
      <c r="J15" s="101">
        <f>Plantilla!AA18</f>
        <v>2</v>
      </c>
      <c r="K15" s="101">
        <f>Plantilla!AB18</f>
        <v>4</v>
      </c>
      <c r="L15" s="101">
        <f>Plantilla!AC18</f>
        <v>6</v>
      </c>
      <c r="M15" s="101">
        <f>Plantilla!AD18</f>
        <v>2</v>
      </c>
      <c r="N15" s="115">
        <f>Plantilla!V18</f>
        <v>870</v>
      </c>
      <c r="O15" s="51">
        <f t="shared" si="11"/>
        <v>1044</v>
      </c>
      <c r="Q15" s="329" t="s">
        <v>171</v>
      </c>
      <c r="R15" s="330" t="str">
        <f t="shared" si="0"/>
        <v>Inners</v>
      </c>
      <c r="S15" s="134" t="str">
        <f t="shared" si="2"/>
        <v>POT</v>
      </c>
      <c r="T15" s="134">
        <f>E15+3</f>
        <v>22</v>
      </c>
      <c r="U15" s="134">
        <f>F15+13*7</f>
        <v>100</v>
      </c>
      <c r="V15" s="331">
        <f t="shared" si="3"/>
        <v>0</v>
      </c>
      <c r="W15" s="331">
        <f t="shared" si="4"/>
        <v>7</v>
      </c>
      <c r="X15" s="331">
        <f>13+4/9</f>
        <v>13.444444444444445</v>
      </c>
      <c r="Y15" s="331">
        <f t="shared" si="6"/>
        <v>2</v>
      </c>
      <c r="Z15" s="331">
        <f t="shared" si="7"/>
        <v>4</v>
      </c>
      <c r="AA15" s="331">
        <f>9+3/6</f>
        <v>9.5</v>
      </c>
      <c r="AB15" s="331">
        <f t="shared" si="9"/>
        <v>2</v>
      </c>
      <c r="AC15" s="115">
        <f>(20000+1020+225+125)*1.008</f>
        <v>21540.959999999999</v>
      </c>
      <c r="AD15" s="51">
        <f>AC15</f>
        <v>21540.959999999999</v>
      </c>
    </row>
    <row r="16" spans="1:35" x14ac:dyDescent="0.25">
      <c r="A16" s="329" t="s">
        <v>216</v>
      </c>
      <c r="B16" s="330" t="s">
        <v>277</v>
      </c>
      <c r="C16" s="80"/>
      <c r="D16" s="80" t="s">
        <v>440</v>
      </c>
      <c r="E16" s="80"/>
      <c r="F16" s="80"/>
      <c r="G16" s="101">
        <v>0</v>
      </c>
      <c r="H16" s="92">
        <v>2</v>
      </c>
      <c r="I16" s="92">
        <v>2</v>
      </c>
      <c r="J16" s="135">
        <v>2</v>
      </c>
      <c r="K16" s="101">
        <v>2</v>
      </c>
      <c r="L16" s="92">
        <v>2</v>
      </c>
      <c r="M16" s="101">
        <v>2</v>
      </c>
      <c r="N16" s="115"/>
      <c r="O16" s="51"/>
      <c r="Q16" s="329" t="s">
        <v>216</v>
      </c>
      <c r="R16" s="330" t="str">
        <f t="shared" si="0"/>
        <v>DD</v>
      </c>
      <c r="S16" s="134" t="str">
        <f t="shared" si="2"/>
        <v>RAP/IMP/CAB</v>
      </c>
      <c r="T16" s="134"/>
      <c r="U16" s="134"/>
      <c r="V16" s="331">
        <f t="shared" si="3"/>
        <v>0</v>
      </c>
      <c r="W16" s="331">
        <f t="shared" si="4"/>
        <v>2</v>
      </c>
      <c r="X16" s="331">
        <f t="shared" si="5"/>
        <v>2</v>
      </c>
      <c r="Y16" s="331">
        <f t="shared" si="6"/>
        <v>2</v>
      </c>
      <c r="Z16" s="331">
        <f t="shared" si="7"/>
        <v>2</v>
      </c>
      <c r="AA16" s="331">
        <f t="shared" si="8"/>
        <v>2</v>
      </c>
      <c r="AB16" s="331">
        <f t="shared" si="9"/>
        <v>2</v>
      </c>
      <c r="AC16" s="115">
        <f>N16</f>
        <v>0</v>
      </c>
      <c r="AD16" s="51">
        <f t="shared" si="10"/>
        <v>0</v>
      </c>
    </row>
    <row r="17" spans="1:33" x14ac:dyDescent="0.25">
      <c r="A17" s="329" t="s">
        <v>223</v>
      </c>
      <c r="B17" s="330" t="s">
        <v>277</v>
      </c>
      <c r="C17" s="80"/>
      <c r="D17" s="80" t="s">
        <v>440</v>
      </c>
      <c r="E17" s="80"/>
      <c r="F17" s="80"/>
      <c r="G17" s="101">
        <v>0</v>
      </c>
      <c r="H17" s="92">
        <v>2</v>
      </c>
      <c r="I17" s="92">
        <v>2</v>
      </c>
      <c r="J17" s="135">
        <v>2</v>
      </c>
      <c r="K17" s="101">
        <v>2</v>
      </c>
      <c r="L17" s="92">
        <v>2</v>
      </c>
      <c r="M17" s="101">
        <v>2</v>
      </c>
      <c r="N17" s="115"/>
      <c r="O17" s="51"/>
      <c r="Q17" s="329" t="s">
        <v>223</v>
      </c>
      <c r="R17" s="330" t="str">
        <f t="shared" si="0"/>
        <v>DD</v>
      </c>
      <c r="S17" s="134" t="str">
        <f t="shared" si="2"/>
        <v>RAP/IMP/CAB</v>
      </c>
      <c r="T17" s="134"/>
      <c r="U17" s="134"/>
      <c r="V17" s="331">
        <f t="shared" si="3"/>
        <v>0</v>
      </c>
      <c r="W17" s="331">
        <f t="shared" si="4"/>
        <v>2</v>
      </c>
      <c r="X17" s="331">
        <f t="shared" si="5"/>
        <v>2</v>
      </c>
      <c r="Y17" s="331">
        <f t="shared" si="6"/>
        <v>2</v>
      </c>
      <c r="Z17" s="331">
        <f t="shared" si="7"/>
        <v>2</v>
      </c>
      <c r="AA17" s="331">
        <f t="shared" si="8"/>
        <v>2</v>
      </c>
      <c r="AB17" s="331">
        <f t="shared" si="9"/>
        <v>2</v>
      </c>
      <c r="AC17" s="115">
        <f>N17</f>
        <v>0</v>
      </c>
      <c r="AD17" s="51">
        <f t="shared" si="10"/>
        <v>0</v>
      </c>
    </row>
    <row r="19" spans="1:33" x14ac:dyDescent="0.25">
      <c r="B19" s="319"/>
      <c r="N19" s="51">
        <f>SUM(N21:N34)</f>
        <v>305878.36</v>
      </c>
      <c r="O19" s="51">
        <f>SUM(O21:O34)</f>
        <v>359165.42400000012</v>
      </c>
      <c r="R19" s="319"/>
      <c r="AC19" s="51">
        <f>SUM(AC21:AC34)</f>
        <v>314127.67499999999</v>
      </c>
      <c r="AD19" s="51">
        <f>SUM(AD21:AD34)</f>
        <v>376953.20999999996</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8" t="s">
        <v>304</v>
      </c>
      <c r="AG20">
        <v>0</v>
      </c>
    </row>
    <row r="21" spans="1:33" x14ac:dyDescent="0.25">
      <c r="A21" s="329" t="str">
        <f>A4</f>
        <v>#1</v>
      </c>
      <c r="B21" s="330" t="str">
        <f>B4</f>
        <v>POR</v>
      </c>
      <c r="C21" s="134" t="s">
        <v>306</v>
      </c>
      <c r="D21" s="134">
        <f>D4</f>
        <v>0</v>
      </c>
      <c r="E21" s="134">
        <v>22</v>
      </c>
      <c r="F21" s="134">
        <v>50</v>
      </c>
      <c r="G21" s="331">
        <v>15</v>
      </c>
      <c r="H21" s="331">
        <v>4</v>
      </c>
      <c r="I21" s="331">
        <f t="shared" ref="I21:L21" si="14">X4</f>
        <v>2</v>
      </c>
      <c r="J21" s="331">
        <f t="shared" si="14"/>
        <v>0</v>
      </c>
      <c r="K21" s="331">
        <f t="shared" si="14"/>
        <v>0</v>
      </c>
      <c r="L21" s="331">
        <f t="shared" si="14"/>
        <v>0</v>
      </c>
      <c r="M21" s="331">
        <v>4</v>
      </c>
      <c r="N21" s="115">
        <f>(24270+125)*1.012</f>
        <v>24687.74</v>
      </c>
      <c r="O21" s="115">
        <f>N21*1.2</f>
        <v>29625.288</v>
      </c>
      <c r="Q21" s="329" t="s">
        <v>170</v>
      </c>
      <c r="R21" s="330" t="str">
        <f t="shared" ref="R21:R34" si="15">B21</f>
        <v>POR</v>
      </c>
      <c r="S21" s="134"/>
      <c r="T21" s="134"/>
      <c r="U21" s="134"/>
      <c r="V21" s="331">
        <f>G21</f>
        <v>15</v>
      </c>
      <c r="W21" s="331">
        <f t="shared" ref="W21:AA21" si="16">H21</f>
        <v>4</v>
      </c>
      <c r="X21" s="331">
        <f t="shared" si="16"/>
        <v>2</v>
      </c>
      <c r="Y21" s="331">
        <f t="shared" si="16"/>
        <v>0</v>
      </c>
      <c r="Z21" s="331">
        <f t="shared" si="16"/>
        <v>0</v>
      </c>
      <c r="AA21" s="331">
        <f t="shared" si="16"/>
        <v>0</v>
      </c>
      <c r="AB21" s="331">
        <v>17</v>
      </c>
      <c r="AC21" s="115">
        <f>(24270+125)*1.047</f>
        <v>25541.564999999999</v>
      </c>
      <c r="AD21" s="51">
        <f>AC21*1.2</f>
        <v>30649.877999999997</v>
      </c>
      <c r="AF21" s="328" t="s">
        <v>303</v>
      </c>
      <c r="AG21">
        <v>0</v>
      </c>
    </row>
    <row r="22" spans="1:33" x14ac:dyDescent="0.25">
      <c r="A22" s="329" t="str">
        <f t="shared" ref="A22:B22" si="17">A5</f>
        <v>#2</v>
      </c>
      <c r="B22" s="330" t="str">
        <f t="shared" si="17"/>
        <v>DEF</v>
      </c>
      <c r="C22" s="134" t="s">
        <v>66</v>
      </c>
      <c r="D22" s="134" t="s">
        <v>220</v>
      </c>
      <c r="E22" s="134">
        <v>22</v>
      </c>
      <c r="F22" s="134">
        <v>50</v>
      </c>
      <c r="G22" s="331">
        <f t="shared" ref="G22:G33" si="18">V5</f>
        <v>0</v>
      </c>
      <c r="H22" s="331">
        <v>14</v>
      </c>
      <c r="I22" s="331">
        <v>5</v>
      </c>
      <c r="J22" s="331">
        <f t="shared" ref="J22:J33" si="19">Y5</f>
        <v>2</v>
      </c>
      <c r="K22" s="331">
        <f t="shared" ref="K22:K33" si="20">Z5</f>
        <v>2</v>
      </c>
      <c r="L22" s="331">
        <v>7</v>
      </c>
      <c r="M22" s="331">
        <v>3</v>
      </c>
      <c r="N22" s="115">
        <f>(18370+135+245)*1.012</f>
        <v>18975</v>
      </c>
      <c r="O22" s="115">
        <f t="shared" ref="O22:O26" si="21">N22*1.2</f>
        <v>22770</v>
      </c>
      <c r="Q22" s="329" t="s">
        <v>222</v>
      </c>
      <c r="R22" s="330" t="str">
        <f t="shared" si="15"/>
        <v>DEF</v>
      </c>
      <c r="S22" s="134" t="str">
        <f t="shared" ref="S22:S34" si="22">D22</f>
        <v>CAB</v>
      </c>
      <c r="T22" s="134"/>
      <c r="U22" s="134"/>
      <c r="V22" s="331">
        <f t="shared" ref="V22:V34" si="23">G22</f>
        <v>0</v>
      </c>
      <c r="W22" s="331">
        <f t="shared" ref="W22:W34" si="24">H22</f>
        <v>14</v>
      </c>
      <c r="X22" s="331">
        <f t="shared" ref="X22:X34" si="25">I22</f>
        <v>5</v>
      </c>
      <c r="Y22" s="331">
        <f t="shared" ref="Y22:Y34" si="26">J22</f>
        <v>2</v>
      </c>
      <c r="Z22" s="331">
        <f t="shared" ref="Z22:Z34" si="27">K22</f>
        <v>2</v>
      </c>
      <c r="AA22" s="331">
        <f t="shared" ref="AA22:AA34" si="28">L22</f>
        <v>7</v>
      </c>
      <c r="AB22" s="331">
        <v>14</v>
      </c>
      <c r="AC22" s="115">
        <f>(18370+135+245)*1.04</f>
        <v>19500</v>
      </c>
      <c r="AD22" s="51">
        <f t="shared" ref="AD22:AD34" si="29">AC22*1.2</f>
        <v>23400</v>
      </c>
      <c r="AF22" s="328" t="s">
        <v>0</v>
      </c>
      <c r="AG22">
        <v>16</v>
      </c>
    </row>
    <row r="23" spans="1:33" x14ac:dyDescent="0.25">
      <c r="A23" s="329" t="str">
        <f t="shared" ref="A23:B23" si="30">A6</f>
        <v>#3</v>
      </c>
      <c r="B23" s="330" t="str">
        <f t="shared" si="30"/>
        <v>DEF</v>
      </c>
      <c r="C23" s="134" t="s">
        <v>66</v>
      </c>
      <c r="D23" s="134" t="s">
        <v>220</v>
      </c>
      <c r="E23" s="134">
        <v>22</v>
      </c>
      <c r="F23" s="134">
        <v>50</v>
      </c>
      <c r="G23" s="331">
        <f t="shared" ref="G23:G26" si="31">V6</f>
        <v>0</v>
      </c>
      <c r="H23" s="331">
        <v>14</v>
      </c>
      <c r="I23" s="331">
        <v>5</v>
      </c>
      <c r="J23" s="331">
        <f t="shared" ref="J23:J26" si="32">Y6</f>
        <v>2</v>
      </c>
      <c r="K23" s="331">
        <f t="shared" ref="K23:K26" si="33">Z6</f>
        <v>2</v>
      </c>
      <c r="L23" s="331">
        <v>7</v>
      </c>
      <c r="M23" s="331">
        <v>3</v>
      </c>
      <c r="N23" s="115">
        <f>(18370+135+245)*1.012</f>
        <v>18975</v>
      </c>
      <c r="O23" s="115">
        <f t="shared" si="21"/>
        <v>22770</v>
      </c>
      <c r="Q23" s="329" t="s">
        <v>172</v>
      </c>
      <c r="R23" s="330" t="str">
        <f t="shared" si="15"/>
        <v>DEF</v>
      </c>
      <c r="S23" s="134" t="str">
        <f t="shared" si="22"/>
        <v>CAB</v>
      </c>
      <c r="T23" s="134"/>
      <c r="U23" s="134"/>
      <c r="V23" s="331">
        <f t="shared" si="23"/>
        <v>0</v>
      </c>
      <c r="W23" s="331">
        <f t="shared" si="24"/>
        <v>14</v>
      </c>
      <c r="X23" s="331">
        <f t="shared" si="25"/>
        <v>5</v>
      </c>
      <c r="Y23" s="331">
        <f t="shared" si="26"/>
        <v>2</v>
      </c>
      <c r="Z23" s="331">
        <f t="shared" si="27"/>
        <v>2</v>
      </c>
      <c r="AA23" s="331">
        <f t="shared" si="28"/>
        <v>7</v>
      </c>
      <c r="AB23" s="331">
        <v>14</v>
      </c>
      <c r="AC23" s="115">
        <f t="shared" ref="AC23:AC26" si="34">(18370+135+245)*1.04</f>
        <v>19500</v>
      </c>
      <c r="AD23" s="51">
        <f t="shared" si="29"/>
        <v>23400</v>
      </c>
      <c r="AF23" s="328" t="s">
        <v>322</v>
      </c>
      <c r="AG23">
        <v>0</v>
      </c>
    </row>
    <row r="24" spans="1:33" x14ac:dyDescent="0.25">
      <c r="A24" s="329" t="str">
        <f t="shared" ref="A24:B24" si="35">A7</f>
        <v>#4</v>
      </c>
      <c r="B24" s="330" t="str">
        <f t="shared" si="35"/>
        <v>DEF</v>
      </c>
      <c r="C24" s="134" t="s">
        <v>66</v>
      </c>
      <c r="D24" s="134" t="s">
        <v>220</v>
      </c>
      <c r="E24" s="134">
        <v>22</v>
      </c>
      <c r="F24" s="134">
        <v>50</v>
      </c>
      <c r="G24" s="331">
        <f t="shared" si="31"/>
        <v>0</v>
      </c>
      <c r="H24" s="331">
        <v>14</v>
      </c>
      <c r="I24" s="331">
        <v>5</v>
      </c>
      <c r="J24" s="331">
        <f t="shared" si="32"/>
        <v>2</v>
      </c>
      <c r="K24" s="331">
        <f t="shared" si="33"/>
        <v>2</v>
      </c>
      <c r="L24" s="331">
        <v>7</v>
      </c>
      <c r="M24" s="331">
        <v>3</v>
      </c>
      <c r="N24" s="115">
        <f>(18370+135+245)*1.012</f>
        <v>18975</v>
      </c>
      <c r="O24" s="115">
        <f t="shared" si="21"/>
        <v>22770</v>
      </c>
      <c r="Q24" s="329" t="s">
        <v>174</v>
      </c>
      <c r="R24" s="330" t="str">
        <f t="shared" si="15"/>
        <v>DEF</v>
      </c>
      <c r="S24" s="134" t="str">
        <f t="shared" si="22"/>
        <v>CAB</v>
      </c>
      <c r="T24" s="134"/>
      <c r="U24" s="134"/>
      <c r="V24" s="331">
        <f t="shared" si="23"/>
        <v>0</v>
      </c>
      <c r="W24" s="331">
        <f t="shared" si="24"/>
        <v>14</v>
      </c>
      <c r="X24" s="331">
        <f t="shared" si="25"/>
        <v>5</v>
      </c>
      <c r="Y24" s="331">
        <f t="shared" si="26"/>
        <v>2</v>
      </c>
      <c r="Z24" s="331">
        <f t="shared" si="27"/>
        <v>2</v>
      </c>
      <c r="AA24" s="331">
        <f t="shared" si="28"/>
        <v>7</v>
      </c>
      <c r="AB24" s="331">
        <v>14</v>
      </c>
      <c r="AC24" s="115">
        <f t="shared" si="34"/>
        <v>19500</v>
      </c>
      <c r="AD24" s="51">
        <f t="shared" si="29"/>
        <v>23400</v>
      </c>
      <c r="AF24" s="328" t="s">
        <v>246</v>
      </c>
      <c r="AG24">
        <f>AG22+AG21+AG20+AG23</f>
        <v>16</v>
      </c>
    </row>
    <row r="25" spans="1:33" x14ac:dyDescent="0.25">
      <c r="A25" s="329" t="str">
        <f t="shared" ref="A25:B25" si="36">A8</f>
        <v>#5</v>
      </c>
      <c r="B25" s="330" t="str">
        <f t="shared" si="36"/>
        <v>DEF</v>
      </c>
      <c r="C25" s="134" t="s">
        <v>66</v>
      </c>
      <c r="D25" s="134" t="s">
        <v>220</v>
      </c>
      <c r="E25" s="134">
        <v>22</v>
      </c>
      <c r="F25" s="134">
        <v>50</v>
      </c>
      <c r="G25" s="331">
        <f t="shared" si="31"/>
        <v>0</v>
      </c>
      <c r="H25" s="331">
        <v>14</v>
      </c>
      <c r="I25" s="331">
        <v>5</v>
      </c>
      <c r="J25" s="331">
        <f t="shared" si="32"/>
        <v>2</v>
      </c>
      <c r="K25" s="331">
        <f t="shared" si="33"/>
        <v>2</v>
      </c>
      <c r="L25" s="331">
        <v>7</v>
      </c>
      <c r="M25" s="331">
        <v>3</v>
      </c>
      <c r="N25" s="115">
        <f>(18370+135+245)*1.012</f>
        <v>18975</v>
      </c>
      <c r="O25" s="115">
        <f t="shared" si="21"/>
        <v>22770</v>
      </c>
      <c r="Q25" s="329" t="s">
        <v>178</v>
      </c>
      <c r="R25" s="330" t="str">
        <f t="shared" si="15"/>
        <v>DEF</v>
      </c>
      <c r="S25" s="134" t="str">
        <f t="shared" si="22"/>
        <v>CAB</v>
      </c>
      <c r="T25" s="134"/>
      <c r="U25" s="134"/>
      <c r="V25" s="331">
        <f t="shared" si="23"/>
        <v>0</v>
      </c>
      <c r="W25" s="331">
        <f t="shared" si="24"/>
        <v>14</v>
      </c>
      <c r="X25" s="331">
        <f t="shared" si="25"/>
        <v>5</v>
      </c>
      <c r="Y25" s="331">
        <f t="shared" si="26"/>
        <v>2</v>
      </c>
      <c r="Z25" s="331">
        <f t="shared" si="27"/>
        <v>2</v>
      </c>
      <c r="AA25" s="331">
        <f t="shared" si="28"/>
        <v>7</v>
      </c>
      <c r="AB25" s="331">
        <v>14</v>
      </c>
      <c r="AC25" s="115">
        <f t="shared" si="34"/>
        <v>19500</v>
      </c>
      <c r="AD25" s="51">
        <f t="shared" si="29"/>
        <v>23400</v>
      </c>
      <c r="AF25" s="328" t="s">
        <v>60</v>
      </c>
      <c r="AG25" s="83">
        <f>AG24/16</f>
        <v>1</v>
      </c>
    </row>
    <row r="26" spans="1:33" x14ac:dyDescent="0.25">
      <c r="A26" s="329" t="str">
        <f t="shared" ref="A26:B26" si="37">A9</f>
        <v>#6</v>
      </c>
      <c r="B26" s="330" t="str">
        <f t="shared" si="37"/>
        <v>DEF</v>
      </c>
      <c r="C26" s="134" t="s">
        <v>66</v>
      </c>
      <c r="D26" s="134" t="s">
        <v>220</v>
      </c>
      <c r="E26" s="134">
        <v>22</v>
      </c>
      <c r="F26" s="134">
        <v>50</v>
      </c>
      <c r="G26" s="331">
        <f t="shared" si="31"/>
        <v>0</v>
      </c>
      <c r="H26" s="331">
        <v>14</v>
      </c>
      <c r="I26" s="331">
        <v>5</v>
      </c>
      <c r="J26" s="331">
        <f t="shared" si="32"/>
        <v>2</v>
      </c>
      <c r="K26" s="331">
        <f t="shared" si="33"/>
        <v>2</v>
      </c>
      <c r="L26" s="331">
        <v>7</v>
      </c>
      <c r="M26" s="331">
        <v>3</v>
      </c>
      <c r="N26" s="115">
        <f>(18370+135+245)*1.012</f>
        <v>18975</v>
      </c>
      <c r="O26" s="115">
        <f t="shared" si="21"/>
        <v>22770</v>
      </c>
      <c r="Q26" s="329" t="s">
        <v>173</v>
      </c>
      <c r="R26" s="330" t="str">
        <f t="shared" si="15"/>
        <v>DEF</v>
      </c>
      <c r="S26" s="134" t="str">
        <f t="shared" si="22"/>
        <v>CAB</v>
      </c>
      <c r="T26" s="134"/>
      <c r="U26" s="134"/>
      <c r="V26" s="331">
        <f t="shared" si="23"/>
        <v>0</v>
      </c>
      <c r="W26" s="331">
        <f t="shared" si="24"/>
        <v>14</v>
      </c>
      <c r="X26" s="331">
        <f t="shared" si="25"/>
        <v>5</v>
      </c>
      <c r="Y26" s="331">
        <f t="shared" si="26"/>
        <v>2</v>
      </c>
      <c r="Z26" s="331">
        <f t="shared" si="27"/>
        <v>2</v>
      </c>
      <c r="AA26" s="331">
        <f t="shared" si="28"/>
        <v>7</v>
      </c>
      <c r="AB26" s="331">
        <v>14</v>
      </c>
      <c r="AC26" s="115">
        <f t="shared" si="34"/>
        <v>19500</v>
      </c>
      <c r="AD26" s="51">
        <f t="shared" si="29"/>
        <v>23400</v>
      </c>
    </row>
    <row r="27" spans="1:33" x14ac:dyDescent="0.25">
      <c r="A27" s="329" t="str">
        <f t="shared" ref="A27:D27" si="38">A10</f>
        <v>#7</v>
      </c>
      <c r="B27" s="330" t="str">
        <f t="shared" si="38"/>
        <v>Inners</v>
      </c>
      <c r="C27" s="134" t="str">
        <f t="shared" si="38"/>
        <v>I. Vanags</v>
      </c>
      <c r="D27" s="134" t="str">
        <f t="shared" si="38"/>
        <v>CAB</v>
      </c>
      <c r="E27" s="134">
        <f>T10</f>
        <v>22</v>
      </c>
      <c r="F27" s="134">
        <f>U10</f>
        <v>33</v>
      </c>
      <c r="G27" s="331">
        <f t="shared" si="18"/>
        <v>0</v>
      </c>
      <c r="H27" s="331">
        <f t="shared" ref="H27:H33" si="39">W10</f>
        <v>4</v>
      </c>
      <c r="I27" s="331">
        <f t="shared" ref="I27:I32" si="40">X10</f>
        <v>13.5</v>
      </c>
      <c r="J27" s="331">
        <f t="shared" si="19"/>
        <v>3</v>
      </c>
      <c r="K27" s="331">
        <f t="shared" si="20"/>
        <v>4</v>
      </c>
      <c r="L27" s="331">
        <f t="shared" ref="L27:L32" si="41">AA10</f>
        <v>10.166666666666666</v>
      </c>
      <c r="M27" s="331">
        <f t="shared" ref="M27:M32" si="42">AB10</f>
        <v>6</v>
      </c>
      <c r="N27" s="115">
        <f t="shared" ref="N27:O27" si="43">AC10</f>
        <v>22185</v>
      </c>
      <c r="O27" s="115">
        <f t="shared" si="43"/>
        <v>26622</v>
      </c>
      <c r="Q27" s="329" t="s">
        <v>175</v>
      </c>
      <c r="R27" s="330" t="str">
        <f t="shared" si="15"/>
        <v>Inners</v>
      </c>
      <c r="S27" s="134" t="str">
        <f t="shared" si="22"/>
        <v>CAB</v>
      </c>
      <c r="T27" s="134">
        <f>E27+1</f>
        <v>23</v>
      </c>
      <c r="U27" s="134">
        <f>F27</f>
        <v>33</v>
      </c>
      <c r="V27" s="331">
        <f t="shared" si="23"/>
        <v>0</v>
      </c>
      <c r="W27" s="331">
        <f t="shared" si="24"/>
        <v>4</v>
      </c>
      <c r="X27" s="331">
        <f t="shared" si="25"/>
        <v>13.5</v>
      </c>
      <c r="Y27" s="331">
        <f t="shared" si="26"/>
        <v>3</v>
      </c>
      <c r="Z27" s="331">
        <f t="shared" si="27"/>
        <v>4</v>
      </c>
      <c r="AA27" s="331">
        <f t="shared" si="28"/>
        <v>10.166666666666666</v>
      </c>
      <c r="AB27" s="331">
        <v>15</v>
      </c>
      <c r="AC27" s="115">
        <f>(20000+1500+125+125)*1.043</f>
        <v>22685.25</v>
      </c>
      <c r="AD27" s="51">
        <f t="shared" si="29"/>
        <v>27222.3</v>
      </c>
    </row>
    <row r="28" spans="1:33" x14ac:dyDescent="0.25">
      <c r="A28" s="329" t="str">
        <f t="shared" ref="A28:D28" si="44">A11</f>
        <v>#8</v>
      </c>
      <c r="B28" s="330" t="str">
        <f t="shared" si="44"/>
        <v>Inners</v>
      </c>
      <c r="C28" s="134" t="str">
        <f t="shared" si="44"/>
        <v>I. Stone</v>
      </c>
      <c r="D28" s="134" t="str">
        <f t="shared" si="44"/>
        <v>RAP</v>
      </c>
      <c r="E28" s="134">
        <f t="shared" ref="E28:F32" si="45">T11</f>
        <v>21</v>
      </c>
      <c r="F28" s="134">
        <f t="shared" si="45"/>
        <v>98</v>
      </c>
      <c r="G28" s="331">
        <f t="shared" si="18"/>
        <v>0</v>
      </c>
      <c r="H28" s="331">
        <f t="shared" si="39"/>
        <v>3</v>
      </c>
      <c r="I28" s="331">
        <f t="shared" si="40"/>
        <v>13</v>
      </c>
      <c r="J28" s="331">
        <f t="shared" si="19"/>
        <v>2</v>
      </c>
      <c r="K28" s="331">
        <f t="shared" si="20"/>
        <v>6</v>
      </c>
      <c r="L28" s="331">
        <f t="shared" si="41"/>
        <v>11.571428571428571</v>
      </c>
      <c r="M28" s="331">
        <f t="shared" si="42"/>
        <v>2</v>
      </c>
      <c r="N28" s="115">
        <f t="shared" ref="N28:O28" si="46">AC11</f>
        <v>17902.080000000002</v>
      </c>
      <c r="O28" s="115">
        <f t="shared" si="46"/>
        <v>17902.080000000002</v>
      </c>
      <c r="Q28" s="329" t="s">
        <v>179</v>
      </c>
      <c r="R28" s="330" t="str">
        <f t="shared" si="15"/>
        <v>Inners</v>
      </c>
      <c r="S28" s="134" t="str">
        <f t="shared" si="22"/>
        <v>RAP</v>
      </c>
      <c r="T28" s="134">
        <f t="shared" ref="T28:T32" si="47">E28+1</f>
        <v>22</v>
      </c>
      <c r="U28" s="134">
        <f t="shared" ref="U28:U32" si="48">F28</f>
        <v>98</v>
      </c>
      <c r="V28" s="331">
        <f t="shared" si="23"/>
        <v>0</v>
      </c>
      <c r="W28" s="331">
        <f t="shared" si="24"/>
        <v>3</v>
      </c>
      <c r="X28" s="331">
        <f t="shared" si="25"/>
        <v>13</v>
      </c>
      <c r="Y28" s="331">
        <f t="shared" si="26"/>
        <v>2</v>
      </c>
      <c r="Z28" s="331">
        <f t="shared" si="27"/>
        <v>6</v>
      </c>
      <c r="AA28" s="331">
        <f t="shared" si="28"/>
        <v>11.571428571428571</v>
      </c>
      <c r="AB28" s="331">
        <v>13.5</v>
      </c>
      <c r="AC28" s="115">
        <f>(14490+3125+145)*1.038</f>
        <v>18434.88</v>
      </c>
      <c r="AD28" s="51">
        <f t="shared" si="29"/>
        <v>22121.856</v>
      </c>
    </row>
    <row r="29" spans="1:33" x14ac:dyDescent="0.25">
      <c r="A29" s="329" t="str">
        <f t="shared" ref="A29:D29" si="49">A12</f>
        <v>#9</v>
      </c>
      <c r="B29" s="330" t="str">
        <f t="shared" si="49"/>
        <v>Inners</v>
      </c>
      <c r="C29" s="134" t="str">
        <f t="shared" si="49"/>
        <v>G. Piscaer</v>
      </c>
      <c r="D29" s="134" t="str">
        <f t="shared" si="49"/>
        <v>IMP</v>
      </c>
      <c r="E29" s="134">
        <f t="shared" si="45"/>
        <v>22</v>
      </c>
      <c r="F29" s="134">
        <f t="shared" si="45"/>
        <v>49</v>
      </c>
      <c r="G29" s="331">
        <f t="shared" si="18"/>
        <v>0</v>
      </c>
      <c r="H29" s="331">
        <f t="shared" si="39"/>
        <v>4</v>
      </c>
      <c r="I29" s="331">
        <f t="shared" si="40"/>
        <v>14</v>
      </c>
      <c r="J29" s="331">
        <f t="shared" si="19"/>
        <v>3</v>
      </c>
      <c r="K29" s="331">
        <f t="shared" si="20"/>
        <v>2</v>
      </c>
      <c r="L29" s="331">
        <f t="shared" si="41"/>
        <v>10.857142857142858</v>
      </c>
      <c r="M29" s="331">
        <f t="shared" si="42"/>
        <v>0</v>
      </c>
      <c r="N29" s="115">
        <f t="shared" ref="N29:O29" si="50">AC12</f>
        <v>25920</v>
      </c>
      <c r="O29" s="115">
        <f t="shared" si="50"/>
        <v>31104</v>
      </c>
      <c r="Q29" s="329" t="s">
        <v>224</v>
      </c>
      <c r="R29" s="330" t="str">
        <f t="shared" si="15"/>
        <v>Inners</v>
      </c>
      <c r="S29" s="134" t="str">
        <f t="shared" si="22"/>
        <v>IMP</v>
      </c>
      <c r="T29" s="134">
        <f t="shared" si="47"/>
        <v>23</v>
      </c>
      <c r="U29" s="134">
        <f t="shared" si="48"/>
        <v>49</v>
      </c>
      <c r="V29" s="331">
        <f t="shared" si="23"/>
        <v>0</v>
      </c>
      <c r="W29" s="331">
        <f t="shared" si="24"/>
        <v>4</v>
      </c>
      <c r="X29" s="331">
        <f t="shared" si="25"/>
        <v>14</v>
      </c>
      <c r="Y29" s="331">
        <f t="shared" si="26"/>
        <v>3</v>
      </c>
      <c r="Z29" s="331">
        <f t="shared" si="27"/>
        <v>2</v>
      </c>
      <c r="AA29" s="331">
        <f t="shared" si="28"/>
        <v>10.857142857142858</v>
      </c>
      <c r="AB29" s="331">
        <v>12.5</v>
      </c>
      <c r="AC29" s="115">
        <f>(23500+2295+125)*1.035</f>
        <v>26827.199999999997</v>
      </c>
      <c r="AD29" s="51">
        <f t="shared" si="29"/>
        <v>32192.639999999996</v>
      </c>
    </row>
    <row r="30" spans="1:33" x14ac:dyDescent="0.25">
      <c r="A30" s="329" t="str">
        <f t="shared" ref="A30:D30" si="51">A13</f>
        <v>#10</v>
      </c>
      <c r="B30" s="330" t="str">
        <f t="shared" si="51"/>
        <v>Inners</v>
      </c>
      <c r="C30" s="134" t="str">
        <f t="shared" si="51"/>
        <v>M. Bondarewski</v>
      </c>
      <c r="D30" s="134" t="str">
        <f t="shared" si="51"/>
        <v>RAP</v>
      </c>
      <c r="E30" s="134">
        <f t="shared" si="45"/>
        <v>22</v>
      </c>
      <c r="F30" s="134">
        <f t="shared" si="45"/>
        <v>49</v>
      </c>
      <c r="G30" s="331">
        <f t="shared" si="18"/>
        <v>0</v>
      </c>
      <c r="H30" s="331">
        <f t="shared" si="39"/>
        <v>2</v>
      </c>
      <c r="I30" s="331">
        <f t="shared" si="40"/>
        <v>14</v>
      </c>
      <c r="J30" s="331">
        <f t="shared" si="19"/>
        <v>5</v>
      </c>
      <c r="K30" s="331">
        <f t="shared" si="20"/>
        <v>4</v>
      </c>
      <c r="L30" s="331">
        <f t="shared" si="41"/>
        <v>10.857142857142858</v>
      </c>
      <c r="M30" s="331">
        <f t="shared" si="42"/>
        <v>6</v>
      </c>
      <c r="N30" s="115">
        <f t="shared" ref="N30:O30" si="52">AC13</f>
        <v>26565.9</v>
      </c>
      <c r="O30" s="115">
        <f t="shared" si="52"/>
        <v>31879.08</v>
      </c>
      <c r="Q30" s="329" t="s">
        <v>176</v>
      </c>
      <c r="R30" s="330" t="str">
        <f t="shared" si="15"/>
        <v>Inners</v>
      </c>
      <c r="S30" s="134" t="str">
        <f t="shared" si="22"/>
        <v>RAP</v>
      </c>
      <c r="T30" s="134">
        <f t="shared" si="47"/>
        <v>23</v>
      </c>
      <c r="U30" s="134">
        <f t="shared" si="48"/>
        <v>49</v>
      </c>
      <c r="V30" s="331">
        <f t="shared" si="23"/>
        <v>0</v>
      </c>
      <c r="W30" s="331">
        <f t="shared" si="24"/>
        <v>2</v>
      </c>
      <c r="X30" s="331">
        <f t="shared" si="25"/>
        <v>14</v>
      </c>
      <c r="Y30" s="331">
        <f t="shared" si="26"/>
        <v>5</v>
      </c>
      <c r="Z30" s="331">
        <f t="shared" si="27"/>
        <v>4</v>
      </c>
      <c r="AA30" s="331">
        <f t="shared" si="28"/>
        <v>10.857142857142858</v>
      </c>
      <c r="AB30" s="331">
        <v>15</v>
      </c>
      <c r="AC30" s="115">
        <f>(23500+2295+125+125)*1.043</f>
        <v>27164.934999999998</v>
      </c>
      <c r="AD30" s="51">
        <f t="shared" si="29"/>
        <v>32597.921999999995</v>
      </c>
    </row>
    <row r="31" spans="1:33" x14ac:dyDescent="0.25">
      <c r="A31" s="329" t="str">
        <f t="shared" ref="A31:D31" si="53">A14</f>
        <v>#11</v>
      </c>
      <c r="B31" s="330" t="str">
        <f t="shared" si="53"/>
        <v>Inners</v>
      </c>
      <c r="C31" s="134" t="str">
        <f t="shared" si="53"/>
        <v>J. Vartiainen</v>
      </c>
      <c r="D31" s="134" t="str">
        <f t="shared" si="53"/>
        <v>CAB</v>
      </c>
      <c r="E31" s="134">
        <f t="shared" si="45"/>
        <v>22</v>
      </c>
      <c r="F31" s="134">
        <f t="shared" si="45"/>
        <v>105</v>
      </c>
      <c r="G31" s="331">
        <f t="shared" si="18"/>
        <v>0</v>
      </c>
      <c r="H31" s="331">
        <f t="shared" si="39"/>
        <v>7</v>
      </c>
      <c r="I31" s="331">
        <f t="shared" si="40"/>
        <v>13.444444444444445</v>
      </c>
      <c r="J31" s="331">
        <f t="shared" si="19"/>
        <v>1</v>
      </c>
      <c r="K31" s="331">
        <f t="shared" si="20"/>
        <v>1</v>
      </c>
      <c r="L31" s="331">
        <f t="shared" si="41"/>
        <v>9.5</v>
      </c>
      <c r="M31" s="331">
        <f t="shared" si="42"/>
        <v>1</v>
      </c>
      <c r="N31" s="115">
        <f t="shared" ref="N31:O31" si="54">AC14</f>
        <v>21329.98</v>
      </c>
      <c r="O31" s="115">
        <f t="shared" si="54"/>
        <v>25595.975999999999</v>
      </c>
      <c r="Q31" s="329" t="s">
        <v>177</v>
      </c>
      <c r="R31" s="330" t="str">
        <f t="shared" si="15"/>
        <v>Inners</v>
      </c>
      <c r="S31" s="134" t="str">
        <f t="shared" si="22"/>
        <v>CAB</v>
      </c>
      <c r="T31" s="134">
        <f t="shared" si="47"/>
        <v>23</v>
      </c>
      <c r="U31" s="134">
        <f t="shared" si="48"/>
        <v>105</v>
      </c>
      <c r="V31" s="331">
        <f t="shared" si="23"/>
        <v>0</v>
      </c>
      <c r="W31" s="331">
        <f t="shared" si="24"/>
        <v>7</v>
      </c>
      <c r="X31" s="331">
        <f t="shared" si="25"/>
        <v>13.444444444444445</v>
      </c>
      <c r="Y31" s="331">
        <f t="shared" si="26"/>
        <v>1</v>
      </c>
      <c r="Z31" s="331">
        <f t="shared" si="27"/>
        <v>1</v>
      </c>
      <c r="AA31" s="331">
        <f t="shared" si="28"/>
        <v>9.5</v>
      </c>
      <c r="AB31" s="331">
        <v>13</v>
      </c>
      <c r="AC31" s="115">
        <f>(20000+1020+225)*1.037</f>
        <v>22031.064999999999</v>
      </c>
      <c r="AD31" s="51">
        <f t="shared" si="29"/>
        <v>26437.277999999998</v>
      </c>
    </row>
    <row r="32" spans="1:33" x14ac:dyDescent="0.25">
      <c r="A32" s="329" t="str">
        <f t="shared" ref="A32:D32" si="55">A15</f>
        <v>#12</v>
      </c>
      <c r="B32" s="330" t="str">
        <f t="shared" si="55"/>
        <v>Inners</v>
      </c>
      <c r="C32" s="134" t="str">
        <f t="shared" si="55"/>
        <v>R. Forsyth</v>
      </c>
      <c r="D32" s="134" t="str">
        <f t="shared" si="55"/>
        <v>POT</v>
      </c>
      <c r="E32" s="134">
        <f t="shared" si="45"/>
        <v>22</v>
      </c>
      <c r="F32" s="134">
        <f t="shared" si="45"/>
        <v>100</v>
      </c>
      <c r="G32" s="331">
        <f t="shared" si="18"/>
        <v>0</v>
      </c>
      <c r="H32" s="331">
        <f t="shared" si="39"/>
        <v>7</v>
      </c>
      <c r="I32" s="331">
        <f t="shared" si="40"/>
        <v>13.444444444444445</v>
      </c>
      <c r="J32" s="331">
        <f t="shared" si="19"/>
        <v>2</v>
      </c>
      <c r="K32" s="331">
        <f t="shared" si="20"/>
        <v>4</v>
      </c>
      <c r="L32" s="331">
        <f t="shared" si="41"/>
        <v>9.5</v>
      </c>
      <c r="M32" s="331">
        <f t="shared" si="42"/>
        <v>2</v>
      </c>
      <c r="N32" s="115">
        <f t="shared" ref="N32:O32" si="56">AC15</f>
        <v>21540.959999999999</v>
      </c>
      <c r="O32" s="115">
        <f t="shared" si="56"/>
        <v>21540.959999999999</v>
      </c>
      <c r="Q32" s="329" t="s">
        <v>171</v>
      </c>
      <c r="R32" s="330" t="str">
        <f t="shared" si="15"/>
        <v>Inners</v>
      </c>
      <c r="S32" s="134" t="str">
        <f t="shared" si="22"/>
        <v>POT</v>
      </c>
      <c r="T32" s="134">
        <f t="shared" si="47"/>
        <v>23</v>
      </c>
      <c r="U32" s="134">
        <f t="shared" si="48"/>
        <v>100</v>
      </c>
      <c r="V32" s="331">
        <f t="shared" si="23"/>
        <v>0</v>
      </c>
      <c r="W32" s="331">
        <f t="shared" si="24"/>
        <v>7</v>
      </c>
      <c r="X32" s="331">
        <f t="shared" si="25"/>
        <v>13.444444444444445</v>
      </c>
      <c r="Y32" s="331">
        <f t="shared" si="26"/>
        <v>2</v>
      </c>
      <c r="Z32" s="331">
        <f t="shared" si="27"/>
        <v>4</v>
      </c>
      <c r="AA32" s="331">
        <f t="shared" si="28"/>
        <v>9.5</v>
      </c>
      <c r="AB32" s="331">
        <v>13.5</v>
      </c>
      <c r="AC32" s="115">
        <f>(20000+1020+225+125)*1.038</f>
        <v>22182.06</v>
      </c>
      <c r="AD32" s="51">
        <f t="shared" si="29"/>
        <v>26618.472000000002</v>
      </c>
    </row>
    <row r="33" spans="1:30" x14ac:dyDescent="0.25">
      <c r="A33" s="329" t="str">
        <f t="shared" ref="A33:D33" si="57">A16</f>
        <v>#13</v>
      </c>
      <c r="B33" s="330" t="str">
        <f t="shared" si="57"/>
        <v>DD</v>
      </c>
      <c r="C33" s="134" t="s">
        <v>441</v>
      </c>
      <c r="D33" s="134" t="str">
        <f t="shared" si="57"/>
        <v>RAP/IMP/CAB</v>
      </c>
      <c r="E33" s="134">
        <v>22</v>
      </c>
      <c r="F33" s="134">
        <v>50</v>
      </c>
      <c r="G33" s="331">
        <f t="shared" si="18"/>
        <v>0</v>
      </c>
      <c r="H33" s="331">
        <f t="shared" si="39"/>
        <v>2</v>
      </c>
      <c r="I33" s="331">
        <v>14</v>
      </c>
      <c r="J33" s="331">
        <f t="shared" si="19"/>
        <v>2</v>
      </c>
      <c r="K33" s="331">
        <f t="shared" si="20"/>
        <v>2</v>
      </c>
      <c r="L33" s="331">
        <v>11</v>
      </c>
      <c r="M33" s="331">
        <v>10</v>
      </c>
      <c r="N33" s="115">
        <f>(22400+2295)*1.03</f>
        <v>25435.850000000002</v>
      </c>
      <c r="O33" s="115">
        <f t="shared" ref="O33:O34" si="58">N33*1.2</f>
        <v>30523.02</v>
      </c>
      <c r="Q33" s="329" t="s">
        <v>216</v>
      </c>
      <c r="R33" s="330" t="str">
        <f t="shared" si="15"/>
        <v>DD</v>
      </c>
      <c r="S33" s="134" t="str">
        <f t="shared" si="22"/>
        <v>RAP/IMP/CAB</v>
      </c>
      <c r="T33" s="134"/>
      <c r="U33" s="134"/>
      <c r="V33" s="331">
        <f t="shared" si="23"/>
        <v>0</v>
      </c>
      <c r="W33" s="331">
        <f t="shared" si="24"/>
        <v>2</v>
      </c>
      <c r="X33" s="331">
        <f t="shared" si="25"/>
        <v>14</v>
      </c>
      <c r="Y33" s="331">
        <f t="shared" si="26"/>
        <v>2</v>
      </c>
      <c r="Z33" s="331">
        <f t="shared" si="27"/>
        <v>2</v>
      </c>
      <c r="AA33" s="331">
        <f t="shared" si="28"/>
        <v>11</v>
      </c>
      <c r="AB33" s="331">
        <v>18</v>
      </c>
      <c r="AC33" s="115">
        <f>(22400+2295)*1.048</f>
        <v>25880.36</v>
      </c>
      <c r="AD33" s="51">
        <f t="shared" si="29"/>
        <v>31056.432000000001</v>
      </c>
    </row>
    <row r="34" spans="1:30" x14ac:dyDescent="0.25">
      <c r="A34" s="329" t="str">
        <f t="shared" ref="A34:D34" si="59">A17</f>
        <v>#14</v>
      </c>
      <c r="B34" s="330" t="str">
        <f t="shared" si="59"/>
        <v>DD</v>
      </c>
      <c r="C34" s="134" t="s">
        <v>441</v>
      </c>
      <c r="D34" s="134" t="str">
        <f t="shared" si="59"/>
        <v>RAP/IMP/CAB</v>
      </c>
      <c r="E34" s="134">
        <v>22</v>
      </c>
      <c r="F34" s="134">
        <v>50</v>
      </c>
      <c r="G34" s="331">
        <f t="shared" ref="G34" si="60">V17</f>
        <v>0</v>
      </c>
      <c r="H34" s="331">
        <f t="shared" ref="H34" si="61">W17</f>
        <v>2</v>
      </c>
      <c r="I34" s="331">
        <v>14</v>
      </c>
      <c r="J34" s="331">
        <f t="shared" ref="J34" si="62">Y17</f>
        <v>2</v>
      </c>
      <c r="K34" s="331">
        <f t="shared" ref="K34" si="63">Z17</f>
        <v>2</v>
      </c>
      <c r="L34" s="331">
        <v>11</v>
      </c>
      <c r="M34" s="331">
        <v>10</v>
      </c>
      <c r="N34" s="115">
        <f>(22400+2295)*1.03</f>
        <v>25435.850000000002</v>
      </c>
      <c r="O34" s="115">
        <f t="shared" si="58"/>
        <v>30523.02</v>
      </c>
      <c r="Q34" s="329" t="s">
        <v>223</v>
      </c>
      <c r="R34" s="330" t="str">
        <f t="shared" si="15"/>
        <v>DD</v>
      </c>
      <c r="S34" s="134" t="str">
        <f t="shared" si="22"/>
        <v>RAP/IMP/CAB</v>
      </c>
      <c r="T34" s="134"/>
      <c r="U34" s="134"/>
      <c r="V34" s="331">
        <f t="shared" si="23"/>
        <v>0</v>
      </c>
      <c r="W34" s="331">
        <f t="shared" si="24"/>
        <v>2</v>
      </c>
      <c r="X34" s="331">
        <f t="shared" si="25"/>
        <v>14</v>
      </c>
      <c r="Y34" s="331">
        <f t="shared" si="26"/>
        <v>2</v>
      </c>
      <c r="Z34" s="331">
        <f t="shared" si="27"/>
        <v>2</v>
      </c>
      <c r="AA34" s="331">
        <f t="shared" si="28"/>
        <v>11</v>
      </c>
      <c r="AB34" s="331">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Economia</vt:lpstr>
      <vt:lpstr>Evaluacion</vt:lpstr>
      <vt:lpstr>Calculadora_Tactica</vt:lpstr>
      <vt:lpstr>Capitan</vt:lpstr>
      <vt:lpstr>Entrenador</vt:lpstr>
      <vt:lpstr>Planning</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2019-07-23T08:43:54Z</dcterms:modified>
</cp:coreProperties>
</file>